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 firstSheet="5"/>
  </bookViews>
  <sheets>
    <sheet name="Table S1" sheetId="17" r:id="rId1"/>
    <sheet name="Table S2" sheetId="1" r:id="rId2"/>
    <sheet name="Table S3" sheetId="2" r:id="rId3"/>
    <sheet name="Table S4" sheetId="3" r:id="rId4"/>
    <sheet name="Table S5" sheetId="4" r:id="rId5"/>
    <sheet name="Table S6" sheetId="5" r:id="rId6"/>
    <sheet name="Table S7" sheetId="6" r:id="rId7"/>
    <sheet name="Table S8" sheetId="7" r:id="rId8"/>
    <sheet name="Table S9" sheetId="9" r:id="rId9"/>
    <sheet name="Table S10" sheetId="10" r:id="rId10"/>
    <sheet name="Table S11" sheetId="12" r:id="rId11"/>
    <sheet name="Table S12" sheetId="16" r:id="rId12"/>
    <sheet name="Table S13" sheetId="8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<sst xmlns="http://schemas.openxmlformats.org/spreadsheetml/2006/main" count="38546" uniqueCount="22229">
  <si>
    <r>
      <t>Table S1</t>
    </r>
    <r>
      <rPr>
        <sz val="10"/>
        <rFont val="Times New Roman"/>
        <charset val="134"/>
      </rPr>
      <t xml:space="preserve"> The primer sequences for quantitative real time PCR.</t>
    </r>
  </si>
  <si>
    <t>Gene ID</t>
  </si>
  <si>
    <t>symbol</t>
  </si>
  <si>
    <t>premier-F</t>
  </si>
  <si>
    <t>premier-R</t>
  </si>
  <si>
    <t>J2O13_01G002690</t>
  </si>
  <si>
    <t>EXPA4</t>
  </si>
  <si>
    <t>ATTTCGACCTCGCTATGCCC</t>
  </si>
  <si>
    <t>GGCTCATGCTCATCCAACCA</t>
  </si>
  <si>
    <t>J2O13_02G004853</t>
  </si>
  <si>
    <t>SAUR51</t>
  </si>
  <si>
    <t>CAGCGGTCATCAAACAGATCC</t>
  </si>
  <si>
    <t>CCCAAACTCTTCTTCAGCTTGT</t>
  </si>
  <si>
    <t>J2O13_07G015811</t>
  </si>
  <si>
    <t>Xyl2</t>
  </si>
  <si>
    <t>ATAGGGAGTGTGCTGAGTGGT</t>
  </si>
  <si>
    <t>ATATACATGCCTGGTCACTCCAA</t>
  </si>
  <si>
    <t>J2O13_03G006121</t>
  </si>
  <si>
    <t>IAA29</t>
  </si>
  <si>
    <t>TGAGGCACTGATTCGGACAC</t>
  </si>
  <si>
    <t>TGAGACGAGAGTGAGTGGGT</t>
  </si>
  <si>
    <t>J2O13_02G004547</t>
  </si>
  <si>
    <t>CYCD3-3</t>
  </si>
  <si>
    <t>GCTGCTGTGGCTTGTCTTTC</t>
  </si>
  <si>
    <t>TGATAAAGCTTGCCTGAGATGA</t>
  </si>
  <si>
    <t>J2O13_09G020749</t>
  </si>
  <si>
    <t>XTH6</t>
  </si>
  <si>
    <t>TGTTGGTGGGTCTAGTCGTG</t>
  </si>
  <si>
    <t>GGAGTAACAACCAGCAGCATC</t>
  </si>
  <si>
    <t>J2O13_09G019643</t>
  </si>
  <si>
    <t>SAUR71</t>
  </si>
  <si>
    <t>AAATCACTTCCGCACCTCCA</t>
  </si>
  <si>
    <t>GCTTCGTCGTCACTGGAATC</t>
  </si>
  <si>
    <t>J2O13_05G009467</t>
  </si>
  <si>
    <t>TIR1</t>
  </si>
  <si>
    <t>AAAGGGCTGGAGTCTGTTGG</t>
  </si>
  <si>
    <t>AAGTGGGTGAAATTGGGGCA</t>
  </si>
  <si>
    <r>
      <rPr>
        <b/>
        <sz val="10"/>
        <color rgb="FF000000"/>
        <rFont val="Times New Roman"/>
        <charset val="134"/>
      </rPr>
      <t xml:space="preserve">Table S2 </t>
    </r>
    <r>
      <rPr>
        <sz val="10"/>
        <color rgb="FF000000"/>
        <rFont val="Times New Roman"/>
        <charset val="134"/>
      </rPr>
      <t>Statistics of all samples transcriptome sequencing.</t>
    </r>
  </si>
  <si>
    <t>Sample</t>
  </si>
  <si>
    <t>RawReads(M)</t>
  </si>
  <si>
    <t>RawBases(G)</t>
  </si>
  <si>
    <t>CleanReads(M)</t>
  </si>
  <si>
    <t>CleanBases(G)</t>
  </si>
  <si>
    <t>ValidBases(%)</t>
  </si>
  <si>
    <t>Q30(%)</t>
  </si>
  <si>
    <t>GC(%)</t>
  </si>
  <si>
    <t>Diploid1</t>
  </si>
  <si>
    <t>Diploid2</t>
  </si>
  <si>
    <t>Diploid3</t>
  </si>
  <si>
    <t>Tetraploid1</t>
  </si>
  <si>
    <t>Tetraploid2</t>
  </si>
  <si>
    <t>Tetraploid3</t>
  </si>
  <si>
    <r>
      <rPr>
        <b/>
        <sz val="10"/>
        <rFont val="Times New Roman"/>
        <charset val="134"/>
      </rPr>
      <t>Table S3</t>
    </r>
    <r>
      <rPr>
        <sz val="10"/>
        <rFont val="Times New Roman"/>
        <charset val="134"/>
      </rPr>
      <t xml:space="preserve"> Statistics of alignment rates to the reference genome for each sample.</t>
    </r>
  </si>
  <si>
    <t>Total reads</t>
  </si>
  <si>
    <t>Total mapped reads</t>
  </si>
  <si>
    <t>Multiple mapped</t>
  </si>
  <si>
    <t>Uniquely mapped</t>
  </si>
  <si>
    <t>Read-1</t>
  </si>
  <si>
    <t>Read-2</t>
  </si>
  <si>
    <t>Reads map to '+'</t>
  </si>
  <si>
    <t>Reads map to '-'</t>
  </si>
  <si>
    <t>Non-splice reads</t>
  </si>
  <si>
    <t>Splice reads</t>
  </si>
  <si>
    <t>Reads mapped in proper pairs</t>
  </si>
  <si>
    <t>46753402(98.15%)</t>
  </si>
  <si>
    <t>1399906(2.94%)</t>
  </si>
  <si>
    <t>45353496(95.21%)</t>
  </si>
  <si>
    <t>22737221(47.73%)</t>
  </si>
  <si>
    <t>22616275(47.48%)</t>
  </si>
  <si>
    <t>22674714(47.60%)</t>
  </si>
  <si>
    <t>22678782(47.61%)</t>
  </si>
  <si>
    <t>28401903(59.62%)</t>
  </si>
  <si>
    <t>16951593(35.59%)</t>
  </si>
  <si>
    <t>44736990(93.92%)</t>
  </si>
  <si>
    <t>48662838(98.18%)</t>
  </si>
  <si>
    <t>1381517(2.79%)</t>
  </si>
  <si>
    <t>47281321(95.39%)</t>
  </si>
  <si>
    <t>23700212(47.82%)</t>
  </si>
  <si>
    <t>23581109(47.58%)</t>
  </si>
  <si>
    <t>23636640(47.69%)</t>
  </si>
  <si>
    <t>23644681(47.71%)</t>
  </si>
  <si>
    <t>29687972(59.90%)</t>
  </si>
  <si>
    <t>17593349(35.50%)</t>
  </si>
  <si>
    <t>46642750(94.11%)</t>
  </si>
  <si>
    <t>47658908(98.21%)</t>
  </si>
  <si>
    <t>1419705(2.93%)</t>
  </si>
  <si>
    <t>46239203(95.28%)</t>
  </si>
  <si>
    <t>23181590(47.77%)</t>
  </si>
  <si>
    <t>23057613(47.51%)</t>
  </si>
  <si>
    <t>23119059(47.64%)</t>
  </si>
  <si>
    <t>23120144(47.64%)</t>
  </si>
  <si>
    <t>28943139(59.64%)</t>
  </si>
  <si>
    <t>17296064(35.64%)</t>
  </si>
  <si>
    <t>45608588(93.98%)</t>
  </si>
  <si>
    <t>41696383(97.19%)</t>
  </si>
  <si>
    <t>1141955(2.66%)</t>
  </si>
  <si>
    <t>40554428(94.53%)</t>
  </si>
  <si>
    <t>20252824(47.21%)</t>
  </si>
  <si>
    <t>20301604(47.32%)</t>
  </si>
  <si>
    <t>20264181(47.23%)</t>
  </si>
  <si>
    <t>20290247(47.29%)</t>
  </si>
  <si>
    <t>25913216(60.40%)</t>
  </si>
  <si>
    <t>14641212(34.13%)</t>
  </si>
  <si>
    <t>40027598(93.30%)</t>
  </si>
  <si>
    <t>41152005(96.90%)</t>
  </si>
  <si>
    <t>1062285(2.50%)</t>
  </si>
  <si>
    <t>40089720(94.40%)</t>
  </si>
  <si>
    <t>20028320(47.16%)</t>
  </si>
  <si>
    <t>20061400(47.24%)</t>
  </si>
  <si>
    <t>20037250(47.18%)</t>
  </si>
  <si>
    <t>20052470(47.22%)</t>
  </si>
  <si>
    <t>25656681(60.41%)</t>
  </si>
  <si>
    <t>14433039(33.99%)</t>
  </si>
  <si>
    <t>39601178(93.25%)</t>
  </si>
  <si>
    <t>43543197(95.34%)</t>
  </si>
  <si>
    <t>1275182(2.79%)</t>
  </si>
  <si>
    <t>42268015(92.54%)</t>
  </si>
  <si>
    <t>21113351(46.23%)</t>
  </si>
  <si>
    <t>21154664(46.32%)</t>
  </si>
  <si>
    <t>21121141(46.24%)</t>
  </si>
  <si>
    <t>21146874(46.30%)</t>
  </si>
  <si>
    <t>27235438(59.63%)</t>
  </si>
  <si>
    <t>15032577(32.91%)</t>
  </si>
  <si>
    <t>41701346(91.30%)</t>
  </si>
  <si>
    <r>
      <rPr>
        <b/>
        <sz val="10"/>
        <color rgb="FF000000"/>
        <rFont val="Times New Roman"/>
        <charset val="134"/>
      </rPr>
      <t xml:space="preserve">Table S4 </t>
    </r>
    <r>
      <rPr>
        <sz val="10"/>
        <color rgb="FF000000"/>
        <rFont val="Times New Roman"/>
        <charset val="134"/>
      </rPr>
      <t>List of differentially expressed genes identified in the diploids and tetraploids including their FPKM value, functional annotations and fold change and up-down expressed relation among different ploid level materials.</t>
    </r>
  </si>
  <si>
    <t>BaseMean_DESeq2</t>
  </si>
  <si>
    <t>BaseMean_control_Diploid</t>
  </si>
  <si>
    <t>BaseMean_case_Tetraploid</t>
  </si>
  <si>
    <t>FoldChange</t>
  </si>
  <si>
    <t>log2FoldChange</t>
  </si>
  <si>
    <t>p-value</t>
  </si>
  <si>
    <t>q-value</t>
  </si>
  <si>
    <t>Regulation</t>
  </si>
  <si>
    <t>FPKM_Tetraploid1</t>
  </si>
  <si>
    <t>FPKM_Tetraploid2</t>
  </si>
  <si>
    <t>FPKM_Tetraploid3</t>
  </si>
  <si>
    <t>FPKM_Diploid1</t>
  </si>
  <si>
    <t>FPKM_Diploid2</t>
  </si>
  <si>
    <t>FPKM_Diploid3</t>
  </si>
  <si>
    <t>description</t>
  </si>
  <si>
    <t>pathway</t>
  </si>
  <si>
    <t>pathway_description</t>
  </si>
  <si>
    <t>GO_ID</t>
  </si>
  <si>
    <t>GO_term</t>
  </si>
  <si>
    <t>J2O13_01G000008</t>
  </si>
  <si>
    <t>5.31E-09</t>
  </si>
  <si>
    <t>5.77E-08</t>
  </si>
  <si>
    <t>Down</t>
  </si>
  <si>
    <t>NPF7.3</t>
  </si>
  <si>
    <t>Protein NRT1/ PTR FAMILY 7.3</t>
  </si>
  <si>
    <t>GO:0016020,GO:0005886,GO:0015112,GO:0015386,GO:0015293,GO:0022857,GO:0010150,GO:0015706,GO:0055075,GO:1902600,GO:0010167,GO:0055085</t>
  </si>
  <si>
    <t>membrane|plasma membrane|nitrate transmembrane transporter activity|potassium:proton antiporter activity|symporter activity|transmembrane transporter activity|leaf senescence|nitrate transmembrane transport|potassium ion homeostasis|proton transmembrane transport|response to nitrate|transmembrane transport</t>
  </si>
  <si>
    <t>J2O13_01G000011</t>
  </si>
  <si>
    <t>6.79E-08</t>
  </si>
  <si>
    <t>6.10E-07</t>
  </si>
  <si>
    <t>J2O13_01G000015</t>
  </si>
  <si>
    <t>J2O13_01G000031</t>
  </si>
  <si>
    <t>5.64E-13</t>
  </si>
  <si>
    <t>1.09E-11</t>
  </si>
  <si>
    <t>FLZ2</t>
  </si>
  <si>
    <t>FCS-Like Zinc finger 2</t>
  </si>
  <si>
    <t>GO:0019900,GO:0046872,GO:0009749,GO:1905582,GO:0042594,GO:0009744</t>
  </si>
  <si>
    <t>kinase binding|metal ion binding|response to glucose|response to mannose|response to starvation|response to sucrose</t>
  </si>
  <si>
    <t>J2O13_01G000043</t>
  </si>
  <si>
    <t>Up</t>
  </si>
  <si>
    <t>At1g28695</t>
  </si>
  <si>
    <t>Uncharacterized protein At1g28695</t>
  </si>
  <si>
    <t>J2O13_01G000048</t>
  </si>
  <si>
    <t>2.56E-17</t>
  </si>
  <si>
    <t>8.42E-16</t>
  </si>
  <si>
    <t>At1g02150</t>
  </si>
  <si>
    <t>Pentatricopeptide repeat-containing protein At1g02150</t>
  </si>
  <si>
    <t>GO:0009507,GO:0005739,GO:0003729</t>
  </si>
  <si>
    <t>chloroplast|mitochondrion|mRNA binding</t>
  </si>
  <si>
    <t>J2O13_01G000049</t>
  </si>
  <si>
    <t>1.70E-05</t>
  </si>
  <si>
    <t>9.56E-05</t>
  </si>
  <si>
    <t>J2O13_01G000082</t>
  </si>
  <si>
    <t>LHA1</t>
  </si>
  <si>
    <t>Plasma membrane ATPase 1</t>
  </si>
  <si>
    <t>ko00190</t>
  </si>
  <si>
    <t>Oxidative phosphorylation</t>
  </si>
  <si>
    <t>GO:0016020,GO:0005886,GO:0005524,GO:0016887,GO:0046872,GO:0015662,GO:0008553,GO:0034220,GO:0120029,GO:1902600,GO:0051453</t>
  </si>
  <si>
    <t>membrane|plasma membrane|ATP binding|ATP hydrolysis activity|metal ion binding|P-type ion transporter activity|P-type proton-exporting transporter activity|ion transmembrane transport|proton export across plasma membrane|proton transmembrane transport|regulation of intracellular pH</t>
  </si>
  <si>
    <t>J2O13_01G000088</t>
  </si>
  <si>
    <t>5.75E-08</t>
  </si>
  <si>
    <t>5.22E-07</t>
  </si>
  <si>
    <t>HAT3</t>
  </si>
  <si>
    <t>Homeobox-leucine zipper protein HAT3</t>
  </si>
  <si>
    <t>GO:0005634,GO:0003700,GO:0000981,GO:0043565</t>
  </si>
  <si>
    <t>nucleus|DNA-binding transcription factor activity|DNA-binding transcription factor activity, RNA polymerase II-specific|sequence-specific DNA binding</t>
  </si>
  <si>
    <t>J2O13_01G000100</t>
  </si>
  <si>
    <t>J2O13_01G000104</t>
  </si>
  <si>
    <t>SPL7</t>
  </si>
  <si>
    <t>Squamosa promoter-binding-like protein 7</t>
  </si>
  <si>
    <t>GO:0005634,GO:0003677,GO:0046872</t>
  </si>
  <si>
    <t>nucleus|DNA binding|metal ion binding</t>
  </si>
  <si>
    <t>J2O13_01G000105</t>
  </si>
  <si>
    <t>J2O13_01G000112</t>
  </si>
  <si>
    <t>2.34E-33</t>
  </si>
  <si>
    <t>3.39E-31</t>
  </si>
  <si>
    <t>EXPB2</t>
  </si>
  <si>
    <t>Putative expansin-B2</t>
  </si>
  <si>
    <t>GO:0005576,GO:0016020,GO:0009828,GO:0019953,GO:0009826</t>
  </si>
  <si>
    <t>extracellular region|membrane|plant-type cell wall loosening|sexual reproduction|unidimensional cell growth</t>
  </si>
  <si>
    <t>J2O13_01G000114</t>
  </si>
  <si>
    <t>5.33E-05</t>
  </si>
  <si>
    <t>ZAT9</t>
  </si>
  <si>
    <t>Zinc finger protein ZAT9</t>
  </si>
  <si>
    <t>GO:0005634,GO:0003700,GO:0046872,GO:0000976,GO:0006355</t>
  </si>
  <si>
    <t>nucleus|DNA-binding transcription factor activity|metal ion binding|transcription cis-regulatory region binding|regulation of DNA-templated transcription</t>
  </si>
  <si>
    <t>J2O13_01G000116</t>
  </si>
  <si>
    <t>4.31E-10</t>
  </si>
  <si>
    <t>5.51E-09</t>
  </si>
  <si>
    <t>SPX3</t>
  </si>
  <si>
    <t>SPX domain-containing protein 3</t>
  </si>
  <si>
    <t>GO:0016036,GO:0080040</t>
  </si>
  <si>
    <t>cellular response to phosphate starvation|positive regulation of cellular response to phosphate starvation</t>
  </si>
  <si>
    <t>J2O13_01G000125</t>
  </si>
  <si>
    <t>1.61E-15</t>
  </si>
  <si>
    <t>4.29E-14</t>
  </si>
  <si>
    <t>RGF10</t>
  </si>
  <si>
    <t>Root meristem growth factor 10</t>
  </si>
  <si>
    <t>GO:0005576,GO:0005634,GO:0008083,GO:0030154,GO:0048527,GO:2000280,GO:2000067,GO:0009733</t>
  </si>
  <si>
    <t>extracellular region|nucleus|growth factor activity|cell differentiation|lateral root development|regulation of root development|regulation of root morphogenesis|response to auxin</t>
  </si>
  <si>
    <t>J2O13_01G000129</t>
  </si>
  <si>
    <t>RITF1</t>
  </si>
  <si>
    <t>Protein RGF1 INDUCIBLE TRANSCRIPTION FACTOR 1</t>
  </si>
  <si>
    <t>GO:0005634,GO:0046872,GO:0010078,GO:2000377,GO:2000280,GO:0043434</t>
  </si>
  <si>
    <t>nucleus|metal ion binding|maintenance of root meristem identity|regulation of reactive oxygen species metabolic process|regulation of root development|response to peptide hormone</t>
  </si>
  <si>
    <t>J2O13_01G000135</t>
  </si>
  <si>
    <t>4.38E-13</t>
  </si>
  <si>
    <t>8.56E-12</t>
  </si>
  <si>
    <t>YAB1</t>
  </si>
  <si>
    <t>Axial regulator YABBY 1</t>
  </si>
  <si>
    <t>GO:0005634,GO:0003700,GO:0046872,GO:0000976,GO:0010158,GO:0045165,GO:0010154,GO:0010450,GO:0009933,GO:0009944,GO:0009909,GO:2000024,GO:1902183,GO:0010093,GO:0090706</t>
  </si>
  <si>
    <t>nucleus|DNA-binding transcription factor activity|metal ion binding|transcription cis-regulatory region binding|abaxial cell fate specification|cell fate commitment|fruit development|inflorescence meristem growth|meristem structural organization|polarity specification of adaxial/abaxial axis|regulation of flower development|regulation of leaf development|regulation of shoot apical meristem development|specification of floral organ identity|specification of plant organ position</t>
  </si>
  <si>
    <t>J2O13_01G000136</t>
  </si>
  <si>
    <t>4.78E-13</t>
  </si>
  <si>
    <t>9.33E-12</t>
  </si>
  <si>
    <t>GOS12</t>
  </si>
  <si>
    <t>Golgi SNAP receptor complex member 1-2</t>
  </si>
  <si>
    <t>ko04130</t>
  </si>
  <si>
    <t>SNARE interactions in vesicular transport</t>
  </si>
  <si>
    <t>GO:0005801,GO:0005789,GO:0005768,GO:0005794,GO:0005797,GO:0000139,GO:0000325,GO:0031201,GO:0005802,GO:0005484,GO:0006888,GO:0015031,GO:0006906</t>
  </si>
  <si>
    <t>cis-Golgi network|endoplasmic reticulum membrane|endosome|Golgi apparatus|Golgi medial cisterna|Golgi membrane|plant-type vacuole|SNARE complex|trans-Golgi network|SNAP receptor activity|endoplasmic reticulum to Golgi vesicle-mediated transport|protein transport|vesicle fusion</t>
  </si>
  <si>
    <t>J2O13_01G000152</t>
  </si>
  <si>
    <t>1.12E-12</t>
  </si>
  <si>
    <t>2.05E-11</t>
  </si>
  <si>
    <t>TKL-2</t>
  </si>
  <si>
    <t>Transketolase-2, chloroplastic</t>
  </si>
  <si>
    <t>ko00030,ko00710,ko01051</t>
  </si>
  <si>
    <t>Pentose phosphate pathway|Carbon fixation in photosynthetic organisms|Biosynthesis of ansamycins</t>
  </si>
  <si>
    <t>GO:0009507,GO:0009570,GO:0009535,GO:0005829,GO:0009536,GO:0046872,GO:0004802,GO:0006098,GO:0019253</t>
  </si>
  <si>
    <t>chloroplast|chloroplast stroma|chloroplast thylakoid membrane|cytosol|plastid|metal ion binding|transketolase activity|pentose-phosphate shunt|reductive pentose-phosphate cycle</t>
  </si>
  <si>
    <t>J2O13_01G000161</t>
  </si>
  <si>
    <t>CRPK1</t>
  </si>
  <si>
    <t>Cold-responsive protein kinase 1</t>
  </si>
  <si>
    <t>GO:0005634,GO:0005886,GO:0005524,GO:0106310,GO:0004674,GO:0046777,GO:0009409,GO:0050826,GO:0009625,GO:0002237</t>
  </si>
  <si>
    <t>nucleus|plasma membrane|ATP binding|protein serine kinase activity|protein serine/threonine kinase activity|protein autophosphorylation|response to cold|response to freezing|response to insect|response to molecule of bacterial origin</t>
  </si>
  <si>
    <t>J2O13_01G000171</t>
  </si>
  <si>
    <t>1.38E-06</t>
  </si>
  <si>
    <t>9.69E-06</t>
  </si>
  <si>
    <t>J2O13_01G000176</t>
  </si>
  <si>
    <t>5.82E-27</t>
  </si>
  <si>
    <t>4.93E-25</t>
  </si>
  <si>
    <t>AHL1</t>
  </si>
  <si>
    <t>AT-hook motif nuclear-localized protein 1</t>
  </si>
  <si>
    <t>GO:0098687,GO:0005737,GO:0005739,GO:0005730,GO:0005654,GO:0005634,GO:0003677,GO:0003680,GO:0043565</t>
  </si>
  <si>
    <t>chromosomal region|cytoplasm|mitochondrion|nucleolus|nucleoplasm|nucleus|DNA binding|minor groove of adenine-thymine-rich DNA binding|sequence-specific DNA binding</t>
  </si>
  <si>
    <t>J2O13_01G000180</t>
  </si>
  <si>
    <t>6.07E-10</t>
  </si>
  <si>
    <t>7.55E-09</t>
  </si>
  <si>
    <t>atpF</t>
  </si>
  <si>
    <t>ATP synthase subunit b, chloroplastic</t>
  </si>
  <si>
    <t>ko00190,ko00195</t>
  </si>
  <si>
    <t>Oxidative phosphorylation|Photosynthesis</t>
  </si>
  <si>
    <t>GO:0009535,GO:0045263,GO:0046933</t>
  </si>
  <si>
    <t>chloroplast thylakoid membrane|proton-transporting ATP synthase complex, coupling factor F(o)|proton-transporting ATP synthase activity, rotational mechanism</t>
  </si>
  <si>
    <t>J2O13_01G000192</t>
  </si>
  <si>
    <t>CYP704C1</t>
  </si>
  <si>
    <t>Cytochrome P450 704C1</t>
  </si>
  <si>
    <t>GO:0016020,GO:0020037,GO:0005506,GO:0004497,GO:0016705</t>
  </si>
  <si>
    <t>membrane|heme binding|iron ion binding|monooxygenase activity|oxidoreductase activity, acting on paired donors, with incorporation or reduction of molecular oxygen</t>
  </si>
  <si>
    <t>J2O13_01G000206</t>
  </si>
  <si>
    <t>J2O13_01G000207</t>
  </si>
  <si>
    <t>3.04E-05</t>
  </si>
  <si>
    <t>HPR3</t>
  </si>
  <si>
    <t>Glyoxylate/hydroxypyruvate reductase HPR3</t>
  </si>
  <si>
    <t>GO:0030267,GO:0016618,GO:0051287,GO:0009854,GO:0009853</t>
  </si>
  <si>
    <t>glyoxylate reductase (NADP+) activity|hydroxypyruvate reductase activity|NAD binding|oxidative photosynthetic carbon pathway|photorespiration</t>
  </si>
  <si>
    <t>J2O13_01G000209</t>
  </si>
  <si>
    <t>GA20OX2</t>
  </si>
  <si>
    <t>Gibberellin 20 oxidase 2</t>
  </si>
  <si>
    <t>ko00904</t>
  </si>
  <si>
    <t>Diterpenoid biosynthesis</t>
  </si>
  <si>
    <t>GO:0051213,GO:0103055,GO:0045544,GO:0103054,GO:0103056,GO:0046872,GO:0009908,GO:0009686,GO:0009739,GO:0009416,GO:0009639,GO:0009826</t>
  </si>
  <si>
    <t>dioxygenase activity|gibberelli A15, 2-oxoglutarate:oxygen oxidoreductase activity|gibberellin 20-oxidase activity|gibberellin A12, 2-oxoglutarate:oxygen oxidoreductase activity (gibberellin A15-forming)|gibberellin A53, 2-oxoglutarate:oxygen oxidoreductase activity|metal ion binding|flower development|gibberellin biosynthetic process|response to gibberellin|response to light stimulus|response to red or far red light|unidimensional cell growth</t>
  </si>
  <si>
    <t>J2O13_01G000212</t>
  </si>
  <si>
    <t>1.07E-05</t>
  </si>
  <si>
    <t>6.27E-05</t>
  </si>
  <si>
    <t>At5g51830</t>
  </si>
  <si>
    <t>Probable fructokinase-7</t>
  </si>
  <si>
    <t>ko00051,ko00500,ko00520</t>
  </si>
  <si>
    <t>Fructose and mannose metabolism|Starch and sucrose metabolism|Amino sugar and nucleotide sugar metabolism</t>
  </si>
  <si>
    <t>GO:0005829,GO:0005524,GO:0008865,GO:0016051,GO:0006633,GO:0006000,GO:0019252</t>
  </si>
  <si>
    <t>cytosol|ATP binding|fructokinase activity|carbohydrate biosynthetic process|fatty acid biosynthetic process|fructose metabolic process|starch biosynthetic process</t>
  </si>
  <si>
    <t>J2O13_01G000223</t>
  </si>
  <si>
    <t>5.01E-10</t>
  </si>
  <si>
    <t>6.30E-09</t>
  </si>
  <si>
    <t>At4g22990</t>
  </si>
  <si>
    <t>SPX domain-containing membrane protein At4g22990</t>
  </si>
  <si>
    <t>GO:0016020,GO:0009705,GO:0022857,GO:1905011</t>
  </si>
  <si>
    <t>membrane|plant-type vacuole membrane|transmembrane transporter activity|transmembrane phosphate ion transport from cytosol to vacuole</t>
  </si>
  <si>
    <t>J2O13_01G000240</t>
  </si>
  <si>
    <t>At4g00750</t>
  </si>
  <si>
    <t>Probable methyltransferase PMT15</t>
  </si>
  <si>
    <t>GO:0005737,GO:0005829,GO:0005768,GO:0005794,GO:0000139,GO:0005802,GO:0008168,GO:0032259</t>
  </si>
  <si>
    <t>cytoplasm|cytosol|endosome|Golgi apparatus|Golgi membrane|trans-Golgi network|methyltransferase activity|methylation</t>
  </si>
  <si>
    <t>J2O13_01G000253</t>
  </si>
  <si>
    <t>BAP2</t>
  </si>
  <si>
    <t>BON1-associated protein 2</t>
  </si>
  <si>
    <t>GO:0016020,GO:0006952</t>
  </si>
  <si>
    <t>membrane|defense response</t>
  </si>
  <si>
    <t>J2O13_01G000259</t>
  </si>
  <si>
    <t>1.99E-08</t>
  </si>
  <si>
    <t>1.96E-07</t>
  </si>
  <si>
    <t>At3g42630</t>
  </si>
  <si>
    <t>Pentatricopeptide repeat-containing protein At3g42630</t>
  </si>
  <si>
    <t>J2O13_01G000264</t>
  </si>
  <si>
    <t>7.87E-06</t>
  </si>
  <si>
    <t>4.75E-05</t>
  </si>
  <si>
    <t>KEA2</t>
  </si>
  <si>
    <t>K(+) efflux antiporter 2, chloroplastic</t>
  </si>
  <si>
    <t>GO:0009507,GO:0009706,GO:0016020,GO:0015079,GO:0015386,GO:0015078,GO:0019722,GO:0140899,GO:0042794,GO:0006813,GO:0080022,GO:2001057,GO:1900069,GO:0006885,GO:0010109,GO:2000377,GO:2000070,GO:1900140,GO:0009737,GO:0009646,GO:0009744</t>
  </si>
  <si>
    <t>chloroplast|chloroplast inner membrane|membrane|potassium ion transmembrane transporter activity|potassium:proton antiporter activity|proton transmembrane transporter activity|calcium-mediated signaling|plastid gene expression|plastid rRNA transcription|potassium ion transport|primary root development|reactive nitrogen species metabolic process|regulation of cellular hyperosmotic salinity response|regulation of pH|regulation of photosynthesis|regulation of reactive oxygen species metabolic process|regulation of response to water deprivation|regulation of seedling development|response to abscisic acid|response to absence of light|response to sucrose</t>
  </si>
  <si>
    <t>J2O13_01G000266</t>
  </si>
  <si>
    <t>J2O13_01G000274</t>
  </si>
  <si>
    <t>J2O13_01G000282</t>
  </si>
  <si>
    <t>BSK3</t>
  </si>
  <si>
    <t>Serine/threonine-protein kinase BSK3</t>
  </si>
  <si>
    <t>ko04075</t>
  </si>
  <si>
    <t>Plant hormone signal transduction</t>
  </si>
  <si>
    <t>GO:0005829,GO:0005886,GO:0009506,GO:0005524,GO:0106310,GO:0004674,GO:0009742,GO:0006468</t>
  </si>
  <si>
    <t>cytosol|plasma membrane|plasmodesma|ATP binding|protein serine kinase activity|protein serine/threonine kinase activity|brassinosteroid mediated signaling pathway|protein phosphorylation</t>
  </si>
  <si>
    <t>J2O13_01G000285</t>
  </si>
  <si>
    <t>1.53E-07</t>
  </si>
  <si>
    <t>1.28E-06</t>
  </si>
  <si>
    <t>VCCN1</t>
  </si>
  <si>
    <t>Voltage-dependent chloride channel 1, chloroplastic</t>
  </si>
  <si>
    <t>GO:0009507,GO:0031969,GO:0009533,GO:0042651,GO:0005247,GO:0019684,GO:0042548,GO:0010027</t>
  </si>
  <si>
    <t>chloroplast|chloroplast membrane|chloroplast stromal thylakoid|thylakoid membrane|voltage-gated chloride channel activity|photosynthesis, light reaction|regulation of photosynthesis, light reaction|thylakoid membrane organization</t>
  </si>
  <si>
    <t>J2O13_01G000307</t>
  </si>
  <si>
    <t>7.47E-13</t>
  </si>
  <si>
    <t>1.41E-11</t>
  </si>
  <si>
    <t>SPPL4</t>
  </si>
  <si>
    <t>Signal peptide peptidase-like 4</t>
  </si>
  <si>
    <t>GO:0098554,GO:0010008,GO:0030660,GO:0098553,GO:0005765,GO:0042500,GO:0033619</t>
  </si>
  <si>
    <t>cytoplasmic side of endoplasmic reticulum membrane|endosome membrane|Golgi-associated vesicle membrane|lumenal side of endoplasmic reticulum membrane|lysosomal membrane|aspartic endopeptidase activity, intramembrane cleaving|membrane protein proteolysis</t>
  </si>
  <si>
    <t>J2O13_01G000311</t>
  </si>
  <si>
    <t>GPAT8</t>
  </si>
  <si>
    <t>Probable glycerol-3-phosphate acyltransferase 8</t>
  </si>
  <si>
    <t>ko00561,ko00564</t>
  </si>
  <si>
    <t>Glycerolipid metabolism|Glycerophospholipid metabolism</t>
  </si>
  <si>
    <t>GO:0005783,GO:0016020,GO:0090447,GO:0004366,GO:0016791,GO:0102420,GO:0016024,GO:0010143</t>
  </si>
  <si>
    <t>endoplasmic reticulum|membrane|glycerol-3-phosphate 2-O-acyltransferase activity|glycerol-3-phosphate O-acyltransferase activity|phosphatase activity|sn-1-glycerol-3-phosphate C16:0-DCA-CoA acyl transferase activity|CDP-diacylglycerol biosynthetic process|cutin biosynthetic process</t>
  </si>
  <si>
    <t>J2O13_01G000312</t>
  </si>
  <si>
    <t>1.52E-18</t>
  </si>
  <si>
    <t>5.78E-17</t>
  </si>
  <si>
    <t>PHT44</t>
  </si>
  <si>
    <t>Ascorbate transporter, chloroplastic</t>
  </si>
  <si>
    <t>GO:0009507,GO:0009941,GO:0009706,GO:0009536,GO:0005315,GO:0015229,GO:0015882,GO:0010028</t>
  </si>
  <si>
    <t>chloroplast|chloroplast envelope|chloroplast inner membrane|plastid|inorganic phosphate transmembrane transporter activity|L-ascorbic acid transmembrane transporter activity|L-ascorbic acid transmembrane transport|xanthophyll cycle</t>
  </si>
  <si>
    <t>J2O13_01G000318</t>
  </si>
  <si>
    <t>1.45E-16</t>
  </si>
  <si>
    <t>4.32E-15</t>
  </si>
  <si>
    <t>CAS2</t>
  </si>
  <si>
    <t>L-3-cyanoalanine synthase 2, mitochondrial</t>
  </si>
  <si>
    <t>ko00920,ko00270,ko00460</t>
  </si>
  <si>
    <t>Sulfur metabolism|Cysteine and methionine metabolism|Cyanoamino acid metabolism</t>
  </si>
  <si>
    <t>GO:0005739,GO:0004124,GO:0050017,GO:0006535,GO:0009836</t>
  </si>
  <si>
    <t>mitochondrion|cysteine synthase activity|L-3-cyanoalanine synthase activity|cysteine biosynthetic process from serine|fruit ripening, climacteric</t>
  </si>
  <si>
    <t>J2O13_01G000321</t>
  </si>
  <si>
    <t>2.29E-11</t>
  </si>
  <si>
    <t>3.51E-10</t>
  </si>
  <si>
    <t>UBC5</t>
  </si>
  <si>
    <t>Ubiquitin-conjugating enzyme E2 5</t>
  </si>
  <si>
    <t>ko04120</t>
  </si>
  <si>
    <t>Ubiquitin mediated proteolysis</t>
  </si>
  <si>
    <t>GO:0005634,GO:0005524,GO:0061631,GO:0004842,GO:0000209,GO:0006511</t>
  </si>
  <si>
    <t>nucleus|ATP binding|ubiquitin conjugating enzyme activity|ubiquitin-protein transferase activity|protein polyubiquitination|ubiquitin-dependent protein catabolic process</t>
  </si>
  <si>
    <t>J2O13_01G000336</t>
  </si>
  <si>
    <t>FRO2</t>
  </si>
  <si>
    <t>Ferric reduction oxidase 2</t>
  </si>
  <si>
    <t>GO:0005886,GO:0140618,GO:0000293,GO:0046872,GO:0055072,GO:0009617,GO:0033214</t>
  </si>
  <si>
    <t>plasma membrane|ferric-chelate reductase (NADH) activity|ferric-chelate reductase activity|metal ion binding|iron ion homeostasis|response to bacterium|siderophore-dependent iron import into cell</t>
  </si>
  <si>
    <t>J2O13_01G000347</t>
  </si>
  <si>
    <t>At3g02645</t>
  </si>
  <si>
    <t>Putative UPF0481 protein At3g02645</t>
  </si>
  <si>
    <t>GO:0016020</t>
  </si>
  <si>
    <t>membrane</t>
  </si>
  <si>
    <t>J2O13_01G000353</t>
  </si>
  <si>
    <t>1.67E-08</t>
  </si>
  <si>
    <t>1.67E-07</t>
  </si>
  <si>
    <t>HIPP39</t>
  </si>
  <si>
    <t>Heavy metal-associated isoprenylated plant protein 39</t>
  </si>
  <si>
    <t>GO:0046872</t>
  </si>
  <si>
    <t>metal ion binding</t>
  </si>
  <si>
    <t>J2O13_01G000355</t>
  </si>
  <si>
    <t>3.29E-06</t>
  </si>
  <si>
    <t>2.15E-05</t>
  </si>
  <si>
    <t>ACS1</t>
  </si>
  <si>
    <t>1-aminocyclopropane-1-carboxylate synthase 1</t>
  </si>
  <si>
    <t>ko00270,ko04016</t>
  </si>
  <si>
    <t>Cysteine and methionine metabolism|MAPK signaling pathway - plant</t>
  </si>
  <si>
    <t>GO:0016847,GO:0030170,GO:0009693,GO:0009835</t>
  </si>
  <si>
    <t>1-aminocyclopropane-1-carboxylate synthase activity|pyridoxal phosphate binding|ethylene biosynthetic process|fruit ripening</t>
  </si>
  <si>
    <t>J2O13_01G000368</t>
  </si>
  <si>
    <t>8.26E-07</t>
  </si>
  <si>
    <t>6.04E-06</t>
  </si>
  <si>
    <t>At1g64065</t>
  </si>
  <si>
    <t>Late embryogenesis abundant protein At1g64065</t>
  </si>
  <si>
    <t>J2O13_01G000397</t>
  </si>
  <si>
    <t>5.59E-17</t>
  </si>
  <si>
    <t>1.76E-15</t>
  </si>
  <si>
    <t>At4g01130</t>
  </si>
  <si>
    <t>GDSL esterase/lipase At4g01130</t>
  </si>
  <si>
    <t>GO:0005829,GO:0005576,GO:0016788,GO:0016042</t>
  </si>
  <si>
    <t>cytosol|extracellular region|hydrolase activity, acting on ester bonds|lipid catabolic process</t>
  </si>
  <si>
    <t>J2O13_01G000410</t>
  </si>
  <si>
    <t>3.11E-15</t>
  </si>
  <si>
    <t>8.02E-14</t>
  </si>
  <si>
    <t>PCR6</t>
  </si>
  <si>
    <t>Protein PLANT CADMIUM RESISTANCE 6</t>
  </si>
  <si>
    <t>J2O13_01G000420</t>
  </si>
  <si>
    <t>7.77E-06</t>
  </si>
  <si>
    <t>4.70E-05</t>
  </si>
  <si>
    <t>MSH2</t>
  </si>
  <si>
    <t>DNA mismatch repair protein MSH2</t>
  </si>
  <si>
    <t>ko03430,ko05200,ko05210,ko01524</t>
  </si>
  <si>
    <t>Mismatch repair|Pathways in cancer|Colorectal cancer|Platinum drug resistance</t>
  </si>
  <si>
    <t>GO:0032301,GO:0005634,GO:0005886,GO:0005524,GO:0140664,GO:0003684,GO:0003690,GO:0030983,GO:0006298,GO:0006312,GO:0045128,GO:0006290</t>
  </si>
  <si>
    <t>MutSalpha complex|nucleus|plasma membrane|ATP binding|ATP-dependent DNA damage sensor activity|damaged DNA binding|double-stranded DNA binding|mismatched DNA binding|mismatch repair|mitotic recombination|negative regulation of reciprocal meiotic recombination|pyrimidine dimer repair</t>
  </si>
  <si>
    <t>J2O13_01G000421</t>
  </si>
  <si>
    <t>1.26E-27</t>
  </si>
  <si>
    <t>1.16E-25</t>
  </si>
  <si>
    <t>TCP12</t>
  </si>
  <si>
    <t>Transcription factor TCP12</t>
  </si>
  <si>
    <t>GO:0005634,GO:0003700,GO:0043565,GO:0006355,GO:2000032</t>
  </si>
  <si>
    <t>nucleus|DNA-binding transcription factor activity|sequence-specific DNA binding|regulation of DNA-templated transcription|regulation of secondary shoot formation</t>
  </si>
  <si>
    <t>J2O13_01G000429</t>
  </si>
  <si>
    <t>1.72E-14</t>
  </si>
  <si>
    <t>4.01E-13</t>
  </si>
  <si>
    <t>CHUP1</t>
  </si>
  <si>
    <t>Protein CHUP1, chloroplastic</t>
  </si>
  <si>
    <t>GO:0009507,GO:0009707,GO:0005829,GO:0009658,GO:0009902</t>
  </si>
  <si>
    <t>chloroplast|chloroplast outer membrane|cytosol|chloroplast organization|chloroplast relocation</t>
  </si>
  <si>
    <t>J2O13_01G000437</t>
  </si>
  <si>
    <t>1.72E-06</t>
  </si>
  <si>
    <t>1.19E-05</t>
  </si>
  <si>
    <t>J2O13_01G000438</t>
  </si>
  <si>
    <t>CYP26-2</t>
  </si>
  <si>
    <t>Peptidyl-prolyl cis-trans isomerase CYP26-2, chloroplastic</t>
  </si>
  <si>
    <t>GO:0009507,GO:0009534,GO:0005739,GO:0003755,GO:0000413</t>
  </si>
  <si>
    <t>chloroplast|chloroplast thylakoid|mitochondrion|peptidyl-prolyl cis-trans isomerase activity|protein peptidyl-prolyl isomerization</t>
  </si>
  <si>
    <t>J2O13_01G000440</t>
  </si>
  <si>
    <t>PII-2</t>
  </si>
  <si>
    <t>Piriformospora indica-insensitive protein 2</t>
  </si>
  <si>
    <t>GO:0005886,GO:0044403,GO:0009610</t>
  </si>
  <si>
    <t>plasma membrane|biological process involved in symbiotic interaction|response to symbiotic fungus</t>
  </si>
  <si>
    <t>J2O13_01G000445</t>
  </si>
  <si>
    <t>CML15</t>
  </si>
  <si>
    <t>Probable calcium-binding protein CML15</t>
  </si>
  <si>
    <t>GO:0005509,GO:0030234</t>
  </si>
  <si>
    <t>calcium ion binding|enzyme regulator activity</t>
  </si>
  <si>
    <t>J2O13_01G000448</t>
  </si>
  <si>
    <t>6.93E-06</t>
  </si>
  <si>
    <t>4.23E-05</t>
  </si>
  <si>
    <t>HSP18.2</t>
  </si>
  <si>
    <t>18.2 kDa class I heat shock protein</t>
  </si>
  <si>
    <t>ko04141</t>
  </si>
  <si>
    <t>Protein processing in endoplasmic reticulum</t>
  </si>
  <si>
    <t>GO:0005737</t>
  </si>
  <si>
    <t>cytoplasm</t>
  </si>
  <si>
    <t>J2O13_01G000449</t>
  </si>
  <si>
    <t>6.07E-36</t>
  </si>
  <si>
    <t>1.04E-33</t>
  </si>
  <si>
    <t>CAS</t>
  </si>
  <si>
    <t>Calcium sensing receptor, chloroplastic</t>
  </si>
  <si>
    <t>GO:0009507,GO:0009534,GO:0009535,GO:0005739,GO:0009536,GO:0009579,GO:0071277,GO:0009704,GO:0090333</t>
  </si>
  <si>
    <t>chloroplast|chloroplast thylakoid|chloroplast thylakoid membrane|mitochondrion|plastid|thylakoid|cellular response to calcium ion|de-etiolation|regulation of stomatal closure</t>
  </si>
  <si>
    <t>J2O13_01G000450</t>
  </si>
  <si>
    <t>RGA3</t>
  </si>
  <si>
    <t>Putative disease resistance protein RGA3</t>
  </si>
  <si>
    <t>GO:0043531,GO:0005524,GO:0050832</t>
  </si>
  <si>
    <t>ADP binding|ATP binding|defense response to fungus</t>
  </si>
  <si>
    <t>J2O13_01G000467</t>
  </si>
  <si>
    <t>1.62E-08</t>
  </si>
  <si>
    <t>1.62E-07</t>
  </si>
  <si>
    <t>SPPA</t>
  </si>
  <si>
    <t>Serine protease SPPA, chloroplastic</t>
  </si>
  <si>
    <t>GO:0009507,GO:0009941,GO:0009570,GO:0009534,GO:0009535,GO:0005739,GO:0004252,GO:0006508,GO:0006465</t>
  </si>
  <si>
    <t>chloroplast|chloroplast envelope|chloroplast stroma|chloroplast thylakoid|chloroplast thylakoid membrane|mitochondrion|serine-type endopeptidase activity|proteolysis|signal peptide processing</t>
  </si>
  <si>
    <t>J2O13_01G000468</t>
  </si>
  <si>
    <t>2.06E-05</t>
  </si>
  <si>
    <t>PCMP-H8</t>
  </si>
  <si>
    <t>Pentatricopeptide repeat-containing protein At1g18485</t>
  </si>
  <si>
    <t>GO:0003729,GO:0008270,GO:0009451</t>
  </si>
  <si>
    <t>mRNA binding|zinc ion binding|RNA modification</t>
  </si>
  <si>
    <t>J2O13_01G000471</t>
  </si>
  <si>
    <t>J2O13_01G000477</t>
  </si>
  <si>
    <t>Cytochrome P450 CYP749A22 OS=Panax ginseng OX=4054 PE=2 SV=1</t>
  </si>
  <si>
    <t>J2O13_01G000480</t>
  </si>
  <si>
    <t>1.79E-10</t>
  </si>
  <si>
    <t>2.40E-09</t>
  </si>
  <si>
    <t>FER</t>
  </si>
  <si>
    <t>Receptor-like protein kinase FERONIA</t>
  </si>
  <si>
    <t>GO:0043680,GO:0005886,GO:0009506,GO:0005524,GO:0004672,GO:0106310,GO:0004674,GO:0009738,GO:0009742,GO:0032922,GO:0050832,GO:0009873,GO:0009788,GO:0030308,GO:0010483,GO:0009791,GO:0046777,GO:0009741,GO:0009723,GO:0048364,GO:0010118</t>
  </si>
  <si>
    <t>filiform apparatus|plasma membrane|plasmodesma|ATP binding|protein kinase activity|protein serine kinase activity|protein serine/threonine kinase activity|abscisic acid-activated signaling pathway|brassinosteroid mediated signaling pathway|circadian regulation of gene expression|defense response to fungus|ethylene-activated signaling pathway|negative regulation of abscisic acid-activated signaling pathway|negative regulation of cell growth|pollen tube reception|post-embryonic development|protein autophosphorylation|response to brassinosteroid|response to ethylene|root development|stomatal movement</t>
  </si>
  <si>
    <t>J2O13_01G000487</t>
  </si>
  <si>
    <t>7.08E-16</t>
  </si>
  <si>
    <t>1.95E-14</t>
  </si>
  <si>
    <t>At1g69160</t>
  </si>
  <si>
    <t>Protein BIG GRAIN 1-like E</t>
  </si>
  <si>
    <t>GO:0005886,GO:0060918,GO:0009734,GO:0010929</t>
  </si>
  <si>
    <t>plasma membrane|auxin transport|auxin-activated signaling pathway|positive regulation of auxin mediated signaling pathway</t>
  </si>
  <si>
    <t>J2O13_01G000505</t>
  </si>
  <si>
    <t>1.01E-05</t>
  </si>
  <si>
    <t>5.98E-05</t>
  </si>
  <si>
    <t>J2O13_01G000512</t>
  </si>
  <si>
    <t>1.01E-07</t>
  </si>
  <si>
    <t>8.82E-07</t>
  </si>
  <si>
    <t>VTE7</t>
  </si>
  <si>
    <t>Alpha/beta hydrolase domain-containing protein VTE7</t>
  </si>
  <si>
    <t>J2O13_01G000529</t>
  </si>
  <si>
    <t>SNAP30</t>
  </si>
  <si>
    <t>Putative SNAP25 homologous protein SNAP30</t>
  </si>
  <si>
    <t>ko04911,ko04721</t>
  </si>
  <si>
    <t>Insulin secretion|Synaptic vesicle cycle</t>
  </si>
  <si>
    <t>GO:0005886,GO:0031201,GO:0005484,GO:0061025,GO:0015031,GO:0016192</t>
  </si>
  <si>
    <t>plasma membrane|SNARE complex|SNAP receptor activity|membrane fusion|protein transport|vesicle-mediated transport</t>
  </si>
  <si>
    <t>J2O13_01G000537</t>
  </si>
  <si>
    <t>2.92E-06</t>
  </si>
  <si>
    <t>1.93E-05</t>
  </si>
  <si>
    <t>J2O13_01G000538</t>
  </si>
  <si>
    <t>7.93E-25</t>
  </si>
  <si>
    <t>5.43E-23</t>
  </si>
  <si>
    <t>At3g23880</t>
  </si>
  <si>
    <t>F-box/kelch-repeat protein At3g23880</t>
  </si>
  <si>
    <t>GO:0005634</t>
  </si>
  <si>
    <t>nucleus</t>
  </si>
  <si>
    <t>J2O13_01G000544</t>
  </si>
  <si>
    <t>8.61E-53</t>
  </si>
  <si>
    <t>4.94E-50</t>
  </si>
  <si>
    <t>PNC2</t>
  </si>
  <si>
    <t>Cationic peroxidase 2</t>
  </si>
  <si>
    <t>ko00940</t>
  </si>
  <si>
    <t>Phenylpropanoid biosynthesis</t>
  </si>
  <si>
    <t>GO:0005576,GO:0020037,GO:0140825,GO:0046872,GO:0042744,GO:0006979</t>
  </si>
  <si>
    <t>extracellular region|heme binding|lactoperoxidase activity|metal ion binding|hydrogen peroxide catabolic process|response to oxidative stress</t>
  </si>
  <si>
    <t>J2O13_01G000549</t>
  </si>
  <si>
    <t>6.77E-10</t>
  </si>
  <si>
    <t>8.37E-09</t>
  </si>
  <si>
    <t>IPK</t>
  </si>
  <si>
    <t>Isopentenyl phosphate kinase</t>
  </si>
  <si>
    <t>ko00900</t>
  </si>
  <si>
    <t>Terpenoid backbone biosynthesis</t>
  </si>
  <si>
    <t>GO:0005829,GO:0005524,GO:0102043,GO:0016301,GO:0016310,GO:0016114</t>
  </si>
  <si>
    <t>cytosol|ATP binding|isopentenyl phosphate kinase activity|kinase activity|phosphorylation|terpenoid biosynthetic process</t>
  </si>
  <si>
    <t>J2O13_01G000574</t>
  </si>
  <si>
    <t>J2O13_01G000588</t>
  </si>
  <si>
    <t>1.59E-06</t>
  </si>
  <si>
    <t>1.10E-05</t>
  </si>
  <si>
    <t>EXPA1</t>
  </si>
  <si>
    <t>Expansin-A1</t>
  </si>
  <si>
    <t>GO:0005576,GO:0016020,GO:0009653,GO:0009664</t>
  </si>
  <si>
    <t>extracellular region|membrane|anatomical structure morphogenesis|plant-type cell wall organization</t>
  </si>
  <si>
    <t>J2O13_01G000594</t>
  </si>
  <si>
    <t>1.73E-05</t>
  </si>
  <si>
    <t>9.70E-05</t>
  </si>
  <si>
    <t>CDF3</t>
  </si>
  <si>
    <t>Cyclic dof factor 3</t>
  </si>
  <si>
    <t>GO:0005634,GO:0003677,GO:0003700,GO:0046872,GO:0009908,GO:0006355</t>
  </si>
  <si>
    <t>nucleus|DNA binding|DNA-binding transcription factor activity|metal ion binding|flower development|regulation of DNA-templated transcription</t>
  </si>
  <si>
    <t>J2O13_01G000595</t>
  </si>
  <si>
    <t>1.34E-11</t>
  </si>
  <si>
    <t>2.13E-10</t>
  </si>
  <si>
    <t>J2O13_01G000602</t>
  </si>
  <si>
    <t>RNS3</t>
  </si>
  <si>
    <t>Ribonuclease 3</t>
  </si>
  <si>
    <t>GO:0005576,GO:0004521,GO:0033897,GO:0003723,GO:0006401</t>
  </si>
  <si>
    <t>extracellular region|endoribonuclease activity|ribonuclease T2 activity|RNA binding|RNA catabolic process</t>
  </si>
  <si>
    <t>J2O13_01G000605</t>
  </si>
  <si>
    <t>5.76E-07</t>
  </si>
  <si>
    <t>4.35E-06</t>
  </si>
  <si>
    <t>AVT1I</t>
  </si>
  <si>
    <t>Amino acid transporter AVT1I</t>
  </si>
  <si>
    <t>ko04727,ko04723,ko04721,ko05032,ko05033</t>
  </si>
  <si>
    <t>GABAergic synapse|Retrograde endocannabinoid signaling|Synaptic vesicle cycle|Morphine addiction|Nicotine addiction</t>
  </si>
  <si>
    <t>GO:0016020,GO:0000325,GO:0015171,GO:0003333</t>
  </si>
  <si>
    <t>membrane|plant-type vacuole|amino acid transmembrane transporter activity|amino acid transmembrane transport</t>
  </si>
  <si>
    <t>J2O13_01G000610</t>
  </si>
  <si>
    <t>J2O13_01G000611</t>
  </si>
  <si>
    <t>1.90E-12</t>
  </si>
  <si>
    <t>3.42E-11</t>
  </si>
  <si>
    <t>ZHD11</t>
  </si>
  <si>
    <t>Zinc-finger homeodomain protein 11</t>
  </si>
  <si>
    <t>GO:0005634,GO:0003677,GO:0003700,GO:0046872,GO:0042803,GO:0000976,GO:0045893,GO:0006355,GO:0009414</t>
  </si>
  <si>
    <t>nucleus|DNA binding|DNA-binding transcription factor activity|metal ion binding|protein homodimerization activity|transcription cis-regulatory region binding|positive regulation of DNA-templated transcription|regulation of DNA-templated transcription|response to water deprivation</t>
  </si>
  <si>
    <t>J2O13_01G000618</t>
  </si>
  <si>
    <t>1.37E-36</t>
  </si>
  <si>
    <t>2.46E-34</t>
  </si>
  <si>
    <t>J2O13_01G000625</t>
  </si>
  <si>
    <t>J2O13_01G000637</t>
  </si>
  <si>
    <t>HVA22C</t>
  </si>
  <si>
    <t>HVA22-like protein c</t>
  </si>
  <si>
    <t>GO:0016020,GO:0009506,GO:0042538,GO:0009737,GO:0009414</t>
  </si>
  <si>
    <t>membrane|plasmodesma|hyperosmotic salinity response|response to abscisic acid|response to water deprivation</t>
  </si>
  <si>
    <t>J2O13_01G000642</t>
  </si>
  <si>
    <t>9.86E-05</t>
  </si>
  <si>
    <t>J2O13_01G000648</t>
  </si>
  <si>
    <t>PRE6</t>
  </si>
  <si>
    <t>Transcription factor PRE6</t>
  </si>
  <si>
    <t>GO:0005737,GO:0005634,GO:0046983,GO:0006355,GO:0040008,GO:0009416</t>
  </si>
  <si>
    <t>cytoplasm|nucleus|protein dimerization activity|regulation of DNA-templated transcription|regulation of growth|response to light stimulus</t>
  </si>
  <si>
    <t>J2O13_01G000654</t>
  </si>
  <si>
    <t>MYB88</t>
  </si>
  <si>
    <t>Transcription factor MYB88</t>
  </si>
  <si>
    <t>GO:0005634,GO:0003700,GO:0000981,GO:0000978,GO:0043565,GO:0009553,GO:0010052,GO:0010235,GO:0010444,GO:0048527,GO:0009554,GO:0050891,GO:1901333,GO:1901002,GO:1902584,GO:1902806,GO:0032875,GO:0006355,GO:2000037,GO:0009737,GO:0009629,GO:0010376</t>
  </si>
  <si>
    <t>nucleus|DNA-binding transcription factor activity|DNA-binding transcription factor activity, RNA polymerase II-specific|RNA polymerase II cis-regulatory region sequence-specific DNA binding|sequence-specific DNA binding|embryo sac development|guard cell differentiation|guard mother cell cytokinesis|guard mother cell differentiation|lateral root development|megasporogenesis|multicellular organismal water homeostasis|positive regulation of lateral root development|positive regulation of response to salt stress|positive regulation of response to water deprivation|regulation of cell cycle G1/S phase transition|regulation of DNA endoreduplication|regulation of DNA-templated transcription|regulation of stomatal complex patterning|response to abscisic acid|response to gravity|stomatal complex formation</t>
  </si>
  <si>
    <t>J2O13_01G000656</t>
  </si>
  <si>
    <t>1.06E-22</t>
  </si>
  <si>
    <t>5.95E-21</t>
  </si>
  <si>
    <t>PBL3</t>
  </si>
  <si>
    <t>Probable serine/threonine-protein kinase PBL3</t>
  </si>
  <si>
    <t>GO:0005737,GO:0005634,GO:0005886,GO:0005524,GO:0106310,GO:0004674,GO:0006952,GO:0006468</t>
  </si>
  <si>
    <t>cytoplasm|nucleus|plasma membrane|ATP binding|protein serine kinase activity|protein serine/threonine kinase activity|defense response|protein phosphorylation</t>
  </si>
  <si>
    <t>J2O13_01G000660</t>
  </si>
  <si>
    <t>1.02E-07</t>
  </si>
  <si>
    <t>8.91E-07</t>
  </si>
  <si>
    <t>J2O13_01G000661</t>
  </si>
  <si>
    <t>J2O13_01G000666</t>
  </si>
  <si>
    <t>2.55E-23</t>
  </si>
  <si>
    <t>1.51E-21</t>
  </si>
  <si>
    <t>CBSCBS2</t>
  </si>
  <si>
    <t>SNF1-related protein kinase regulatory subunit gamma-1-like</t>
  </si>
  <si>
    <t>GO:0005739,GO:0005975</t>
  </si>
  <si>
    <t>mitochondrion|carbohydrate metabolic process</t>
  </si>
  <si>
    <t>J2O13_01G000684</t>
  </si>
  <si>
    <t>7.92E-64</t>
  </si>
  <si>
    <t>7.83E-61</t>
  </si>
  <si>
    <t>NPF4.6</t>
  </si>
  <si>
    <t>Protein NRT1/ PTR FAMILY 4.6</t>
  </si>
  <si>
    <t>GO:0016020,GO:0005886,GO:0090440,GO:0015293,GO:0022857,GO:0080168,GO:0042128,GO:0010119,GO:0009624,GO:0055085</t>
  </si>
  <si>
    <t>membrane|plasma membrane|abscisic acid transmembrane transporter activity|symporter activity|transmembrane transporter activity|abscisic acid transport|nitrate assimilation|regulation of stomatal movement|response to nematode|transmembrane transport</t>
  </si>
  <si>
    <t>J2O13_01G000696</t>
  </si>
  <si>
    <t>5.87E-11</t>
  </si>
  <si>
    <t>8.47E-10</t>
  </si>
  <si>
    <t>NPF2.13</t>
  </si>
  <si>
    <t>Protein NRT1/ PTR FAMILY 2.13</t>
  </si>
  <si>
    <t>GO:0016020,GO:0005886,GO:0080054,GO:0015293,GO:0022857,GO:0042128,GO:0015706,GO:0055085</t>
  </si>
  <si>
    <t>membrane|plasma membrane|low-affinity nitrate transmembrane transporter activity|symporter activity|transmembrane transporter activity|nitrate assimilation|nitrate transmembrane transport|transmembrane transport</t>
  </si>
  <si>
    <t>J2O13_01G000698</t>
  </si>
  <si>
    <t>4.51E-28</t>
  </si>
  <si>
    <t>4.29E-26</t>
  </si>
  <si>
    <t>J2O13_01G000706</t>
  </si>
  <si>
    <t>7.54E-10</t>
  </si>
  <si>
    <t>9.25E-09</t>
  </si>
  <si>
    <t>At1g05670</t>
  </si>
  <si>
    <t>Pentatricopeptide repeat-containing protein At1g05670, mitochondrial</t>
  </si>
  <si>
    <t>GO:0005783,GO:0005794,GO:0005739</t>
  </si>
  <si>
    <t>endoplasmic reticulum|Golgi apparatus|mitochondrion</t>
  </si>
  <si>
    <t>J2O13_01G000715</t>
  </si>
  <si>
    <t>1.26E-13</t>
  </si>
  <si>
    <t>2.63E-12</t>
  </si>
  <si>
    <t>SHW1</t>
  </si>
  <si>
    <t>Protein SHORT HYPOCOTYL IN WHITE LIGHT 1</t>
  </si>
  <si>
    <t>GO:0031965,GO:0005634,GO:0009738,GO:0009908,GO:0010100,GO:0009958,GO:1901333,GO:0048578,GO:0009787,GO:0031540,GO:0010380,GO:0090227,GO:0009642,GO:0009416</t>
  </si>
  <si>
    <t>nuclear membrane|nucleus|abscisic acid-activated signaling pathway|flower development|negative regulation of photomorphogenesis|positive gravitropism|positive regulation of lateral root development|positive regulation of long-day photoperiodism, flowering|regulation of abscisic acid-activated signaling pathway|regulation of anthocyanin biosynthetic process|regulation of chlorophyll biosynthetic process|regulation of red or far-red light signaling pathway|response to light intensity|response to light stimulus</t>
  </si>
  <si>
    <t>J2O13_01G000719</t>
  </si>
  <si>
    <t>8.63E-08</t>
  </si>
  <si>
    <t>7.61E-07</t>
  </si>
  <si>
    <t>L6</t>
  </si>
  <si>
    <t>Disease resistance protein L6</t>
  </si>
  <si>
    <t>GO:0043531,GO:0050135,GO:0003953,GO:0061809,GO:0006952,GO:0019677,GO:0043068,GO:0007165</t>
  </si>
  <si>
    <t>ADP binding|NAD(P)+ nucleosidase activity|NAD+ nucleosidase activity|NAD+ nucleotidase, cyclic ADP-ribose generating|defense response|NAD catabolic process|positive regulation of programmed cell death|signal transduction</t>
  </si>
  <si>
    <t>J2O13_01G000729</t>
  </si>
  <si>
    <t>4.11E-14</t>
  </si>
  <si>
    <t>9.15E-13</t>
  </si>
  <si>
    <t>CCB4</t>
  </si>
  <si>
    <t>Protein COFACTOR ASSEMBLY OF COMPLEX C SUBUNIT B CCB4, chloroplastic</t>
  </si>
  <si>
    <t>GO:0009507,GO:0009535,GO:0010190</t>
  </si>
  <si>
    <t>chloroplast|chloroplast thylakoid membrane|cytochrome b6f complex assembly</t>
  </si>
  <si>
    <t>J2O13_01G000732</t>
  </si>
  <si>
    <t>2.10E-09</t>
  </si>
  <si>
    <t>2.42E-08</t>
  </si>
  <si>
    <t>TOR1L4</t>
  </si>
  <si>
    <t>TORTIFOLIA1-like protein 4</t>
  </si>
  <si>
    <t>GO:0005874,GO:0008017</t>
  </si>
  <si>
    <t>microtubule|microtubule binding</t>
  </si>
  <si>
    <t>J2O13_01G000738</t>
  </si>
  <si>
    <t>ARR4</t>
  </si>
  <si>
    <t>Two-component response regulator ARR4</t>
  </si>
  <si>
    <t>GO:0005737,GO:0005634,GO:0000156,GO:0004674,GO:0007623,GO:0009736,GO:0009793,GO:0046777,GO:0010017,GO:0006355,GO:0009735,GO:0010114</t>
  </si>
  <si>
    <t>cytoplasm|nucleus|phosphorelay response regulator activity|protein serine/threonine kinase activity|circadian rhythm|cytokinin-activated signaling pathway|embryo development ending in seed dormancy|protein autophosphorylation|red or far-red light signaling pathway|regulation of DNA-templated transcription|response to cytokinin|response to red light</t>
  </si>
  <si>
    <t>J2O13_01G000740</t>
  </si>
  <si>
    <t>FH4</t>
  </si>
  <si>
    <t>Formin-like protein 4</t>
  </si>
  <si>
    <t>GO:0005886,GO:0051015,GO:0045010</t>
  </si>
  <si>
    <t>plasma membrane|actin filament binding|actin nucleation</t>
  </si>
  <si>
    <t>J2O13_01G000746</t>
  </si>
  <si>
    <t>J2O13_01G000748</t>
  </si>
  <si>
    <t>3.68E-06</t>
  </si>
  <si>
    <t>2.37E-05</t>
  </si>
  <si>
    <t>COR2</t>
  </si>
  <si>
    <t>Non-functional NADPH-dependent codeinone reductase 2</t>
  </si>
  <si>
    <t>GO:0005829,GO:0016616</t>
  </si>
  <si>
    <t>cytosol|oxidoreductase activity, acting on the CH-OH group of donors, NAD or NADP as acceptor</t>
  </si>
  <si>
    <t>J2O13_01G000750</t>
  </si>
  <si>
    <t>4.76E-07</t>
  </si>
  <si>
    <t>3.65E-06</t>
  </si>
  <si>
    <t>JGB</t>
  </si>
  <si>
    <t>Protein JINGUBANG</t>
  </si>
  <si>
    <t>GO:0005737,GO:0005634,GO:0009846</t>
  </si>
  <si>
    <t>cytoplasm|nucleus|pollen germination</t>
  </si>
  <si>
    <t>J2O13_01G000755</t>
  </si>
  <si>
    <t>4.70E-31</t>
  </si>
  <si>
    <t>5.81E-29</t>
  </si>
  <si>
    <t>ILL1</t>
  </si>
  <si>
    <t>IAA-amino acid hydrolase ILR1-like 1</t>
  </si>
  <si>
    <t>GO:0005788,GO:0016787,GO:0009850</t>
  </si>
  <si>
    <t>endoplasmic reticulum lumen|hydrolase activity|auxin metabolic process</t>
  </si>
  <si>
    <t>J2O13_01G000759</t>
  </si>
  <si>
    <t>6.52E-25</t>
  </si>
  <si>
    <t>4.52E-23</t>
  </si>
  <si>
    <t>UGT74B1</t>
  </si>
  <si>
    <t>UDP-glycosyltransferase 74B1</t>
  </si>
  <si>
    <t>ko00380,ko00966</t>
  </si>
  <si>
    <t>Tryptophan metabolism|Glucosinolate biosynthesis</t>
  </si>
  <si>
    <t>GO:0005829,GO:0005634,GO:0080043,GO:0080044,GO:0047251,GO:0102659,GO:0103100,GO:0103103,GO:0103099,GO:0103101,GO:0103102,GO:0052544,GO:0042742,GO:0019761</t>
  </si>
  <si>
    <t>cytosol|nucleus|quercetin 3-O-glucosyltransferase activity|quercetin 7-O-glucosyltransferase activity|thiohydroximate beta-D-glucosyltransferase activity|UDP-glucose: 4-methylthiobutylhydroximate S-glucosyltransferase activity|UDP-glucose: 6-methylthiohexylhydroximate S-glucosyltransferase activity|UDP-glucose: 9-methylthiononylhydroximate S-glucosyltransferase activity|UDP-glucose:5-methylthiopentylhydroximate S-glucosyltransferase activity|UDP-glucose:7-methylthioheptylhydroximate S-glucosyltransferase activity|UDP-glucose:8-methylthiooctylhydroximate S-glucosyltransferase activity|defense response by callose deposition in cell wall|defense response to bacterium|glucosinolate biosynthetic process</t>
  </si>
  <si>
    <t>J2O13_01G000764</t>
  </si>
  <si>
    <t>At1g52590</t>
  </si>
  <si>
    <t>DCC family protein At1g52590, chloroplastic</t>
  </si>
  <si>
    <t>GO:0010287,GO:0015035</t>
  </si>
  <si>
    <t>plastoglobule|protein-disulfide reductase activity</t>
  </si>
  <si>
    <t>J2O13_01G000780</t>
  </si>
  <si>
    <t>1.91E-37</t>
  </si>
  <si>
    <t>3.62E-35</t>
  </si>
  <si>
    <t>J2O13_01G000783</t>
  </si>
  <si>
    <t>3.05E-11</t>
  </si>
  <si>
    <t>4.60E-10</t>
  </si>
  <si>
    <t>RPM1</t>
  </si>
  <si>
    <t>Disease resistance protein RPM1</t>
  </si>
  <si>
    <t>ko04626</t>
  </si>
  <si>
    <t>Plant-pathogen interaction</t>
  </si>
  <si>
    <t>GO:0012505,GO:0031234,GO:0005886,GO:0043531,GO:0005524,GO:0000166,GO:0009626</t>
  </si>
  <si>
    <t>endomembrane system|extrinsic component of cytoplasmic side of plasma membrane|plasma membrane|ADP binding|ATP binding|nucleotide binding|plant-type hypersensitive response</t>
  </si>
  <si>
    <t>J2O13_01G000790</t>
  </si>
  <si>
    <t>PAR2</t>
  </si>
  <si>
    <t>Transcription factor PAR2</t>
  </si>
  <si>
    <t>GO:0005634,GO:0009742,GO:0007623,GO:0032502,GO:0006355,GO:0009641</t>
  </si>
  <si>
    <t>nucleus|brassinosteroid mediated signaling pathway|circadian rhythm|developmental process|regulation of DNA-templated transcription|shade avoidance</t>
  </si>
  <si>
    <t>J2O13_01G000793</t>
  </si>
  <si>
    <t>1.99E-11</t>
  </si>
  <si>
    <t>3.07E-10</t>
  </si>
  <si>
    <t>J2O13_01G000795</t>
  </si>
  <si>
    <t>3.60E-10</t>
  </si>
  <si>
    <t>4.64E-09</t>
  </si>
  <si>
    <t>TPS9</t>
  </si>
  <si>
    <t>Probable alpha,alpha-trehalose-phosphate synthase [UDP-forming] 9</t>
  </si>
  <si>
    <t>ko00500</t>
  </si>
  <si>
    <t>Starch and sucrose metabolism</t>
  </si>
  <si>
    <t>GO:0016757,GO:0005992,GO:0070413</t>
  </si>
  <si>
    <t>glycosyltransferase activity|trehalose biosynthetic process|trehalose metabolism in response to stress</t>
  </si>
  <si>
    <t>J2O13_01G000812</t>
  </si>
  <si>
    <t>8.95E-06</t>
  </si>
  <si>
    <t>5.35E-05</t>
  </si>
  <si>
    <t>Proteinase inhibitor OS=Linum usitatissimum OX=4006 PE=1 SV=1</t>
  </si>
  <si>
    <t>GO:0004867,GO:0010466,GO:0009611</t>
  </si>
  <si>
    <t>serine-type endopeptidase inhibitor activity|negative regulation of peptidase activity|response to wounding</t>
  </si>
  <si>
    <t>J2O13_01G000825</t>
  </si>
  <si>
    <t>1.63E-06</t>
  </si>
  <si>
    <t>1.13E-05</t>
  </si>
  <si>
    <t>GAT1</t>
  </si>
  <si>
    <t>GABA transporter 1</t>
  </si>
  <si>
    <t>GO:0016020,GO:0005886,GO:0015171,GO:0015185,GO:0003333,GO:0015812</t>
  </si>
  <si>
    <t>membrane|plasma membrane|amino acid transmembrane transporter activity|gamma-aminobutyric acid transmembrane transporter activity|amino acid transmembrane transport|gamma-aminobutyric acid transport</t>
  </si>
  <si>
    <t>J2O13_01G000832</t>
  </si>
  <si>
    <t>2.76E-27</t>
  </si>
  <si>
    <t>2.43E-25</t>
  </si>
  <si>
    <t>DALL3</t>
  </si>
  <si>
    <t>Phospholipase A1-Igamma2, chloroplastic</t>
  </si>
  <si>
    <t>GO:0009507,GO:0047714,GO:0008970,GO:0004620,GO:0004806,GO:0016042</t>
  </si>
  <si>
    <t>chloroplast|galactolipase activity|phospholipase A1 activity|phospholipase activity|triglyceride lipase activity|lipid catabolic process</t>
  </si>
  <si>
    <t>J2O13_01G000848</t>
  </si>
  <si>
    <t>D27</t>
  </si>
  <si>
    <t>Beta-carotene isomerase D27, chloroplastic</t>
  </si>
  <si>
    <t>ko00906</t>
  </si>
  <si>
    <t>Carotenoid biosynthesis</t>
  </si>
  <si>
    <t>GO:0009507,GO:0106365,GO:0005506</t>
  </si>
  <si>
    <t>chloroplast|beta-carotene isomerase activity|iron ion binding</t>
  </si>
  <si>
    <t>J2O13_01G000850</t>
  </si>
  <si>
    <t>EML1</t>
  </si>
  <si>
    <t>Protein EMSY-LIKE 1</t>
  </si>
  <si>
    <t>GO:0005634,GO:0003682,GO:0050832,GO:0010228</t>
  </si>
  <si>
    <t>nucleus|chromatin binding|defense response to fungus|vegetative to reproductive phase transition of meristem</t>
  </si>
  <si>
    <t>J2O13_01G000860</t>
  </si>
  <si>
    <t>1.22E-29</t>
  </si>
  <si>
    <t>1.33E-27</t>
  </si>
  <si>
    <t>2-methyl-6-phytyl-1,4-hydroquinone methyltransferase, chloroplastic OS=Spinacia oleracea OX=3562 PE=1 SV=1</t>
  </si>
  <si>
    <t>ko00130</t>
  </si>
  <si>
    <t>Ubiquinone and other terpenoid-quinone biosynthesis</t>
  </si>
  <si>
    <t>GO:0009706,GO:0102550,GO:0051741,GO:0051742,GO:0032259,GO:0010189</t>
  </si>
  <si>
    <t>chloroplast inner membrane|2-methyl-6-geranylgeranyl-1,4-benzoquinol methyltransferase activity|2-methyl-6-phytyl-1,4-benzoquinone methyltransferase activity|2-methyl-6-solanyl-1,4-benzoquinone methyltransferase activity|methylation|vitamin E biosynthetic process</t>
  </si>
  <si>
    <t>J2O13_01G000862</t>
  </si>
  <si>
    <t>CML8</t>
  </si>
  <si>
    <t>Calmodulin-like protein 8</t>
  </si>
  <si>
    <t>GO:0005509,GO:0019722,GO:0005513,GO:0009617</t>
  </si>
  <si>
    <t>calcium ion binding|calcium-mediated signaling|detection of calcium ion|response to bacterium</t>
  </si>
  <si>
    <t>J2O13_01G000864</t>
  </si>
  <si>
    <t>3.24E-11</t>
  </si>
  <si>
    <t>4.85E-10</t>
  </si>
  <si>
    <t>ACA12</t>
  </si>
  <si>
    <t>Calcium-transporting ATPase 12, plasma membrane-type</t>
  </si>
  <si>
    <t>GO:0043231,GO:0005886,GO:0005524,GO:0016887,GO:0019829,GO:0005516,GO:0046872,GO:0005388</t>
  </si>
  <si>
    <t>intracellular membrane-bounded organelle|plasma membrane|ATP binding|ATP hydrolysis activity|ATPase-coupled cation transmembrane transporter activity|calmodulin binding|metal ion binding|P-type calcium transporter activity</t>
  </si>
  <si>
    <t>J2O13_01G000872</t>
  </si>
  <si>
    <t>2.37E-18</t>
  </si>
  <si>
    <t>8.86E-17</t>
  </si>
  <si>
    <t>HSFA2C</t>
  </si>
  <si>
    <t>Heat stress transcription factor A-2c</t>
  </si>
  <si>
    <t>GO:0005737,GO:0005634,GO:0003700,GO:0042802,GO:0000978,GO:0034605,GO:0006357</t>
  </si>
  <si>
    <t>cytoplasm|nucleus|DNA-binding transcription factor activity|identical protein binding|RNA polymerase II cis-regulatory region sequence-specific DNA binding|cellular response to heat|regulation of transcription by RNA polymerase II</t>
  </si>
  <si>
    <t>J2O13_01G000873</t>
  </si>
  <si>
    <t>J2O13_01G000877</t>
  </si>
  <si>
    <t>J2O13_01G000878</t>
  </si>
  <si>
    <t>3.00E-15</t>
  </si>
  <si>
    <t>7.76E-14</t>
  </si>
  <si>
    <t>CLH1</t>
  </si>
  <si>
    <t>Chlorophyllase-1</t>
  </si>
  <si>
    <t>ko00860</t>
  </si>
  <si>
    <t>Porphyrin metabolism</t>
  </si>
  <si>
    <t>GO:0005829,GO:0005634,GO:0000325,GO:0047746,GO:0102293,GO:0015996,GO:0042742,GO:0050832</t>
  </si>
  <si>
    <t>cytosol|nucleus|plant-type vacuole|chlorophyllase activity|pheophytinase b activity|chlorophyll catabolic process|defense response to bacterium|defense response to fungus</t>
  </si>
  <si>
    <t>J2O13_01G000879</t>
  </si>
  <si>
    <t>8.01E-10</t>
  </si>
  <si>
    <t>9.77E-09</t>
  </si>
  <si>
    <t>CHLASE1</t>
  </si>
  <si>
    <t>Chlorophyllase-1, chloroplastic</t>
  </si>
  <si>
    <t>GO:0009507,GO:0047746,GO:0102293,GO:0015996</t>
  </si>
  <si>
    <t>chloroplast|chlorophyllase activity|pheophytinase b activity|chlorophyll catabolic process</t>
  </si>
  <si>
    <t>J2O13_01G000885</t>
  </si>
  <si>
    <t>SULTR31</t>
  </si>
  <si>
    <t>Sulfate transporter 3.1</t>
  </si>
  <si>
    <t>GO:0009507,GO:0005886,GO:0008271,GO:0015116,GO:0015293,GO:0008272</t>
  </si>
  <si>
    <t>chloroplast|plasma membrane|secondary active sulfate transmembrane transporter activity|sulfate transmembrane transporter activity|symporter activity|sulfate transport</t>
  </si>
  <si>
    <t>J2O13_01G000905</t>
  </si>
  <si>
    <t>1.65E-13</t>
  </si>
  <si>
    <t>3.38E-12</t>
  </si>
  <si>
    <t>FLZ8</t>
  </si>
  <si>
    <t>FCS-Like Zinc finger 8</t>
  </si>
  <si>
    <t>GO:0046872,GO:0071456,GO:0009749,GO:0042594,GO:0009744</t>
  </si>
  <si>
    <t>metal ion binding|cellular response to hypoxia|response to glucose|response to starvation|response to sucrose</t>
  </si>
  <si>
    <t>J2O13_01G000906</t>
  </si>
  <si>
    <t>7.54E-31</t>
  </si>
  <si>
    <t>9.14E-29</t>
  </si>
  <si>
    <t>J2O13_01G000909</t>
  </si>
  <si>
    <t>1.37E-10</t>
  </si>
  <si>
    <t>1.86E-09</t>
  </si>
  <si>
    <t>GID1B</t>
  </si>
  <si>
    <t>Gibberellin receptor GID1B</t>
  </si>
  <si>
    <t>GO:0005737,GO:0005634,GO:0010331,GO:0016787,GO:0048444,GO:0048530,GO:0010476,GO:0010629,GO:1905516,GO:0009939,GO:0010325,GO:0009739</t>
  </si>
  <si>
    <t>cytoplasm|nucleus|gibberellin binding|hydrolase activity|floral organ morphogenesis|fruit morphogenesis|gibberellin mediated signaling pathway|negative regulation of gene expression|positive regulation of fertilization|positive regulation of gibberellic acid mediated signaling pathway|raffinose family oligosaccharide biosynthetic process|response to gibberellin</t>
  </si>
  <si>
    <t>J2O13_01G000915</t>
  </si>
  <si>
    <t>6.45E-09</t>
  </si>
  <si>
    <t>6.93E-08</t>
  </si>
  <si>
    <t>SRF7</t>
  </si>
  <si>
    <t>Protein STRUBBELIG-RECEPTOR FAMILY 7</t>
  </si>
  <si>
    <t>GO:0005886,GO:0005524,GO:0004672,GO:0006468</t>
  </si>
  <si>
    <t>plasma membrane|ATP binding|protein kinase activity|protein phosphorylation</t>
  </si>
  <si>
    <t>J2O13_01G000923</t>
  </si>
  <si>
    <t>LAC9</t>
  </si>
  <si>
    <t>Putative laccase-9</t>
  </si>
  <si>
    <t>GO:0048046,GO:0005507,GO:0052716,GO:0016491,GO:0046274</t>
  </si>
  <si>
    <t>apoplast|copper ion binding|hydroquinone:oxygen oxidoreductase activity|oxidoreductase activity|lignin catabolic process</t>
  </si>
  <si>
    <t>J2O13_01G000927</t>
  </si>
  <si>
    <t>7.49E-08</t>
  </si>
  <si>
    <t>6.69E-07</t>
  </si>
  <si>
    <t>RPH1</t>
  </si>
  <si>
    <t>Protein RESISTANCE TO PHYTOPHTHORA 1, chloroplastic</t>
  </si>
  <si>
    <t>GO:0009507,GO:0016020,GO:0006952,GO:0050665,GO:1902290</t>
  </si>
  <si>
    <t>chloroplast|membrane|defense response|hydrogen peroxide biosynthetic process|positive regulation of defense response to oomycetes</t>
  </si>
  <si>
    <t>J2O13_01G000941</t>
  </si>
  <si>
    <t>7.88E-08</t>
  </si>
  <si>
    <t>7.00E-07</t>
  </si>
  <si>
    <t>J2O13_01G000948</t>
  </si>
  <si>
    <t>3.29E-05</t>
  </si>
  <si>
    <t>At4g02900</t>
  </si>
  <si>
    <t>CSC1-like protein At4g02900</t>
  </si>
  <si>
    <t>GO:0005886,GO:0005227</t>
  </si>
  <si>
    <t>plasma membrane|calcium activated cation channel activity</t>
  </si>
  <si>
    <t>J2O13_01G000959</t>
  </si>
  <si>
    <t>6.12E-12</t>
  </si>
  <si>
    <t>1.02E-10</t>
  </si>
  <si>
    <t>IPT3</t>
  </si>
  <si>
    <t>Adenylate isopentenyltransferase 3, chloroplastic</t>
  </si>
  <si>
    <t>ko00908</t>
  </si>
  <si>
    <t>Zeatin biosynthesis</t>
  </si>
  <si>
    <t>GO:0009507,GO:0005739,GO:0031965,GO:0005634,GO:0009536,GO:0052623,GO:0009824,GO:0005524,GO:0052622,GO:0052381,GO:0009691,GO:0006400</t>
  </si>
  <si>
    <t>chloroplast|mitochondrion|nuclear membrane|nucleus|plastid|ADP dimethylallyltransferase activity|AMP dimethylallyltransferase activity|ATP binding|ATP dimethylallyltransferase activity|tRNA dimethylallyltransferase activity|cytokinin biosynthetic process|tRNA modification</t>
  </si>
  <si>
    <t>J2O13_01G000978</t>
  </si>
  <si>
    <t>9.09E-10</t>
  </si>
  <si>
    <t>1.10E-08</t>
  </si>
  <si>
    <t>FZL</t>
  </si>
  <si>
    <t>Probable transmembrane GTPase FZO-like, chloroplastic</t>
  </si>
  <si>
    <t>GO:0009507,GO:0009706,GO:0031969,GO:0009707,GO:0009535,GO:0005525,GO:0016787,GO:1900425,GO:0034051,GO:0010027,GO:0010228</t>
  </si>
  <si>
    <t>chloroplast|chloroplast inner membrane|chloroplast membrane|chloroplast outer membrane|chloroplast thylakoid membrane|GTP binding|hydrolase activity|negative regulation of defense response to bacterium|negative regulation of plant-type hypersensitive response|thylakoid membrane organization|vegetative to reproductive phase transition of meristem</t>
  </si>
  <si>
    <t>J2O13_01G000983</t>
  </si>
  <si>
    <t>J2O13_01G000984</t>
  </si>
  <si>
    <t>2.12E-12</t>
  </si>
  <si>
    <t>3.80E-11</t>
  </si>
  <si>
    <t>CSP41A</t>
  </si>
  <si>
    <t>Chloroplast stem-loop binding protein of 41 kDa a, chloroplastic</t>
  </si>
  <si>
    <t>GO:0048046,GO:0009507,GO:0009941,GO:0009570,GO:0009534,GO:0005829,GO:0010287,GO:0005840,GO:0010319,GO:0009579,GO:0003729,GO:0008266,GO:0003723,GO:0019843,GO:0009658,GO:0007623,GO:0032544,GO:0045893,GO:0045727,GO:0006364</t>
  </si>
  <si>
    <t>apoplast|chloroplast|chloroplast envelope|chloroplast stroma|chloroplast thylakoid|cytosol|plastoglobule|ribosome|stromule|thylakoid|mRNA binding|poly(U) RNA binding|RNA binding|rRNA binding|chloroplast organization|circadian rhythm|plastid translation|positive regulation of DNA-templated transcription|positive regulation of translation|rRNA processing</t>
  </si>
  <si>
    <t>J2O13_01G000996</t>
  </si>
  <si>
    <t>TPS28</t>
  </si>
  <si>
    <t>(-)-kolavenyl diphosphate synthase TPS28, chloroplastic</t>
  </si>
  <si>
    <t>GO:0009507,GO:0016853,GO:0000287,GO:0010333</t>
  </si>
  <si>
    <t>chloroplast|isomerase activity|magnesium ion binding|terpene synthase activity</t>
  </si>
  <si>
    <t>J2O13_01G001009</t>
  </si>
  <si>
    <t>OFP16</t>
  </si>
  <si>
    <t>Transcription repressor OFP16</t>
  </si>
  <si>
    <t>GO:0005634,GO:0045892</t>
  </si>
  <si>
    <t>nucleus|negative regulation of DNA-templated transcription</t>
  </si>
  <si>
    <t>J2O13_01G001021</t>
  </si>
  <si>
    <t>3.13E-09</t>
  </si>
  <si>
    <t>3.52E-08</t>
  </si>
  <si>
    <t>ROPGAP2</t>
  </si>
  <si>
    <t>Rho GTPase-activating protein 2</t>
  </si>
  <si>
    <t>GO:0005096,GO:0007165</t>
  </si>
  <si>
    <t>GTPase activator activity|signal transduction</t>
  </si>
  <si>
    <t>J2O13_01G001022</t>
  </si>
  <si>
    <t>J2O13_01G001039</t>
  </si>
  <si>
    <t>4.08E-20</t>
  </si>
  <si>
    <t>1.81E-18</t>
  </si>
  <si>
    <t>NET3C</t>
  </si>
  <si>
    <t>Protein NETWORKED 3C</t>
  </si>
  <si>
    <t>GO:0005789,GO:0005886,GO:0005774,GO:0003779</t>
  </si>
  <si>
    <t>endoplasmic reticulum membrane|plasma membrane|vacuolar membrane|actin binding</t>
  </si>
  <si>
    <t>J2O13_01G001046</t>
  </si>
  <si>
    <t>J2O13_01G001047</t>
  </si>
  <si>
    <t>J2O13_01G001051</t>
  </si>
  <si>
    <t>1.00E-05</t>
  </si>
  <si>
    <t>5.94E-05</t>
  </si>
  <si>
    <t>GRXS9</t>
  </si>
  <si>
    <t>Monothiol glutaredoxin-S9</t>
  </si>
  <si>
    <t>GO:0005737,GO:0005634,GO:0051537,GO:0046872</t>
  </si>
  <si>
    <t>cytoplasm|nucleus|2 iron, 2 sulfur cluster binding|metal ion binding</t>
  </si>
  <si>
    <t>J2O13_01G001053</t>
  </si>
  <si>
    <t>6.03E-05</t>
  </si>
  <si>
    <t>GRXC11</t>
  </si>
  <si>
    <t>Glutaredoxin-C11</t>
  </si>
  <si>
    <t>GO:0005737,GO:0000122,GO:0010167</t>
  </si>
  <si>
    <t>cytoplasm|negative regulation of transcription by RNA polymerase II|response to nitrate</t>
  </si>
  <si>
    <t>J2O13_01G001058</t>
  </si>
  <si>
    <t>4.09E-06</t>
  </si>
  <si>
    <t>2.61E-05</t>
  </si>
  <si>
    <t>GRXS1</t>
  </si>
  <si>
    <t>Monothiol glutaredoxin-S1</t>
  </si>
  <si>
    <t>GO:0005737,GO:0051537,GO:0046872,GO:0010167</t>
  </si>
  <si>
    <t>cytoplasm|2 iron, 2 sulfur cluster binding|metal ion binding|response to nitrate</t>
  </si>
  <si>
    <t>J2O13_01G001061</t>
  </si>
  <si>
    <t>1.34E-17</t>
  </si>
  <si>
    <t>4.63E-16</t>
  </si>
  <si>
    <t>APG3</t>
  </si>
  <si>
    <t>Peptide chain release factor APG3, chloroplastic</t>
  </si>
  <si>
    <t>GO:0009507,GO:0003747,GO:0016149,GO:0009658,GO:0032544,GO:0010027,GO:0006415</t>
  </si>
  <si>
    <t>chloroplast|translation release factor activity|translation release factor activity, codon specific|chloroplast organization|plastid translation|thylakoid membrane organization|translational termination</t>
  </si>
  <si>
    <t>J2O13_01G001063</t>
  </si>
  <si>
    <t>MTERF15</t>
  </si>
  <si>
    <t>Transcription termination factor MTERF15, mitochondrial</t>
  </si>
  <si>
    <t>GO:0009507,GO:0005739,GO:0003690,GO:0003723,GO:0009658,GO:0032502,GO:0006353,GO:0006355,GO:0000394</t>
  </si>
  <si>
    <t>chloroplast|mitochondrion|double-stranded DNA binding|RNA binding|chloroplast organization|developmental process|DNA-templated transcription termination|regulation of DNA-templated transcription|RNA splicing, via endonucleolytic cleavage and ligation</t>
  </si>
  <si>
    <t>J2O13_01G001070</t>
  </si>
  <si>
    <t>GAF1</t>
  </si>
  <si>
    <t>Zinc finger protein GAI-ASSOCIATED FACTOR 1</t>
  </si>
  <si>
    <t>GO:0005634,GO:0003677,GO:0003700,GO:0046872,GO:0010336,GO:0009740,GO:0006355,GO:0009937</t>
  </si>
  <si>
    <t>nucleus|DNA binding|DNA-binding transcription factor activity|metal ion binding|gibberellic acid homeostasis|gibberellic acid mediated signaling pathway|regulation of DNA-templated transcription|regulation of gibberellic acid mediated signaling pathway</t>
  </si>
  <si>
    <t>J2O13_01G001074</t>
  </si>
  <si>
    <t>8.41E-07</t>
  </si>
  <si>
    <t>6.14E-06</t>
  </si>
  <si>
    <t>WEE1</t>
  </si>
  <si>
    <t>Wee1-like protein kinase</t>
  </si>
  <si>
    <t>ko04110,ko05170</t>
  </si>
  <si>
    <t>Cell cycle|Human immunodeficiency virus 1 infection</t>
  </si>
  <si>
    <t>GO:0005634,GO:0005524,GO:0046872,GO:0004715,GO:0004672,GO:0004713,GO:0007049,GO:0051301,GO:0000076,GO:1902750</t>
  </si>
  <si>
    <t>nucleus|ATP binding|metal ion binding|non-membrane spanning protein tyrosine kinase activity|protein kinase activity|protein tyrosine kinase activity|cell cycle|cell division|DNA replication checkpoint signaling|negative regulation of cell cycle G2/M phase transition</t>
  </si>
  <si>
    <t>J2O13_01G001082</t>
  </si>
  <si>
    <t>6.16E-15</t>
  </si>
  <si>
    <t>1.53E-13</t>
  </si>
  <si>
    <t>HIPP36</t>
  </si>
  <si>
    <t>Heavy metal-associated isoprenylated plant protein 36</t>
  </si>
  <si>
    <t>J2O13_01G001089</t>
  </si>
  <si>
    <t>TSPO</t>
  </si>
  <si>
    <t>Translocator protein homolog</t>
  </si>
  <si>
    <t>ko04080,ko04214,ko04979,ko05166</t>
  </si>
  <si>
    <t>Neuroactive ligand-receptor interaction|Apoptosis - fly|Cholesterol metabolism|Human T-cell leukemia virus 1 infection</t>
  </si>
  <si>
    <t>GO:0031969,GO:0005783,GO:0005789,GO:0005794,GO:0000139,GO:0005795,GO:0016020,GO:0020037,GO:0006778,GO:0009737,GO:0006970,GO:0009651</t>
  </si>
  <si>
    <t>chloroplast membrane|endoplasmic reticulum|endoplasmic reticulum membrane|Golgi apparatus|Golgi membrane|Golgi stack|membrane|heme binding|porphyrin-containing compound metabolic process|response to abscisic acid|response to osmotic stress|response to salt stress</t>
  </si>
  <si>
    <t>J2O13_01G001098</t>
  </si>
  <si>
    <t>J2O13_01G001104</t>
  </si>
  <si>
    <t>OsI_27296</t>
  </si>
  <si>
    <t>Probable E3 ubiquitin-protein ligase BAH1-like 1</t>
  </si>
  <si>
    <t>GO:0046872,GO:0016740,GO:0016567</t>
  </si>
  <si>
    <t>metal ion binding|transferase activity|protein ubiquitination</t>
  </si>
  <si>
    <t>J2O13_01G001109</t>
  </si>
  <si>
    <t>3.28E-06</t>
  </si>
  <si>
    <t>2.14E-05</t>
  </si>
  <si>
    <t>BGLU11</t>
  </si>
  <si>
    <t>Beta-glucosidase 11</t>
  </si>
  <si>
    <t>GO:0008422,GO:0102483,GO:0005975</t>
  </si>
  <si>
    <t>beta-glucosidase activity|scopolin beta-glucosidase activity|carbohydrate metabolic process</t>
  </si>
  <si>
    <t>J2O13_01G001119</t>
  </si>
  <si>
    <t>PMEI6</t>
  </si>
  <si>
    <t>Pectinesterase inhibitor 6</t>
  </si>
  <si>
    <t>GO:0048046,GO:0004857,GO:0046910,GO:0043086,GO:0009827,GO:0010214</t>
  </si>
  <si>
    <t>apoplast|enzyme inhibitor activity|pectinesterase inhibitor activity|negative regulation of catalytic activity|plant-type cell wall modification|seed coat development</t>
  </si>
  <si>
    <t>J2O13_01G001137</t>
  </si>
  <si>
    <t>5.27E-05</t>
  </si>
  <si>
    <t>At5g01610</t>
  </si>
  <si>
    <t>Uncharacterized protein At5g01610</t>
  </si>
  <si>
    <t>J2O13_01G001144</t>
  </si>
  <si>
    <t>PME7</t>
  </si>
  <si>
    <t>Probable pectinesterase/pectinesterase inhibitor 7</t>
  </si>
  <si>
    <t>ko00040,ko02020</t>
  </si>
  <si>
    <t>Pentose and glucuronate interconversions|Two-component system</t>
  </si>
  <si>
    <t>GO:0005576,GO:0045330,GO:0030599,GO:0046910,GO:0042545,GO:0045490</t>
  </si>
  <si>
    <t>extracellular region|aspartyl esterase activity|pectinesterase activity|pectinesterase inhibitor activity|cell wall modification|pectin catabolic process</t>
  </si>
  <si>
    <t>J2O13_01G001146</t>
  </si>
  <si>
    <t>At4g02290</t>
  </si>
  <si>
    <t>Endoglucanase 17</t>
  </si>
  <si>
    <t>ko00500,ko02020</t>
  </si>
  <si>
    <t>Starch and sucrose metabolism|Two-component system</t>
  </si>
  <si>
    <t>GO:0005576,GO:0008810,GO:0071555,GO:0030245</t>
  </si>
  <si>
    <t>extracellular region|cellulase activity|cell wall organization|cellulose catabolic process</t>
  </si>
  <si>
    <t>J2O13_01G001147</t>
  </si>
  <si>
    <t>SUS2</t>
  </si>
  <si>
    <t>Sucrose synthase 2</t>
  </si>
  <si>
    <t>GO:0016157,GO:0005985</t>
  </si>
  <si>
    <t>sucrose synthase activity|sucrose metabolic process</t>
  </si>
  <si>
    <t>J2O13_01G001148</t>
  </si>
  <si>
    <t>6.13E-05</t>
  </si>
  <si>
    <t>PGA3</t>
  </si>
  <si>
    <t>Exopolygalacturonase clone GBGE184</t>
  </si>
  <si>
    <t>ko00040</t>
  </si>
  <si>
    <t>Pentose and glucuronate interconversions</t>
  </si>
  <si>
    <t>GO:0005576,GO:0047911,GO:0004650,GO:0005975,GO:0071555</t>
  </si>
  <si>
    <t>extracellular region|galacturan 1,4-alpha-galacturonidase activity|polygalacturonase activity|carbohydrate metabolic process|cell wall organization</t>
  </si>
  <si>
    <t>J2O13_01G001150</t>
  </si>
  <si>
    <t>5.92E-06</t>
  </si>
  <si>
    <t>3.66E-05</t>
  </si>
  <si>
    <t>RSH1</t>
  </si>
  <si>
    <t>Putative GTP diphosphokinase RSH1, chloroplastic</t>
  </si>
  <si>
    <t>ko00230</t>
  </si>
  <si>
    <t>Purine metabolism</t>
  </si>
  <si>
    <t>GO:0009507,GO:0005524,GO:0005525,GO:0008728,GO:0016301,GO:0015969,GO:0016310</t>
  </si>
  <si>
    <t>chloroplast|ATP binding|GTP binding|GTP diphosphokinase activity|kinase activity|guanosine tetraphosphate metabolic process|phosphorylation</t>
  </si>
  <si>
    <t>J2O13_01G001158</t>
  </si>
  <si>
    <t>2.32E-11</t>
  </si>
  <si>
    <t>3.54E-10</t>
  </si>
  <si>
    <t>EXL2</t>
  </si>
  <si>
    <t>Protein EXORDIUM-like 2</t>
  </si>
  <si>
    <t>GO:0048046,GO:0005615,GO:0005794,GO:0009505,GO:0009506,GO:0009536,GO:0071456</t>
  </si>
  <si>
    <t>apoplast|extracellular space|Golgi apparatus|plant-type cell wall|plasmodesma|plastid|cellular response to hypoxia</t>
  </si>
  <si>
    <t>J2O13_01G001160</t>
  </si>
  <si>
    <t>7.08E-36</t>
  </si>
  <si>
    <t>1.19E-33</t>
  </si>
  <si>
    <t>JJJ1</t>
  </si>
  <si>
    <t>DNAJ protein JJJ1 homolog</t>
  </si>
  <si>
    <t>GO:0005634,GO:0003676,GO:0008270,GO:0010468</t>
  </si>
  <si>
    <t>nucleus|nucleic acid binding|zinc ion binding|regulation of gene expression</t>
  </si>
  <si>
    <t>J2O13_01G001169</t>
  </si>
  <si>
    <t>CSLD5</t>
  </si>
  <si>
    <t>Cellulose synthase-like protein D5</t>
  </si>
  <si>
    <t>ko00520</t>
  </si>
  <si>
    <t>Amino sugar and nucleotide sugar metabolism</t>
  </si>
  <si>
    <t>GO:0005794,GO:0000139,GO:0005886,GO:0016760,GO:0046527,GO:0051753,GO:0000919,GO:0042546,GO:0071555,GO:0030244,GO:0009833,GO:0006970,GO:0009651,GO:0009414,GO:0048367</t>
  </si>
  <si>
    <t>Golgi apparatus|Golgi membrane|plasma membrane|cellulose synthase (UDP-forming) activity|glucosyltransferase activity|mannan synthase activity|cell plate assembly|cell wall biogenesis|cell wall organization|cellulose biosynthetic process|plant-type primary cell wall biogenesis|response to osmotic stress|response to salt stress|response to water deprivation|shoot system development</t>
  </si>
  <si>
    <t>J2O13_01G001170</t>
  </si>
  <si>
    <t>4.00E-16</t>
  </si>
  <si>
    <t>1.13E-14</t>
  </si>
  <si>
    <t>GATL7</t>
  </si>
  <si>
    <t>Probable galacturonosyltransferase-like 7</t>
  </si>
  <si>
    <t>GO:0005794,GO:0000139,GO:0047262,GO:0071555,GO:0045489</t>
  </si>
  <si>
    <t>Golgi apparatus|Golgi membrane|polygalacturonate 4-alpha-galacturonosyltransferase activity|cell wall organization|pectin biosynthetic process</t>
  </si>
  <si>
    <t>J2O13_01G001175</t>
  </si>
  <si>
    <t>J2O13_01G001180</t>
  </si>
  <si>
    <t>GATA15</t>
  </si>
  <si>
    <t>GATA transcription factor 15</t>
  </si>
  <si>
    <t>GO:0005634,GO:0003700,GO:0000976,GO:0008270</t>
  </si>
  <si>
    <t>nucleus|DNA-binding transcription factor activity|transcription cis-regulatory region binding|zinc ion binding</t>
  </si>
  <si>
    <t>J2O13_01G001217</t>
  </si>
  <si>
    <t>1.60E-23</t>
  </si>
  <si>
    <t>9.62E-22</t>
  </si>
  <si>
    <t>BZIP53</t>
  </si>
  <si>
    <t>bZIP transcription factor 53</t>
  </si>
  <si>
    <t>GO:0005634,GO:0003700,GO:0045735,GO:0046982,GO:0043565,GO:0000976,GO:0009267,GO:0006971,GO:0045893,GO:2000693</t>
  </si>
  <si>
    <t>nucleus|DNA-binding transcription factor activity|nutrient reservoir activity|protein heterodimerization activity|sequence-specific DNA binding|transcription cis-regulatory region binding|cellular response to starvation|hypotonic response|positive regulation of DNA-templated transcription|positive regulation of seed maturation</t>
  </si>
  <si>
    <t>J2O13_01G001218</t>
  </si>
  <si>
    <t>4.16E-05</t>
  </si>
  <si>
    <t>CP12-2</t>
  </si>
  <si>
    <t>Calvin cycle protein CP12-2, chloroplastic</t>
  </si>
  <si>
    <t>GO:0009507,GO:0009570,GO:0005829,GO:0032991,GO:0099080,GO:0005507,GO:0019899,GO:0016151,GO:0044877,GO:0030674,GO:0071454,GO:0070417,GO:0034605,GO:0080153,GO:0018316,GO:0065003,GO:0019253,GO:0009416,GO:0009744</t>
  </si>
  <si>
    <t>chloroplast|chloroplast stroma|cytosol|protein-containing complex|supramolecular complex|copper ion binding|enzyme binding|nickel cation binding|protein-containing complex binding|protein-macromolecule adaptor activity|cellular response to anoxia|cellular response to cold|cellular response to heat|negative regulation of reductive pentose-phosphate cycle|peptide cross-linking via L-cystine|protein-containing complex assembly|reductive pentose-phosphate cycle|response to light stimulus|response to sucrose</t>
  </si>
  <si>
    <t>J2O13_01G001226</t>
  </si>
  <si>
    <t>3.33E-25</t>
  </si>
  <si>
    <t>2.34E-23</t>
  </si>
  <si>
    <t>WRKY69</t>
  </si>
  <si>
    <t>Probable WRKY transcription factor 69</t>
  </si>
  <si>
    <t>GO:0005634,GO:0003700,GO:0000976</t>
  </si>
  <si>
    <t>nucleus|DNA-binding transcription factor activity|transcription cis-regulatory region binding</t>
  </si>
  <si>
    <t>J2O13_01G001240</t>
  </si>
  <si>
    <t>7.29E-25</t>
  </si>
  <si>
    <t>5.01E-23</t>
  </si>
  <si>
    <t>STS1</t>
  </si>
  <si>
    <t>Stachyose synthase</t>
  </si>
  <si>
    <t>ko00052</t>
  </si>
  <si>
    <t>Galactose metabolism</t>
  </si>
  <si>
    <t>GO:0005737,GO:0047268,GO:0009312,GO:0033532</t>
  </si>
  <si>
    <t>cytoplasm|galactinol-raffinose galactosyltransferase activity|oligosaccharide biosynthetic process|stachyose biosynthetic process</t>
  </si>
  <si>
    <t>J2O13_01G001243</t>
  </si>
  <si>
    <t>2.54E-61</t>
  </si>
  <si>
    <t>2.26E-58</t>
  </si>
  <si>
    <t>WRKY23</t>
  </si>
  <si>
    <t>WRKY transcription factor 23</t>
  </si>
  <si>
    <t>GO:0005634,GO:0003700,GO:0000976,GO:1901703,GO:0009733,GO:0009624</t>
  </si>
  <si>
    <t>nucleus|DNA-binding transcription factor activity|transcription cis-regulatory region binding|protein localization involved in auxin polar transport|response to auxin|response to nematode</t>
  </si>
  <si>
    <t>J2O13_01G001253</t>
  </si>
  <si>
    <t>5.28E-05</t>
  </si>
  <si>
    <t>NIFU1</t>
  </si>
  <si>
    <t>NifU-like protein 1, chloroplastic</t>
  </si>
  <si>
    <t>GO:0009507,GO:0009570,GO:0005739,GO:0051539,GO:0005506,GO:0005198,GO:0016226,GO:0097428</t>
  </si>
  <si>
    <t>chloroplast|chloroplast stroma|mitochondrion|4 iron, 4 sulfur cluster binding|iron ion binding|structural molecule activity|iron-sulfur cluster assembly|protein maturation by iron-sulfur cluster transfer</t>
  </si>
  <si>
    <t>J2O13_01G001261</t>
  </si>
  <si>
    <t>1.31E-26</t>
  </si>
  <si>
    <t>1.06E-24</t>
  </si>
  <si>
    <t>MYB78</t>
  </si>
  <si>
    <t>Transcription factor MYB78</t>
  </si>
  <si>
    <t>GO:0005634,GO:0003700,GO:0043565,GO:0000976,GO:0006355,GO:0009737,GO:1902074</t>
  </si>
  <si>
    <t>nucleus|DNA-binding transcription factor activity|sequence-specific DNA binding|transcription cis-regulatory region binding|regulation of DNA-templated transcription|response to abscisic acid|response to salt</t>
  </si>
  <si>
    <t>J2O13_01G001270</t>
  </si>
  <si>
    <t>BOR1</t>
  </si>
  <si>
    <t>Boron transporter 1</t>
  </si>
  <si>
    <t>GO:0010008,GO:0005886,GO:0005774,GO:0046715,GO:0005452,GO:0022857,GO:0035445,GO:0080029,GO:0050801,GO:0010036,GO:0055085</t>
  </si>
  <si>
    <t>endosome membrane|plasma membrane|vacuolar membrane|active borate transmembrane transporter activity|solute:inorganic anion antiporter activity|transmembrane transporter activity|borate transmembrane transport|cellular response to boron-containing substance levels|ion homeostasis|response to boron-containing substance|transmembrane transport</t>
  </si>
  <si>
    <t>J2O13_01G001272</t>
  </si>
  <si>
    <t>J2O13_01G001273</t>
  </si>
  <si>
    <t>4.04E-07</t>
  </si>
  <si>
    <t>3.15E-06</t>
  </si>
  <si>
    <t>J2O13_01G001275</t>
  </si>
  <si>
    <t>3.66E-15</t>
  </si>
  <si>
    <t>9.37E-14</t>
  </si>
  <si>
    <t>ASK1</t>
  </si>
  <si>
    <t>Shaggy-related protein kinase alpha</t>
  </si>
  <si>
    <t>GO:0005737,GO:0005524,GO:0004672,GO:0106310,GO:0004674,GO:0042538,GO:0009933,GO:1901002,GO:0006468,GO:0009651,GO:0007165</t>
  </si>
  <si>
    <t>cytoplasm|ATP binding|protein kinase activity|protein serine kinase activity|protein serine/threonine kinase activity|hyperosmotic salinity response|meristem structural organization|positive regulation of response to salt stress|protein phosphorylation|response to salt stress|signal transduction</t>
  </si>
  <si>
    <t>J2O13_01G001277</t>
  </si>
  <si>
    <t>4.38E-08</t>
  </si>
  <si>
    <t>4.08E-07</t>
  </si>
  <si>
    <t>J2O13_01G001281</t>
  </si>
  <si>
    <t>1.31E-29</t>
  </si>
  <si>
    <t>1.42E-27</t>
  </si>
  <si>
    <t>TRM13</t>
  </si>
  <si>
    <t>tRNA:m(4)X modification enzyme TRM13</t>
  </si>
  <si>
    <t>GO:0005737,GO:0005634,GO:0046872,GO:0106050,GO:0008175,GO:0009651,GO:0030488</t>
  </si>
  <si>
    <t>cytoplasm|nucleus|metal ion binding|tRNA 2'-O-methyltransferase activity|tRNA methyltransferase activity|response to salt stress|tRNA methylation</t>
  </si>
  <si>
    <t>J2O13_01G001287</t>
  </si>
  <si>
    <t>4.95E-07</t>
  </si>
  <si>
    <t>3.78E-06</t>
  </si>
  <si>
    <t>METK1</t>
  </si>
  <si>
    <t>S-adenosylmethionine synthase 1</t>
  </si>
  <si>
    <t>ko00270,ko00999</t>
  </si>
  <si>
    <t>Cysteine and methionine metabolism|Biosynthesis of various plant secondary metabolites</t>
  </si>
  <si>
    <t>GO:0005829,GO:0005524,GO:0046872,GO:0004478,GO:0006730,GO:0006556</t>
  </si>
  <si>
    <t>cytosol|ATP binding|metal ion binding|methionine adenosyltransferase activity|one-carbon metabolic process|S-adenosylmethionine biosynthetic process</t>
  </si>
  <si>
    <t>J2O13_01G001295</t>
  </si>
  <si>
    <t>RL3</t>
  </si>
  <si>
    <t>Protein RADIALIS-like 3</t>
  </si>
  <si>
    <t>GO:0005634,GO:0003700</t>
  </si>
  <si>
    <t>nucleus|DNA-binding transcription factor activity</t>
  </si>
  <si>
    <t>J2O13_01G001310</t>
  </si>
  <si>
    <t>2.11E-13</t>
  </si>
  <si>
    <t>4.26E-12</t>
  </si>
  <si>
    <t>GSVIVT00026920001</t>
  </si>
  <si>
    <t>Probable polygalacturonase</t>
  </si>
  <si>
    <t>GO:0016020,GO:0004650,GO:0005975</t>
  </si>
  <si>
    <t>membrane|polygalacturonase activity|carbohydrate metabolic process</t>
  </si>
  <si>
    <t>J2O13_01G001313</t>
  </si>
  <si>
    <t>Cht10</t>
  </si>
  <si>
    <t>Chitinase 10</t>
  </si>
  <si>
    <t>GO:0004568,GO:0016998,GO:0006032,GO:0000272</t>
  </si>
  <si>
    <t>chitinase activity|cell wall macromolecule catabolic process|chitin catabolic process|polysaccharide catabolic process</t>
  </si>
  <si>
    <t>J2O13_01G001318</t>
  </si>
  <si>
    <t>4.86E-06</t>
  </si>
  <si>
    <t>3.05E-05</t>
  </si>
  <si>
    <t>PIL15</t>
  </si>
  <si>
    <t>Transcription factor PHYTOCHROME INTERACTING FACTOR-LIKE 15</t>
  </si>
  <si>
    <t>ko04075,ko04712</t>
  </si>
  <si>
    <t>Plant hormone signal transduction|Circadian rhythm - plant</t>
  </si>
  <si>
    <t>GO:0005634,GO:0003677,GO:0003700,GO:0046983,GO:0090229,GO:0006355</t>
  </si>
  <si>
    <t>nucleus|DNA binding|DNA-binding transcription factor activity|protein dimerization activity|negative regulation of red or far-red light signaling pathway|regulation of DNA-templated transcription</t>
  </si>
  <si>
    <t>J2O13_01G001322</t>
  </si>
  <si>
    <t>SMR6</t>
  </si>
  <si>
    <t>Cyclin-dependent protein kinase inhibitor SMR6</t>
  </si>
  <si>
    <t>GO:0005634,GO:0004860,GO:0007049,GO:0045839,GO:0032875</t>
  </si>
  <si>
    <t>nucleus|protein kinase inhibitor activity|cell cycle|negative regulation of mitotic nuclear division|regulation of DNA endoreduplication</t>
  </si>
  <si>
    <t>J2O13_01G001327</t>
  </si>
  <si>
    <t>ko00760</t>
  </si>
  <si>
    <t>Nicotinate and nicotinamide metabolism</t>
  </si>
  <si>
    <t>J2O13_01G001332</t>
  </si>
  <si>
    <t>1.49E-06</t>
  </si>
  <si>
    <t>1.04E-05</t>
  </si>
  <si>
    <t>J2O13_01G001338</t>
  </si>
  <si>
    <t>3.00E-06</t>
  </si>
  <si>
    <t>1.98E-05</t>
  </si>
  <si>
    <t>GWD2</t>
  </si>
  <si>
    <t>Alpha-glucan water dikinase 2</t>
  </si>
  <si>
    <t>GO:0009941,GO:0005524,GO:0102216,GO:0046872,GO:0102218,GO:0005975,GO:0016310</t>
  </si>
  <si>
    <t>chloroplast envelope|ATP binding|maltodextrin water dikinase|metal ion binding|starch, H2O dikinase activity|carbohydrate metabolic process|phosphorylation</t>
  </si>
  <si>
    <t>J2O13_01G001339</t>
  </si>
  <si>
    <t>8.79E-07</t>
  </si>
  <si>
    <t>6.40E-06</t>
  </si>
  <si>
    <t>J2O13_01G001343</t>
  </si>
  <si>
    <t>4.45E-10</t>
  </si>
  <si>
    <t>5.67E-09</t>
  </si>
  <si>
    <t>MAN4</t>
  </si>
  <si>
    <t>Mannan endo-1,4-beta-mannosidase 4</t>
  </si>
  <si>
    <t>ko00051</t>
  </si>
  <si>
    <t>Fructose and mannose metabolism</t>
  </si>
  <si>
    <t>GO:0005576,GO:0016985,GO:0071704</t>
  </si>
  <si>
    <t>extracellular region|mannan endo-1,4-beta-mannosidase activity|organic substance metabolic process</t>
  </si>
  <si>
    <t>J2O13_01G001347</t>
  </si>
  <si>
    <t>2.83E-10</t>
  </si>
  <si>
    <t>3.70E-09</t>
  </si>
  <si>
    <t>FIP1</t>
  </si>
  <si>
    <t>GEM-like protein 1</t>
  </si>
  <si>
    <t>J2O13_01G001348</t>
  </si>
  <si>
    <t>3.87E-09</t>
  </si>
  <si>
    <t>4.27E-08</t>
  </si>
  <si>
    <t>J2O13_01G001355</t>
  </si>
  <si>
    <t>1.59E-14</t>
  </si>
  <si>
    <t>3.74E-13</t>
  </si>
  <si>
    <t>PAP29</t>
  </si>
  <si>
    <t>Probable inactive purple acid phosphatase 29</t>
  </si>
  <si>
    <t>GO:0005576,GO:0003993,GO:0016788,GO:0046872</t>
  </si>
  <si>
    <t>extracellular region|acid phosphatase activity|hydrolase activity, acting on ester bonds|metal ion binding</t>
  </si>
  <si>
    <t>J2O13_01G001358</t>
  </si>
  <si>
    <t>2.56E-05</t>
  </si>
  <si>
    <t>J2O13_01G001370</t>
  </si>
  <si>
    <t>NTL9</t>
  </si>
  <si>
    <t>Protein NTM1-like 9</t>
  </si>
  <si>
    <t>GO:0005789,GO:0005634,GO:0005886,GO:0005516,GO:0003700,GO:0000976,GO:0071470,GO:0045892,GO:1900426,GO:0031347,GO:0006355</t>
  </si>
  <si>
    <t>endoplasmic reticulum membrane|nucleus|plasma membrane|calmodulin binding|DNA-binding transcription factor activity|transcription cis-regulatory region binding|cellular response to osmotic stress|negative regulation of DNA-templated transcription|positive regulation of defense response to bacterium|regulation of defense response|regulation of DNA-templated transcription</t>
  </si>
  <si>
    <t>J2O13_01G001371</t>
  </si>
  <si>
    <t>J2O13_01G001382</t>
  </si>
  <si>
    <t>5.02E-34</t>
  </si>
  <si>
    <t>7.71E-32</t>
  </si>
  <si>
    <t>LHY</t>
  </si>
  <si>
    <t>Protein LATE ELONGATED HYPOCOTYL</t>
  </si>
  <si>
    <t>ko04712</t>
  </si>
  <si>
    <t>Circadian rhythm - plant</t>
  </si>
  <si>
    <t>GO:0005634,GO:0000976,GO:0007623,GO:0010597,GO:0045892,GO:0042752</t>
  </si>
  <si>
    <t>nucleus|transcription cis-regulatory region binding|circadian rhythm|green leaf volatile biosynthetic process|negative regulation of DNA-templated transcription|regulation of circadian rhythm</t>
  </si>
  <si>
    <t>J2O13_01G001385</t>
  </si>
  <si>
    <t>1.54E-05</t>
  </si>
  <si>
    <t>8.75E-05</t>
  </si>
  <si>
    <t>DLO1</t>
  </si>
  <si>
    <t>Protein DMR6-LIKE OXYGENASE 1</t>
  </si>
  <si>
    <t>GO:0051213,GO:0046872,GO:0002229,GO:0010150,GO:0009617,GO:0009620,GO:0002239,GO:0009751,GO:0046244</t>
  </si>
  <si>
    <t>dioxygenase activity|metal ion binding|defense response to oomycetes|leaf senescence|response to bacterium|response to fungus|response to oomycetes|response to salicylic acid|salicylic acid catabolic process</t>
  </si>
  <si>
    <t>J2O13_01G001389</t>
  </si>
  <si>
    <t>CTOMT1</t>
  </si>
  <si>
    <t>Cathecol O-methyltransferase 1</t>
  </si>
  <si>
    <t>ko00380,ko00940</t>
  </si>
  <si>
    <t>Tryptophan metabolism|Phenylpropanoid biosynthesis</t>
  </si>
  <si>
    <t>GO:0008171,GO:0046983,GO:0008757,GO:0019438,GO:0032259</t>
  </si>
  <si>
    <t>O-methyltransferase activity|protein dimerization activity|S-adenosylmethionine-dependent methyltransferase activity|aromatic compound biosynthetic process|methylation</t>
  </si>
  <si>
    <t>J2O13_01G001390</t>
  </si>
  <si>
    <t>CURT1B</t>
  </si>
  <si>
    <t>Protein CURVATURE THYLAKOID 1B, chloroplastic</t>
  </si>
  <si>
    <t>GO:0009507,GO:0009941,GO:0042644,GO:0030093,GO:0009534,GO:0009535,GO:0005829,GO:0009515,GO:0009579,GO:0003677,GO:0019904,GO:0090391,GO:0097753,GO:0009773</t>
  </si>
  <si>
    <t>chloroplast|chloroplast envelope|chloroplast nucleoid|chloroplast photosystem I|chloroplast thylakoid|chloroplast thylakoid membrane|cytosol|granal stacked thylakoid|thylakoid|DNA binding|protein domain specific binding|granum assembly|membrane bending|photosynthetic electron transport in photosystem I</t>
  </si>
  <si>
    <t>J2O13_01G001409</t>
  </si>
  <si>
    <t>8.36E-05</t>
  </si>
  <si>
    <t>J2O13_01G001415</t>
  </si>
  <si>
    <t>NAC043</t>
  </si>
  <si>
    <t>NAC domain-containing protein 43</t>
  </si>
  <si>
    <t>GO:0005634,GO:0003677,GO:0003700,GO:0010047,GO:0009834,GO:0045893</t>
  </si>
  <si>
    <t>nucleus|DNA binding|DNA-binding transcription factor activity|fruit dehiscence|plant-type secondary cell wall biogenesis|positive regulation of DNA-templated transcription</t>
  </si>
  <si>
    <t>J2O13_01G001421</t>
  </si>
  <si>
    <t>7.39E-53</t>
  </si>
  <si>
    <t>4.39E-50</t>
  </si>
  <si>
    <t>CIPK9</t>
  </si>
  <si>
    <t>CBL-interacting serine/threonine-protein kinase 9</t>
  </si>
  <si>
    <t>GO:0005737,GO:0005634,GO:0005524,GO:0106310,GO:0004674,GO:0051365,GO:0055075,GO:0006468,GO:0043266,GO:0009409,GO:0010555,GO:0009651,GO:0009611,GO:0007165</t>
  </si>
  <si>
    <t>cytoplasm|nucleus|ATP binding|protein serine kinase activity|protein serine/threonine kinase activity|cellular response to potassium ion starvation|potassium ion homeostasis|protein phosphorylation|regulation of potassium ion transport|response to cold|response to mannitol|response to salt stress|response to wounding|signal transduction</t>
  </si>
  <si>
    <t>J2O13_01G001427</t>
  </si>
  <si>
    <t>2.12E-32</t>
  </si>
  <si>
    <t>2.82E-30</t>
  </si>
  <si>
    <t>BHLH14</t>
  </si>
  <si>
    <t>Transcription factor bHLH14</t>
  </si>
  <si>
    <t>ko04016,ko04075</t>
  </si>
  <si>
    <t>MAPK signaling pathway - plant|Plant hormone signal transduction</t>
  </si>
  <si>
    <t>GO:0005737,GO:0005634,GO:0003700,GO:0046983,GO:0000976,GO:0010629,GO:0006355</t>
  </si>
  <si>
    <t>cytoplasm|nucleus|DNA-binding transcription factor activity|protein dimerization activity|transcription cis-regulatory region binding|negative regulation of gene expression|regulation of DNA-templated transcription</t>
  </si>
  <si>
    <t>J2O13_01G001434</t>
  </si>
  <si>
    <t>7.19E-08</t>
  </si>
  <si>
    <t>6.44E-07</t>
  </si>
  <si>
    <t>ATHB-7</t>
  </si>
  <si>
    <t>Homeobox-leucine zipper protein ATHB-7</t>
  </si>
  <si>
    <t>GO:0005634,GO:0003700,GO:0000981,GO:0043565,GO:0000976,GO:0045893,GO:0009737,GO:0009414</t>
  </si>
  <si>
    <t>nucleus|DNA-binding transcription factor activity|DNA-binding transcription factor activity, RNA polymerase II-specific|sequence-specific DNA binding|transcription cis-regulatory region binding|positive regulation of DNA-templated transcription|response to abscisic acid|response to water deprivation</t>
  </si>
  <si>
    <t>J2O13_01G001438</t>
  </si>
  <si>
    <t>TAC1</t>
  </si>
  <si>
    <t>Protein TILLER ANGLE CONTROL 1</t>
  </si>
  <si>
    <t>GO:0001763,GO:0060771</t>
  </si>
  <si>
    <t>morphogenesis of a branching structure|phyllotactic patterning</t>
  </si>
  <si>
    <t>J2O13_01G001441</t>
  </si>
  <si>
    <t>3.51E-11</t>
  </si>
  <si>
    <t>5.22E-10</t>
  </si>
  <si>
    <t>J2O13_01G001449</t>
  </si>
  <si>
    <t>4.69E-12</t>
  </si>
  <si>
    <t>7.90E-11</t>
  </si>
  <si>
    <t>KIC</t>
  </si>
  <si>
    <t>Calcium-binding protein KIC</t>
  </si>
  <si>
    <t>GO:0005509,GO:0010091</t>
  </si>
  <si>
    <t>calcium ion binding|trichome branching</t>
  </si>
  <si>
    <t>J2O13_01G001457</t>
  </si>
  <si>
    <t>DOF2.5</t>
  </si>
  <si>
    <t>Dof zinc finger protein DOF2.5</t>
  </si>
  <si>
    <t>GO:0005634,GO:0003677,GO:0003700,GO:0046872,GO:0071491,GO:0071462,GO:0010372,GO:0010030,GO:0010161,GO:0009409,GO:0009416,GO:0009845</t>
  </si>
  <si>
    <t>nucleus|DNA binding|DNA-binding transcription factor activity|metal ion binding|cellular response to red light|cellular response to water stimulus|positive regulation of gibberellin biosynthetic process|positive regulation of seed germination|red light signaling pathway|response to cold|response to light stimulus|seed germination</t>
  </si>
  <si>
    <t>J2O13_01G001464</t>
  </si>
  <si>
    <t>KLCR1</t>
  </si>
  <si>
    <t>Protein KINESIN LIGHT CHAIN-RELATED 1</t>
  </si>
  <si>
    <t>GO:0005737,GO:0005829,GO:0005874</t>
  </si>
  <si>
    <t>cytoplasm|cytosol|microtubule</t>
  </si>
  <si>
    <t>J2O13_01G001471</t>
  </si>
  <si>
    <t>6.39E-10</t>
  </si>
  <si>
    <t>7.92E-09</t>
  </si>
  <si>
    <t>J2O13_01G001473</t>
  </si>
  <si>
    <t>J2O13_01G001481</t>
  </si>
  <si>
    <t>5.61E-29</t>
  </si>
  <si>
    <t>5.81E-27</t>
  </si>
  <si>
    <t>MTB1</t>
  </si>
  <si>
    <t>Transcription factor MTB1</t>
  </si>
  <si>
    <t>GO:0005634,GO:0003700,GO:0046983,GO:0000976,GO:0006952,GO:0031347,GO:0006355,GO:2000022</t>
  </si>
  <si>
    <t>nucleus|DNA-binding transcription factor activity|protein dimerization activity|transcription cis-regulatory region binding|defense response|regulation of defense response|regulation of DNA-templated transcription|regulation of jasmonic acid mediated signaling pathway</t>
  </si>
  <si>
    <t>J2O13_01G001485</t>
  </si>
  <si>
    <t>CYP703A3</t>
  </si>
  <si>
    <t>Cytochrome P450 703A2</t>
  </si>
  <si>
    <t>GO:0016020,GO:0052722,GO:0020037,GO:0005506,GO:0016709,GO:0048653,GO:0002933,GO:0051792,GO:0010584,GO:0080110</t>
  </si>
  <si>
    <t>membrane|fatty acid in-chain hydroxylase activity|heme binding|iron ion binding|oxidoreductase activity, acting on paired donors, with incorporation or reduction of molecular oxygen, NAD(P)H as one donor, and incorporation of one atom of oxygen|anther development|lipid hydroxylation|medium-chain fatty acid biosynthetic process|pollen exine formation|sporopollenin biosynthetic process</t>
  </si>
  <si>
    <t>J2O13_01G001487</t>
  </si>
  <si>
    <t>APF2</t>
  </si>
  <si>
    <t>Aspartyl protease family protein 2</t>
  </si>
  <si>
    <t>GO:0009505,GO:0004190,GO:0006508</t>
  </si>
  <si>
    <t>plant-type cell wall|aspartic-type endopeptidase activity|proteolysis</t>
  </si>
  <si>
    <t>J2O13_01G001497</t>
  </si>
  <si>
    <t>9.58E-09</t>
  </si>
  <si>
    <t>9.95E-08</t>
  </si>
  <si>
    <t>REC1</t>
  </si>
  <si>
    <t>Protein REDUCED CHLOROPLAST COVERAGE 1</t>
  </si>
  <si>
    <t>GO:0005737,GO:0005829,GO:0005576,GO:0005634,GO:0003729,GO:0019750,GO:0006996,GO:0010906</t>
  </si>
  <si>
    <t>cytoplasm|cytosol|extracellular region|nucleus|mRNA binding|chloroplast localization|organelle organization|regulation of glucose metabolic process</t>
  </si>
  <si>
    <t>J2O13_01G001507</t>
  </si>
  <si>
    <t>3.78E-05</t>
  </si>
  <si>
    <t>J2O13_01G001512</t>
  </si>
  <si>
    <t>PLIP1</t>
  </si>
  <si>
    <t>Phospholipase A1 PLIP1, chloroplastic</t>
  </si>
  <si>
    <t>GO:0009534,GO:0009535,GO:0102549,GO:0052740,GO:0047714,GO:0052739,GO:0008970,GO:0015908,GO:0016042,GO:0019432</t>
  </si>
  <si>
    <t>chloroplast thylakoid|chloroplast thylakoid membrane|1-18:1-2-16:0-monogalactosyldiacylglycerol lipase activity|1-acyl-2-lysophosphatidylserine acylhydrolase activity|galactolipase activity|phosphatidylserine 1-acylhydrolase activity|phospholipase A1 activity|fatty acid transport|lipid catabolic process|triglyceride biosynthetic process</t>
  </si>
  <si>
    <t>J2O13_01G001521</t>
  </si>
  <si>
    <t>7.29E-33</t>
  </si>
  <si>
    <t>1.01E-30</t>
  </si>
  <si>
    <t>WRKY30</t>
  </si>
  <si>
    <t>Probable WRKY transcription factor 30</t>
  </si>
  <si>
    <t>GO:0005737,GO:0005634,GO:0003700,GO:0000976,GO:0010150,GO:0042542,GO:0010193,GO:0009751</t>
  </si>
  <si>
    <t>cytoplasm|nucleus|DNA-binding transcription factor activity|transcription cis-regulatory region binding|leaf senescence|response to hydrogen peroxide|response to ozone|response to salicylic acid</t>
  </si>
  <si>
    <t>J2O13_01G001525</t>
  </si>
  <si>
    <t>1.05E-06</t>
  </si>
  <si>
    <t>7.56E-06</t>
  </si>
  <si>
    <t>TBL25</t>
  </si>
  <si>
    <t>Protein trichome birefringence-like 25</t>
  </si>
  <si>
    <t>GO:0005794,GO:0016020,GO:0016413</t>
  </si>
  <si>
    <t>Golgi apparatus|membrane|O-acetyltransferase activity</t>
  </si>
  <si>
    <t>J2O13_01G001528</t>
  </si>
  <si>
    <t>2.79E-07</t>
  </si>
  <si>
    <t>2.23E-06</t>
  </si>
  <si>
    <t>JAR6</t>
  </si>
  <si>
    <t>Jasmonoyl--L-amino acid synthetase JAR6</t>
  </si>
  <si>
    <t>GO:0102053,GO:0005524,GO:0102058,GO:0102057,GO:0006952</t>
  </si>
  <si>
    <t>(-)-jasmonoyl-isoleucine synthetase activity|ATP binding|jasmonoyl-leucine synthetase activity|jasmonoyl-valine synthetase activity|defense response</t>
  </si>
  <si>
    <t>J2O13_01G001537</t>
  </si>
  <si>
    <t>8.37E-11</t>
  </si>
  <si>
    <t>1.18E-09</t>
  </si>
  <si>
    <t>MTM1</t>
  </si>
  <si>
    <t>Mitochondrial carrier protein MTM1</t>
  </si>
  <si>
    <t>GO:0016020,GO:0005743,GO:0005739,GO:0016530,GO:0004784,GO:0006828,GO:1990542,GO:1901562,GO:0097501</t>
  </si>
  <si>
    <t>membrane|mitochondrial inner membrane|mitochondrion|metallochaperone activity|superoxide dismutase activity|manganese ion transport|mitochondrial transmembrane transport|response to paraquat|stress response to metal ion</t>
  </si>
  <si>
    <t>J2O13_01G001538</t>
  </si>
  <si>
    <t>5.93E-06</t>
  </si>
  <si>
    <t>3.67E-05</t>
  </si>
  <si>
    <t>PDV2</t>
  </si>
  <si>
    <t>Plastid division protein PDV2</t>
  </si>
  <si>
    <t>GO:0009707,GO:0005739,GO:0009536,GO:0070273,GO:0010020,GO:0009739</t>
  </si>
  <si>
    <t>chloroplast outer membrane|mitochondrion|plastid|phosphatidylinositol-4-phosphate binding|chloroplast fission|response to gibberellin</t>
  </si>
  <si>
    <t>J2O13_01G001541</t>
  </si>
  <si>
    <t>5.43E-05</t>
  </si>
  <si>
    <t>J2O13_01G001543</t>
  </si>
  <si>
    <t>1.01E-06</t>
  </si>
  <si>
    <t>7.30E-06</t>
  </si>
  <si>
    <t>J2O13_01G001544</t>
  </si>
  <si>
    <t>4.28E-10</t>
  </si>
  <si>
    <t>5.48E-09</t>
  </si>
  <si>
    <t>LTPG10</t>
  </si>
  <si>
    <t>Non-specific lipid transfer protein GPI-anchored 10</t>
  </si>
  <si>
    <t>GO:0005886</t>
  </si>
  <si>
    <t>plasma membrane</t>
  </si>
  <si>
    <t>J2O13_01G001546</t>
  </si>
  <si>
    <t>7.60E-18</t>
  </si>
  <si>
    <t>2.69E-16</t>
  </si>
  <si>
    <t>J2O13_01G001547</t>
  </si>
  <si>
    <t>1.76E-05</t>
  </si>
  <si>
    <t>9.82E-05</t>
  </si>
  <si>
    <t>J2O13_01G001548</t>
  </si>
  <si>
    <t>ERF117</t>
  </si>
  <si>
    <t>Ethylene-responsive transcription factor ERF117</t>
  </si>
  <si>
    <t>GO:0005634,GO:0003677,GO:0003700,GO:0009873</t>
  </si>
  <si>
    <t>nucleus|DNA binding|DNA-binding transcription factor activity|ethylene-activated signaling pathway</t>
  </si>
  <si>
    <t>J2O13_01G001551</t>
  </si>
  <si>
    <t>1.48E-05</t>
  </si>
  <si>
    <t>8.44E-05</t>
  </si>
  <si>
    <t>J2O13_01G001559</t>
  </si>
  <si>
    <t>3.01E-19</t>
  </si>
  <si>
    <t>1.24E-17</t>
  </si>
  <si>
    <t>RBCS</t>
  </si>
  <si>
    <t>Ribulose bisphosphate carboxylase small subunit, chloroplastic</t>
  </si>
  <si>
    <t>ko00630,ko00710</t>
  </si>
  <si>
    <t>Glyoxylate and dicarboxylate metabolism|Carbon fixation in photosynthetic organisms</t>
  </si>
  <si>
    <t>GO:0009507,GO:0016984,GO:0009853,GO:0019253</t>
  </si>
  <si>
    <t>chloroplast|ribulose-bisphosphate carboxylase activity|photorespiration|reductive pentose-phosphate cycle</t>
  </si>
  <si>
    <t>J2O13_01G001561</t>
  </si>
  <si>
    <t>4.36E-05</t>
  </si>
  <si>
    <t>J2O13_01G001574</t>
  </si>
  <si>
    <t>9.96E-17</t>
  </si>
  <si>
    <t>3.04E-15</t>
  </si>
  <si>
    <t>MYB62</t>
  </si>
  <si>
    <t>Transcription factor MYB62</t>
  </si>
  <si>
    <t>GO:0005634,GO:0003700,GO:0043565,GO:0016036,GO:0009740,GO:0009686,GO:0045892,GO:0010373,GO:0055062,GO:0006355,GO:0010015</t>
  </si>
  <si>
    <t>nucleus|DNA-binding transcription factor activity|sequence-specific DNA binding|cellular response to phosphate starvation|gibberellic acid mediated signaling pathway|gibberellin biosynthetic process|negative regulation of DNA-templated transcription|negative regulation of gibberellin biosynthetic process|phosphate ion homeostasis|regulation of DNA-templated transcription|root morphogenesis</t>
  </si>
  <si>
    <t>J2O13_01G001581</t>
  </si>
  <si>
    <t>3.05E-14</t>
  </si>
  <si>
    <t>6.90E-13</t>
  </si>
  <si>
    <t>BTS</t>
  </si>
  <si>
    <t>Zinc finger protein BRUTUS</t>
  </si>
  <si>
    <t>GO:0016020,GO:0005634,GO:0005506,GO:0016874,GO:0061630,GO:0008270,GO:0071456,GO:0010106,GO:0060586,GO:0016567,GO:0006511</t>
  </si>
  <si>
    <t>membrane|nucleus|iron ion binding|ligase activity|ubiquitin protein ligase activity|zinc ion binding|cellular response to hypoxia|cellular response to iron ion starvation|multicellular organismal iron ion homeostasis|protein ubiquitination|ubiquitin-dependent protein catabolic process</t>
  </si>
  <si>
    <t>J2O13_01G001585</t>
  </si>
  <si>
    <t>1.14E-07</t>
  </si>
  <si>
    <t>9.83E-07</t>
  </si>
  <si>
    <t>SARD1</t>
  </si>
  <si>
    <t>Protein SAR DEFICIENT 1</t>
  </si>
  <si>
    <t>GO:0005634,GO:0003700,GO:0043565,GO:0071219,GO:0042742,GO:0002229,GO:0009626,GO:1900426,GO:0006355,GO:0080142,GO:0010112,GO:0009617,GO:0010224</t>
  </si>
  <si>
    <t>nucleus|DNA-binding transcription factor activity|sequence-specific DNA binding|cellular response to molecule of bacterial origin|defense response to bacterium|defense response to oomycetes|plant-type hypersensitive response|positive regulation of defense response to bacterium|regulation of DNA-templated transcription|regulation of salicylic acid biosynthetic process|regulation of systemic acquired resistance|response to bacterium|response to UV-B</t>
  </si>
  <si>
    <t>J2O13_01G001586</t>
  </si>
  <si>
    <t>LRK10L-1.1</t>
  </si>
  <si>
    <t>LEAF RUST 10 DISEASE-RESISTANCE LOCUS RECEPTOR-LIKE PROTEIN KINASE-like 1.1</t>
  </si>
  <si>
    <t>GO:0005886,GO:0005524,GO:0030247,GO:0106310,GO:0004674,GO:0006468</t>
  </si>
  <si>
    <t>plasma membrane|ATP binding|polysaccharide binding|protein serine kinase activity|protein serine/threonine kinase activity|protein phosphorylation</t>
  </si>
  <si>
    <t>J2O13_01G001587</t>
  </si>
  <si>
    <t>6.95E-17</t>
  </si>
  <si>
    <t>2.15E-15</t>
  </si>
  <si>
    <t>LRK10L-1.2</t>
  </si>
  <si>
    <t>LEAF RUST 10 DISEASE-RESISTANCE LOCUS RECEPTOR-LIKE PROTEIN KINASE-like 1.2</t>
  </si>
  <si>
    <t>GO:0005886,GO:0005524,GO:0030247,GO:0106310,GO:0004674,GO:0071215,GO:0042631,GO:0048573,GO:0006468</t>
  </si>
  <si>
    <t>plasma membrane|ATP binding|polysaccharide binding|protein serine kinase activity|protein serine/threonine kinase activity|cellular response to abscisic acid stimulus|cellular response to water deprivation|photoperiodism, flowering|protein phosphorylation</t>
  </si>
  <si>
    <t>J2O13_01G001588</t>
  </si>
  <si>
    <t>1.38E-05</t>
  </si>
  <si>
    <t>7.88E-05</t>
  </si>
  <si>
    <t>PR5K</t>
  </si>
  <si>
    <t>PR5-like receptor kinase</t>
  </si>
  <si>
    <t>GO:0016020,GO:0009506,GO:0005524,GO:0004672,GO:0106310,GO:0004675,GO:0006468,GO:0009620</t>
  </si>
  <si>
    <t>membrane|plasmodesma|ATP binding|protein kinase activity|protein serine kinase activity|transmembrane receptor protein serine/threonine kinase activity|protein phosphorylation|response to fungus</t>
  </si>
  <si>
    <t>J2O13_01G001591</t>
  </si>
  <si>
    <t>2.27E-15</t>
  </si>
  <si>
    <t>5.95E-14</t>
  </si>
  <si>
    <t>Non-specific lipid-transfer protein 2 OS=Prunus armeniaca OX=36596 PE=1 SV=1</t>
  </si>
  <si>
    <t>GO:0008289,GO:0006869</t>
  </si>
  <si>
    <t>lipid binding|lipid transport</t>
  </si>
  <si>
    <t>J2O13_01G001592</t>
  </si>
  <si>
    <t>POPTR_0012s05040g</t>
  </si>
  <si>
    <t>L-Ala-D/L-amino acid epimerase</t>
  </si>
  <si>
    <t>GO:0000287,GO:0016854,GO:0016855,GO:0006518</t>
  </si>
  <si>
    <t>magnesium ion binding|racemase and epimerase activity|racemase and epimerase activity, acting on amino acids and derivatives|peptide metabolic process</t>
  </si>
  <si>
    <t>J2O13_01G001593</t>
  </si>
  <si>
    <t>At1g11410</t>
  </si>
  <si>
    <t>G-type lectin S-receptor-like serine/threonine-protein kinase At1g11410</t>
  </si>
  <si>
    <t>GO:0005886,GO:0005524,GO:0005516,GO:0030246,GO:0106310,GO:0004674,GO:0031625,GO:0006468,GO:0048544</t>
  </si>
  <si>
    <t>plasma membrane|ATP binding|calmodulin binding|carbohydrate binding|protein serine kinase activity|protein serine/threonine kinase activity|ubiquitin protein ligase binding|protein phosphorylation|recognition of pollen</t>
  </si>
  <si>
    <t>J2O13_01G001601</t>
  </si>
  <si>
    <t>ko00550,ko04112,ko01502</t>
  </si>
  <si>
    <t>Peptidoglycan biosynthesis|Cell cycle - Caulobacter|Vancomycin resistance</t>
  </si>
  <si>
    <t>J2O13_01G001604</t>
  </si>
  <si>
    <t>1.36E-14</t>
  </si>
  <si>
    <t>3.21E-13</t>
  </si>
  <si>
    <t>J2O13_01G001605</t>
  </si>
  <si>
    <t>9.83E-10</t>
  </si>
  <si>
    <t>1.18E-08</t>
  </si>
  <si>
    <t>J2O13_01G001614</t>
  </si>
  <si>
    <t>J2O13_01G001615</t>
  </si>
  <si>
    <t>1.89E-07</t>
  </si>
  <si>
    <t>1.56E-06</t>
  </si>
  <si>
    <t>SDR1</t>
  </si>
  <si>
    <t>(+)-neomenthol dehydrogenase</t>
  </si>
  <si>
    <t>ko00590,ko00790,ko00980,ko05204,ko05208</t>
  </si>
  <si>
    <t>Arachidonic acid metabolism|Folate biosynthesis|Metabolism of xenobiotics by cytochrome P450|Chemical carcinogenesis - DNA adducts|Chemical carcinogenesis - reactive oxygen species</t>
  </si>
  <si>
    <t>GO:0005737,GO:0047501,GO:0006952</t>
  </si>
  <si>
    <t>cytoplasm|(+)-neomenthol dehydrogenase activity|defense response</t>
  </si>
  <si>
    <t>J2O13_01G001619</t>
  </si>
  <si>
    <t>5.98E-25</t>
  </si>
  <si>
    <t>4.18E-23</t>
  </si>
  <si>
    <t>RPS16-2</t>
  </si>
  <si>
    <t>30S ribosomal protein S16-2, chloroplastic/mitochondrial</t>
  </si>
  <si>
    <t>ko03010</t>
  </si>
  <si>
    <t>Ribosome</t>
  </si>
  <si>
    <t>GO:0009507,GO:0005739,GO:0009536,GO:0015935,GO:0003735,GO:0006412</t>
  </si>
  <si>
    <t>chloroplast|mitochondrion|plastid|small ribosomal subunit|structural constituent of ribosome|translation</t>
  </si>
  <si>
    <t>J2O13_01G001623</t>
  </si>
  <si>
    <t>At1g65750</t>
  </si>
  <si>
    <t>Putative ribonuclease H protein At1g65750</t>
  </si>
  <si>
    <t>GO:0046872,GO:0003676,GO:0004523</t>
  </si>
  <si>
    <t>metal ion binding|nucleic acid binding|RNA-DNA hybrid ribonuclease activity</t>
  </si>
  <si>
    <t>J2O13_01G001641</t>
  </si>
  <si>
    <t>4.65E-68</t>
  </si>
  <si>
    <t>5.52E-65</t>
  </si>
  <si>
    <t>P2</t>
  </si>
  <si>
    <t>NADP-dependent alkenal double bond reductase P2</t>
  </si>
  <si>
    <t>GO:0005886,GO:0009536,GO:0032440,GO:0006979</t>
  </si>
  <si>
    <t>plasma membrane|plastid|2-alkenal reductase [NAD(P)+] activity|response to oxidative stress</t>
  </si>
  <si>
    <t>J2O13_01G001648</t>
  </si>
  <si>
    <t>At5g48380</t>
  </si>
  <si>
    <t>Probably inactive leucine-rich repeat receptor-like protein kinase At5g48380</t>
  </si>
  <si>
    <t>GO:0005886,GO:0009506,GO:0005524,GO:0042802,GO:0016301,GO:0004672,GO:0033612,GO:0042742,GO:0060548,GO:0031348,GO:0006468</t>
  </si>
  <si>
    <t>plasma membrane|plasmodesma|ATP binding|identical protein binding|kinase activity|protein kinase activity|receptor serine/threonine kinase binding|defense response to bacterium|negative regulation of cell death|negative regulation of defense response|protein phosphorylation</t>
  </si>
  <si>
    <t>J2O13_01G001649</t>
  </si>
  <si>
    <t>1.18E-32</t>
  </si>
  <si>
    <t>1.60E-30</t>
  </si>
  <si>
    <t>J2O13_01G001650</t>
  </si>
  <si>
    <t>J2O13_01G001675</t>
  </si>
  <si>
    <t>2.45E-05</t>
  </si>
  <si>
    <t>RAP</t>
  </si>
  <si>
    <t>RAP domain-containing protein, chloroplastic</t>
  </si>
  <si>
    <t>GO:0009507,GO:0042644,GO:0005759,GO:0042646,GO:0035770,GO:0003723,GO:1901259,GO:0006952,GO:0000963,GO:0044528</t>
  </si>
  <si>
    <t>chloroplast|chloroplast nucleoid|mitochondrial matrix|plastid nucleoid|ribonucleoprotein granule|RNA binding|chloroplast rRNA processing|defense response|mitochondrial RNA processing|regulation of mitochondrial mRNA stability</t>
  </si>
  <si>
    <t>J2O13_01G001707</t>
  </si>
  <si>
    <t>9.79E-11</t>
  </si>
  <si>
    <t>1.36E-09</t>
  </si>
  <si>
    <t>At5g56260</t>
  </si>
  <si>
    <t>Putative 4-hydroxy-4-methyl-2-oxoglutarate aldolase 3</t>
  </si>
  <si>
    <t>GO:0009536,GO:0047443,GO:0046872,GO:0008948,GO:0008428,GO:0051252</t>
  </si>
  <si>
    <t>plastid|4-hydroxy-4-methyl-2-oxoglutarate aldolase activity|metal ion binding|oxaloacetate decarboxylase activity|ribonuclease inhibitor activity|regulation of RNA metabolic process</t>
  </si>
  <si>
    <t>J2O13_01G001727</t>
  </si>
  <si>
    <t>8.82E-17</t>
  </si>
  <si>
    <t>2.70E-15</t>
  </si>
  <si>
    <t>GB1</t>
  </si>
  <si>
    <t>Guanine nucleotide-binding protein subunit beta</t>
  </si>
  <si>
    <t>GO:0080008,GO:0005737,GO:0005783,GO:0005834,GO:0005634,GO:0005886,GO:0003924,GO:0030159,GO:0009738,GO:0050832,GO:0030968,GO:0010154,GO:0007186,GO:0009867,GO:0048527,GO:1905392,GO:0072593,GO:2000280,GO:0009723,GO:0009991,GO:0048364,GO:0009845,GO:0010118</t>
  </si>
  <si>
    <t>Cul4-RING E3 ubiquitin ligase complex|cytoplasm|endoplasmic reticulum|heterotrimeric G-protein complex|nucleus|plasma membrane|GTPase activity|signaling receptor complex adaptor activity|abscisic acid-activated signaling pathway|defense response to fungus|endoplasmic reticulum unfolded protein response|fruit development|G protein-coupled receptor signaling pathway|jasmonic acid mediated signaling pathway|lateral root development|plant organ morphogenesis|reactive oxygen species metabolic process|regulation of root development|response to ethylene|response to extracellular stimulus|root development|seed germination|stomatal movement</t>
  </si>
  <si>
    <t>J2O13_01G001732</t>
  </si>
  <si>
    <t>1.81E-08</t>
  </si>
  <si>
    <t>1.80E-07</t>
  </si>
  <si>
    <t>PCMP-E13</t>
  </si>
  <si>
    <t>Pentatricopeptide repeat-containing protein At5g56310</t>
  </si>
  <si>
    <t>GO:0003723,GO:0009451</t>
  </si>
  <si>
    <t>RNA binding|RNA modification</t>
  </si>
  <si>
    <t>J2O13_01G001775</t>
  </si>
  <si>
    <t>8.17E-06</t>
  </si>
  <si>
    <t>4.92E-05</t>
  </si>
  <si>
    <t>J2O13_01G001816</t>
  </si>
  <si>
    <t>Os01g0915401</t>
  </si>
  <si>
    <t>Cysteine proteinase inhibitor 5</t>
  </si>
  <si>
    <t>GO:0005576,GO:0004869,GO:0006952,GO:0010466</t>
  </si>
  <si>
    <t>extracellular region|cysteine-type endopeptidase inhibitor activity|defense response|negative regulation of peptidase activity</t>
  </si>
  <si>
    <t>J2O13_01G001818</t>
  </si>
  <si>
    <t>4.81E-10</t>
  </si>
  <si>
    <t>6.09E-09</t>
  </si>
  <si>
    <t>SPP</t>
  </si>
  <si>
    <t>Stromal processing peptidase, chloroplastic</t>
  </si>
  <si>
    <t>GO:0009507,GO:0009570,GO:0005739,GO:0009536,GO:0046872,GO:0008237,GO:0003729,GO:0009793,GO:0006508</t>
  </si>
  <si>
    <t>chloroplast|chloroplast stroma|mitochondrion|plastid|metal ion binding|metallopeptidase activity|mRNA binding|embryo development ending in seed dormancy|proteolysis</t>
  </si>
  <si>
    <t>J2O13_01G001862</t>
  </si>
  <si>
    <t>9.73E-07</t>
  </si>
  <si>
    <t>7.03E-06</t>
  </si>
  <si>
    <t>Os04g0338000</t>
  </si>
  <si>
    <t>Probable aldo-keto reductase 2</t>
  </si>
  <si>
    <t>GO:0005737,GO:0004033</t>
  </si>
  <si>
    <t>cytoplasm|aldo-keto reductase (NADP) activity</t>
  </si>
  <si>
    <t>J2O13_01G001872</t>
  </si>
  <si>
    <t>GDI1</t>
  </si>
  <si>
    <t>Rho GDP-dissociation inhibitor 1</t>
  </si>
  <si>
    <t>ko04962,ko04722</t>
  </si>
  <si>
    <t>Vasopressin-regulated water reabsorption|Neurotrophin signaling pathway</t>
  </si>
  <si>
    <t>GO:0005829,GO:0016020,GO:0005096,GO:0005094,GO:0009932,GO:0007266,GO:0010053</t>
  </si>
  <si>
    <t>cytosol|membrane|GTPase activator activity|Rho GDP-dissociation inhibitor activity|cell tip growth|Rho protein signal transduction|root epidermal cell differentiation</t>
  </si>
  <si>
    <t>J2O13_01G001884</t>
  </si>
  <si>
    <t>2.39E-05</t>
  </si>
  <si>
    <t>PDS1</t>
  </si>
  <si>
    <t>15-cis-phytoene desaturase, chloroplastic/chromoplastic</t>
  </si>
  <si>
    <t>GO:0009507,GO:0009509,GO:0016020,GO:0071949,GO:0016491,GO:0016166,GO:0016120,GO:0016117,GO:0051289</t>
  </si>
  <si>
    <t>chloroplast|chromoplast|membrane|FAD binding|oxidoreductase activity|phytoene dehydrogenase activity|carotene biosynthetic process|carotenoid biosynthetic process|protein homotetramerization</t>
  </si>
  <si>
    <t>J2O13_01G001890</t>
  </si>
  <si>
    <t>Xyloglucan endotransglucosylase/hydrolase 2 OS=Glycine max OX=3847 PE=2 SV=1</t>
  </si>
  <si>
    <t>GO:0048046,GO:0004553,GO:0030247,GO:0016762,GO:0042546,GO:0010411</t>
  </si>
  <si>
    <t>apoplast|hydrolase activity, hydrolyzing O-glycosyl compounds|polysaccharide binding|xyloglucan:xyloglucosyl transferase activity|cell wall biogenesis|xyloglucan metabolic process</t>
  </si>
  <si>
    <t>J2O13_01G001951</t>
  </si>
  <si>
    <t>HIPP45</t>
  </si>
  <si>
    <t>Heavy metal-associated isoprenylated plant protein 45</t>
  </si>
  <si>
    <t>GO:0046872,GO:0050896</t>
  </si>
  <si>
    <t>metal ion binding|response to stimulus</t>
  </si>
  <si>
    <t>J2O13_01G001976</t>
  </si>
  <si>
    <t>COX3</t>
  </si>
  <si>
    <t>Cytochrome c oxidase subunit 3</t>
  </si>
  <si>
    <t>ko00190,ko04260,ko04714,ko05208,ko05010,ko05012,ko05014,ko05016,ko05020,ko05022,ko05415,ko04932</t>
  </si>
  <si>
    <t>Oxidative phosphorylation|Cardiac muscle contraction|Thermogenesis|Chemical carcinogenesis - reactive oxygen species|Alzheimer disease|Parkinson disease|Amyotrophic lateral sclerosis|Huntington disease|Prion disease|Pathways of neurodegeneration - multiple diseases|Diabetic cardiomyopathy|Non-alcoholic fatty liver disease</t>
  </si>
  <si>
    <t>GO:0005743,GO:0005739,GO:0004129,GO:0009055,GO:0015453,GO:0009060,GO:0006123</t>
  </si>
  <si>
    <t>mitochondrial inner membrane|mitochondrion|cytochrome-c oxidase activity|electron transfer activity|oxidoreduction-driven active transmembrane transporter activity|aerobic respiration|mitochondrial electron transport, cytochrome c to oxygen</t>
  </si>
  <si>
    <t>J2O13_01G001978</t>
  </si>
  <si>
    <t>6.59E-36</t>
  </si>
  <si>
    <t>1.12E-33</t>
  </si>
  <si>
    <t>Z-ISO</t>
  </si>
  <si>
    <t>15-cis-zeta-carotene isomerase, chloroplastic</t>
  </si>
  <si>
    <t>GO:0009507,GO:0031969,GO:0090471,GO:0016120</t>
  </si>
  <si>
    <t>chloroplast|chloroplast membrane|9,15,9'-tri-cis-zeta-carotene isomerase activity|carotene biosynthetic process</t>
  </si>
  <si>
    <t>J2O13_01G001985</t>
  </si>
  <si>
    <t>J2O13_01G001986</t>
  </si>
  <si>
    <t>6.37E-18</t>
  </si>
  <si>
    <t>2.28E-16</t>
  </si>
  <si>
    <t>J2O13_01G001987</t>
  </si>
  <si>
    <t>2.47E-20</t>
  </si>
  <si>
    <t>1.12E-18</t>
  </si>
  <si>
    <t>Pathogenesis-related thaumatin-like protein 3.5 OS=Cryptomeria japonica OX=3369 PE=1 SV=1</t>
  </si>
  <si>
    <t>GO:0006952,GO:0009737,GO:0009607</t>
  </si>
  <si>
    <t>defense response|response to abscisic acid|response to biotic stimulus</t>
  </si>
  <si>
    <t>J2O13_01G001989</t>
  </si>
  <si>
    <t>2.62E-05</t>
  </si>
  <si>
    <t>J2O13_01G001996</t>
  </si>
  <si>
    <t>NHL2</t>
  </si>
  <si>
    <t>NDR1/HIN1-like protein 2</t>
  </si>
  <si>
    <t>GO:0009507,GO:0005886,GO:0009506,GO:0051607</t>
  </si>
  <si>
    <t>chloroplast|plasma membrane|plasmodesma|defense response to virus</t>
  </si>
  <si>
    <t>J2O13_01G001998</t>
  </si>
  <si>
    <t>4.25E-06</t>
  </si>
  <si>
    <t>2.71E-05</t>
  </si>
  <si>
    <t>RE2</t>
  </si>
  <si>
    <t>Retrovirus-related Pol polyprotein from transposon RE2</t>
  </si>
  <si>
    <t>GO:0004190,GO:0004519,GO:0046872,GO:0003676,GO:0003964,GO:0015074,GO:0006310,GO:0006508</t>
  </si>
  <si>
    <t>aspartic-type endopeptidase activity|endonuclease activity|metal ion binding|nucleic acid binding|RNA-directed DNA polymerase activity|DNA integration|DNA recombination|proteolysis</t>
  </si>
  <si>
    <t>J2O13_01G002003</t>
  </si>
  <si>
    <t>Fructose-bisphosphate aldolase, cytoplasmic isozyme 1 OS=Pisum sativum OX=3888 PE=2 SV=1</t>
  </si>
  <si>
    <t>ko00010,ko00030,ko00051,ko00710,ko00680,ko04066</t>
  </si>
  <si>
    <t>Glycolysis / Gluconeogenesis|Pentose phosphate pathway|Fructose and mannose metabolism|Carbon fixation in photosynthetic organisms|Methane metabolism|HIF-1 signaling pathway</t>
  </si>
  <si>
    <t>GO:0005737,GO:0004332,GO:0006096</t>
  </si>
  <si>
    <t>cytoplasm|fructose-bisphosphate aldolase activity|glycolytic process</t>
  </si>
  <si>
    <t>J2O13_01G002004</t>
  </si>
  <si>
    <t>FBA5</t>
  </si>
  <si>
    <t>Fructose-bisphosphate aldolase 5, cytosolic</t>
  </si>
  <si>
    <t>GO:0005829,GO:0004332,GO:0003729,GO:0030388,GO:0006094,GO:0006096</t>
  </si>
  <si>
    <t>cytosol|fructose-bisphosphate aldolase activity|mRNA binding|fructose 1,6-bisphosphate metabolic process|gluconeogenesis|glycolytic process</t>
  </si>
  <si>
    <t>J2O13_01G002005</t>
  </si>
  <si>
    <t>1.03E-11</t>
  </si>
  <si>
    <t>1.66E-10</t>
  </si>
  <si>
    <t>AVT1H</t>
  </si>
  <si>
    <t>Amino acid transporter AVT1H</t>
  </si>
  <si>
    <t>GO:0016020,GO:0015171,GO:0003333</t>
  </si>
  <si>
    <t>membrane|amino acid transmembrane transporter activity|amino acid transmembrane transport</t>
  </si>
  <si>
    <t>J2O13_01G002011</t>
  </si>
  <si>
    <t>3.82E-15</t>
  </si>
  <si>
    <t>9.77E-14</t>
  </si>
  <si>
    <t>RGI3</t>
  </si>
  <si>
    <t>LRR receptor-like serine/threonine-protein kinase RGI3</t>
  </si>
  <si>
    <t>GO:0005886,GO:0005524,GO:0042277,GO:0001653,GO:0106310,GO:0004674,GO:0010074,GO:0010078,GO:0006468,GO:2000280,GO:0010082</t>
  </si>
  <si>
    <t>plasma membrane|ATP binding|peptide binding|peptide receptor activity|protein serine kinase activity|protein serine/threonine kinase activity|maintenance of meristem identity|maintenance of root meristem identity|protein phosphorylation|regulation of root development|regulation of root meristem growth</t>
  </si>
  <si>
    <t>J2O13_01G002019</t>
  </si>
  <si>
    <t>1.94E-22</t>
  </si>
  <si>
    <t>1.08E-20</t>
  </si>
  <si>
    <t>HSC80</t>
  </si>
  <si>
    <t>Heat shock cognate protein 80</t>
  </si>
  <si>
    <t>ko04141,ko04151,ko04217,ko04621,ko04612,ko04659,ko04657,ko04915,ko04914,ko04626,ko05200,ko05207,ko05215,ko05132,ko05417,ko05418</t>
  </si>
  <si>
    <t>Protein processing in endoplasmic reticulum|PI3K-Akt signaling pathway|Necroptosis|NOD-like receptor signaling pathway|Antigen processing and presentation|Th17 cell differentiation|IL-17 signaling pathway|Estrogen signaling pathway|Progesterone-mediated oocyte maturation|Plant-pathogen interaction|Pathways in cancer|Chemical carcinogenesis - receptor activation|Prostate cancer|Salmonella infection|Lipid and atherosclerosis|Fluid shear stress and atherosclerosis</t>
  </si>
  <si>
    <t>GO:0005829,GO:0048471,GO:0005886,GO:0032991,GO:0005524,GO:0016887,GO:0140662,GO:0051082,GO:0034605,GO:0006457,GO:0050821</t>
  </si>
  <si>
    <t>cytosol|perinuclear region of cytoplasm|plasma membrane|protein-containing complex|ATP binding|ATP hydrolysis activity|ATP-dependent protein folding chaperone|unfolded protein binding|cellular response to heat|protein folding|protein stabilization</t>
  </si>
  <si>
    <t>J2O13_01G002033</t>
  </si>
  <si>
    <t>J2O13_01G002041</t>
  </si>
  <si>
    <t>4.05E-05</t>
  </si>
  <si>
    <t>J2O13_01G002125</t>
  </si>
  <si>
    <t>J2O13_01G002166</t>
  </si>
  <si>
    <t>1.78E-42</t>
  </si>
  <si>
    <t>4.95E-40</t>
  </si>
  <si>
    <t>DMR6</t>
  </si>
  <si>
    <t>Protein DOWNY MILDEW RESISTANCE 6</t>
  </si>
  <si>
    <t>GO:0051213,GO:0033759,GO:0046872,GO:0034785,GO:0071456,GO:0042742,GO:0002229,GO:0009813,GO:0010150,GO:0009617,GO:0009620,GO:0002239,GO:0009751,GO:0046244</t>
  </si>
  <si>
    <t>dioxygenase activity|flavone synthase activity|metal ion binding|salicylate 5-hydroxylase activity|cellular response to hypoxia|defense response to bacterium|defense response to oomycetes|flavonoid biosynthetic process|leaf senescence|response to bacterium|response to fungus|response to oomycetes|response to salicylic acid|salicylic acid catabolic process</t>
  </si>
  <si>
    <t>J2O13_01G002170</t>
  </si>
  <si>
    <t>2.32E-07</t>
  </si>
  <si>
    <t>1.88E-06</t>
  </si>
  <si>
    <t>NHL26</t>
  </si>
  <si>
    <t>NDR1/HIN1-like protein 26</t>
  </si>
  <si>
    <t>GO:0005783,GO:0005789,GO:0005886,GO:0009506,GO:0009511,GO:0098542,GO:0110126</t>
  </si>
  <si>
    <t>endoplasmic reticulum|endoplasmic reticulum membrane|plasma membrane|plasmodesma|plasmodesmatal endoplasmic reticulum|defense response to other organism|phloem loading</t>
  </si>
  <si>
    <t>J2O13_01G002180</t>
  </si>
  <si>
    <t>J2O13_01G002182</t>
  </si>
  <si>
    <t>J2O13_01G002193</t>
  </si>
  <si>
    <t>8.40E-09</t>
  </si>
  <si>
    <t>8.83E-08</t>
  </si>
  <si>
    <t>GO:0080008,GO:0005737,GO:0005783,GO:0005834,GO:0030159,GO:0050832,GO:0030968,GO:0010154,GO:0007186,GO:0009867,GO:0048527,GO:1905392,GO:0072593,GO:2000280,GO:0009723,GO:0009991,GO:0009845,GO:0010118</t>
  </si>
  <si>
    <t>Cul4-RING E3 ubiquitin ligase complex|cytoplasm|endoplasmic reticulum|heterotrimeric G-protein complex|signaling receptor complex adaptor activity|defense response to fungus|endoplasmic reticulum unfolded protein response|fruit development|G protein-coupled receptor signaling pathway|jasmonic acid mediated signaling pathway|lateral root development|plant organ morphogenesis|reactive oxygen species metabolic process|regulation of root development|response to ethylene|response to extracellular stimulus|seed germination|stomatal movement</t>
  </si>
  <si>
    <t>J2O13_01G002249</t>
  </si>
  <si>
    <t>J2O13_01G002254</t>
  </si>
  <si>
    <t>2.63E-08</t>
  </si>
  <si>
    <t>2.56E-07</t>
  </si>
  <si>
    <t>PLR1</t>
  </si>
  <si>
    <t>Pyridoxal reductase, chloroplastic</t>
  </si>
  <si>
    <t>ko00750</t>
  </si>
  <si>
    <t>Vitamin B6 metabolism</t>
  </si>
  <si>
    <t>GO:0009507,GO:0005737,GO:0009536,GO:0004033,GO:0070402,GO:0050236,GO:0009443,GO:0042821,GO:0042820</t>
  </si>
  <si>
    <t>chloroplast|cytoplasm|plastid|aldo-keto reductase (NADP) activity|NADPH binding|pyridoxine:NADP 4-dehydrogenase activity|pyridoxal 5'-phosphate salvage|pyridoxal biosynthetic process|vitamin B6 catabolic process</t>
  </si>
  <si>
    <t>J2O13_01G002257</t>
  </si>
  <si>
    <t>8.15E-37</t>
  </si>
  <si>
    <t>1.48E-34</t>
  </si>
  <si>
    <t>HOX6</t>
  </si>
  <si>
    <t>Homeobox-leucine zipper protein HOX6</t>
  </si>
  <si>
    <t>GO:0005634,GO:0000981,GO:0043565</t>
  </si>
  <si>
    <t>nucleus|DNA-binding transcription factor activity, RNA polymerase II-specific|sequence-specific DNA binding</t>
  </si>
  <si>
    <t>J2O13_01G002279</t>
  </si>
  <si>
    <t>2.86E-13</t>
  </si>
  <si>
    <t>5.70E-12</t>
  </si>
  <si>
    <t>PUB44</t>
  </si>
  <si>
    <t>U-box domain-containing protein 44</t>
  </si>
  <si>
    <t>GO:0005737,GO:0005634,GO:0005886,GO:0070696,GO:0004842,GO:0010150,GO:0090359,GO:0010115,GO:0010380,GO:0010271</t>
  </si>
  <si>
    <t>cytoplasm|nucleus|plasma membrane|transmembrane receptor protein serine/threonine kinase binding|ubiquitin-protein transferase activity|leaf senescence|negative regulation of abscisic acid biosynthetic process|regulation of abscisic acid biosynthetic process|regulation of chlorophyll biosynthetic process|regulation of chlorophyll catabolic process</t>
  </si>
  <si>
    <t>J2O13_01G002297</t>
  </si>
  <si>
    <t>YSL3</t>
  </si>
  <si>
    <t>Metal-nicotianamine transporter YSL3</t>
  </si>
  <si>
    <t>GO:0016020,GO:0005886,GO:0051980,GO:0035673,GO:0003006,GO:0010039,GO:0009624,GO:0048316</t>
  </si>
  <si>
    <t>membrane|plasma membrane|iron-nicotianamine transmembrane transporter activity|oligopeptide transmembrane transporter activity|developmental process involved in reproduction|response to iron ion|response to nematode|seed development</t>
  </si>
  <si>
    <t>J2O13_01G002323</t>
  </si>
  <si>
    <t>J2O13_01G002335</t>
  </si>
  <si>
    <t>J2O13_01G002347</t>
  </si>
  <si>
    <t>3.79E-12</t>
  </si>
  <si>
    <t>6.48E-11</t>
  </si>
  <si>
    <t>J2O13_01G002353</t>
  </si>
  <si>
    <t>1.83E-07</t>
  </si>
  <si>
    <t>1.51E-06</t>
  </si>
  <si>
    <t>PPH1</t>
  </si>
  <si>
    <t>Protein phosphatase 2C 57</t>
  </si>
  <si>
    <t>ko04010</t>
  </si>
  <si>
    <t>MAPK signaling pathway</t>
  </si>
  <si>
    <t>GO:0009507,GO:0009570,GO:0005737,GO:0016020,GO:0005730,GO:0005634,GO:0009579,GO:0000287,GO:0030145,GO:0017018,GO:0016791,GO:0016311,GO:0009767,GO:0080005,GO:0006470</t>
  </si>
  <si>
    <t>chloroplast|chloroplast stroma|cytoplasm|membrane|nucleolus|nucleus|thylakoid|magnesium ion binding|manganese ion binding|myosin phosphatase activity|phosphatase activity|dephosphorylation|photosynthetic electron transport chain|photosystem stoichiometry adjustment|protein dephosphorylation</t>
  </si>
  <si>
    <t>J2O13_01G002369</t>
  </si>
  <si>
    <t>6.70E-08</t>
  </si>
  <si>
    <t>6.04E-07</t>
  </si>
  <si>
    <t>NFD4</t>
  </si>
  <si>
    <t>Protein NUCLEAR FUSION DEFECTIVE 4</t>
  </si>
  <si>
    <t>GO:0016020,GO:0005739,GO:0000741,GO:0010197,GO:0009651</t>
  </si>
  <si>
    <t>membrane|mitochondrion|karyogamy|polar nucleus fusion|response to salt stress</t>
  </si>
  <si>
    <t>J2O13_01G002376</t>
  </si>
  <si>
    <t>1.40E-15</t>
  </si>
  <si>
    <t>3.74E-14</t>
  </si>
  <si>
    <t>J2O13_01G002406</t>
  </si>
  <si>
    <t>1.18E-10</t>
  </si>
  <si>
    <t>1.63E-09</t>
  </si>
  <si>
    <t>At4g00950</t>
  </si>
  <si>
    <t>Uncharacterized protein At4g00950</t>
  </si>
  <si>
    <t>GO:0003700,GO:0009793,GO:0006355</t>
  </si>
  <si>
    <t>DNA-binding transcription factor activity|embryo development ending in seed dormancy|regulation of DNA-templated transcription</t>
  </si>
  <si>
    <t>J2O13_01G002412</t>
  </si>
  <si>
    <t>9.87E-13</t>
  </si>
  <si>
    <t>1.82E-11</t>
  </si>
  <si>
    <t>J2O13_01G002413</t>
  </si>
  <si>
    <t>1.07E-12</t>
  </si>
  <si>
    <t>1.96E-11</t>
  </si>
  <si>
    <t>J2O13_01G002420</t>
  </si>
  <si>
    <t>8.28E-69</t>
  </si>
  <si>
    <t>1.05E-65</t>
  </si>
  <si>
    <t>Soluble starch synthase 1, chloroplastic/amyloplastic OS=Solanum tuberosum OX=4113 PE=2 SV=1</t>
  </si>
  <si>
    <t>ko00500,ko02026</t>
  </si>
  <si>
    <t>Starch and sucrose metabolism|Biofilm formation - Escherichia coli</t>
  </si>
  <si>
    <t>GO:0009501,GO:0009507,GO:0033201,GO:0004373,GO:0009011,GO:0010021,GO:0009960,GO:0019252</t>
  </si>
  <si>
    <t>amyloplast|chloroplast|alpha-1,4-glucan synthase activity|glycogen (starch) synthase activity|starch synthase activity|amylopectin biosynthetic process|endosperm development|starch biosynthetic process</t>
  </si>
  <si>
    <t>J2O13_01G002434</t>
  </si>
  <si>
    <t>J2O13_01G002443</t>
  </si>
  <si>
    <t>J2O13_01G002459</t>
  </si>
  <si>
    <t>1.64E-07</t>
  </si>
  <si>
    <t>1.37E-06</t>
  </si>
  <si>
    <t>PME34</t>
  </si>
  <si>
    <t>Probable pectinesterase/pectinesterase inhibitor 34</t>
  </si>
  <si>
    <t>GO:0009505,GO:0005886,GO:0045330,GO:0030599,GO:0046910,GO:0042545,GO:0045490,GO:0010119</t>
  </si>
  <si>
    <t>plant-type cell wall|plasma membrane|aspartyl esterase activity|pectinesterase activity|pectinesterase inhibitor activity|cell wall modification|pectin catabolic process|regulation of stomatal movement</t>
  </si>
  <si>
    <t>J2O13_01G002468</t>
  </si>
  <si>
    <t>2.64E-07</t>
  </si>
  <si>
    <t>2.11E-06</t>
  </si>
  <si>
    <t>SPK1</t>
  </si>
  <si>
    <t>Guanine nucleotide exchange factor SPIKE 1</t>
  </si>
  <si>
    <t>GO:0070971,GO:0005789,GO:0019898,GO:0005634,GO:0005085,GO:0009734,GO:0009958,GO:0043547,GO:0008064,GO:0010928,GO:0008360,GO:0051493,GO:0007264,GO:0016192</t>
  </si>
  <si>
    <t>endoplasmic reticulum exit site|endoplasmic reticulum membrane|extrinsic component of membrane|nucleus|guanyl-nucleotide exchange factor activity|auxin-activated signaling pathway|positive gravitropism|positive regulation of GTPase activity|regulation of actin polymerization or depolymerization|regulation of auxin mediated signaling pathway|regulation of cell shape|regulation of cytoskeleton organization|small GTPase mediated signal transduction|vesicle-mediated transport</t>
  </si>
  <si>
    <t>J2O13_01G002472</t>
  </si>
  <si>
    <t>6.14E-05</t>
  </si>
  <si>
    <t>SCL3</t>
  </si>
  <si>
    <t>Scarecrow-like protein 3</t>
  </si>
  <si>
    <t>GO:0005634,GO:0003700,GO:0043565,GO:0006355,GO:0009739</t>
  </si>
  <si>
    <t>nucleus|DNA-binding transcription factor activity|sequence-specific DNA binding|regulation of DNA-templated transcription|response to gibberellin</t>
  </si>
  <si>
    <t>J2O13_01G002476</t>
  </si>
  <si>
    <t>5.54E-05</t>
  </si>
  <si>
    <t>SARED1</t>
  </si>
  <si>
    <t>Sanguinarine reductase</t>
  </si>
  <si>
    <t>GO:0016491,GO:0009636</t>
  </si>
  <si>
    <t>oxidoreductase activity|response to toxic substance</t>
  </si>
  <si>
    <t>J2O13_01G002482</t>
  </si>
  <si>
    <t>5.52E-05</t>
  </si>
  <si>
    <t>CHR5</t>
  </si>
  <si>
    <t>Protein CHROMATIN REMODELING 5</t>
  </si>
  <si>
    <t>GO:0000785,GO:0005634,GO:0009506,GO:0005524,GO:0016887,GO:0140658,GO:0003682,GO:0003677,GO:0004386,GO:0042393,GO:0006338,GO:0034728,GO:0006357</t>
  </si>
  <si>
    <t>chromatin|nucleus|plasmodesma|ATP binding|ATP hydrolysis activity|ATP-dependent chromatin remodeler activity|chromatin binding|DNA binding|helicase activity|histone binding|chromatin remodeling|nucleosome organization|regulation of transcription by RNA polymerase II</t>
  </si>
  <si>
    <t>J2O13_01G002486</t>
  </si>
  <si>
    <t>4.35E-11</t>
  </si>
  <si>
    <t>6.40E-10</t>
  </si>
  <si>
    <t>At4g18380</t>
  </si>
  <si>
    <t>F-box protein At4g18380</t>
  </si>
  <si>
    <t>J2O13_01G002506</t>
  </si>
  <si>
    <t>CYP94A1</t>
  </si>
  <si>
    <t>Cytochrome P450 94A1</t>
  </si>
  <si>
    <t>GO:0005789,GO:0020037,GO:0005506,GO:0004497,GO:0016705</t>
  </si>
  <si>
    <t>endoplasmic reticulum membrane|heme binding|iron ion binding|monooxygenase activity|oxidoreductase activity, acting on paired donors, with incorporation or reduction of molecular oxygen</t>
  </si>
  <si>
    <t>J2O13_01G002539</t>
  </si>
  <si>
    <t>1.27E-10</t>
  </si>
  <si>
    <t>1.74E-09</t>
  </si>
  <si>
    <t>NPC2</t>
  </si>
  <si>
    <t>Non-specific phospholipase C2</t>
  </si>
  <si>
    <t>ko00562,ko00564,ko00565,ko02024,ko04919</t>
  </si>
  <si>
    <t>Inositol phosphate metabolism|Glycerophospholipid metabolism|Ether lipid metabolism|Quorum sensing|Thyroid hormone signaling pathway</t>
  </si>
  <si>
    <t>GO:0009507,GO:0005576,GO:0005794,GO:0004629,GO:0042742,GO:0048229,GO:0009395,GO:0048364</t>
  </si>
  <si>
    <t>chloroplast|extracellular region|Golgi apparatus|phospholipase C activity|defense response to bacterium|gametophyte development|phospholipid catabolic process|root development</t>
  </si>
  <si>
    <t>J2O13_01G002584</t>
  </si>
  <si>
    <t>MOC1</t>
  </si>
  <si>
    <t>Holliday junction resolvase MOC1, chloroplastic</t>
  </si>
  <si>
    <t>GO:0042644,GO:0008821,GO:0000400,GO:0046872,GO:0006310,GO:0090143</t>
  </si>
  <si>
    <t>chloroplast nucleoid|crossover junction endodeoxyribonuclease activity|four-way junction DNA binding|metal ion binding|DNA recombination|nucleoid organization</t>
  </si>
  <si>
    <t>J2O13_01G002612</t>
  </si>
  <si>
    <t>CYP71B10</t>
  </si>
  <si>
    <t>Cytochrome P450 71B10</t>
  </si>
  <si>
    <t>GO:0016020,GO:0020037,GO:0005506,GO:0016709</t>
  </si>
  <si>
    <t>membrane|heme binding|iron ion binding|oxidoreductase activity, acting on paired donors, with incorporation or reduction of molecular oxygen, NAD(P)H as one donor, and incorporation of one atom of oxygen</t>
  </si>
  <si>
    <t>J2O13_01G002627</t>
  </si>
  <si>
    <t>4.40E-06</t>
  </si>
  <si>
    <t>2.79E-05</t>
  </si>
  <si>
    <t>SAUR20</t>
  </si>
  <si>
    <t>Auxin-responsive protein SAUR20</t>
  </si>
  <si>
    <t>GO:0005886,GO:0009734,GO:0009733</t>
  </si>
  <si>
    <t>plasma membrane|auxin-activated signaling pathway|response to auxin</t>
  </si>
  <si>
    <t>J2O13_01G002632</t>
  </si>
  <si>
    <t>NFYC1</t>
  </si>
  <si>
    <t>Nuclear transcription factor Y subunit C-1</t>
  </si>
  <si>
    <t>GO:0016602,GO:0005829,GO:0005634,GO:0003677,GO:0001228,GO:0003700,GO:0046982,GO:0045893,GO:2000306,GO:0006355</t>
  </si>
  <si>
    <t>CCAAT-binding factor complex|cytosol|nucleus|DNA binding|DNA-binding transcription activator activity, RNA polymerase II-specific|DNA-binding transcription factor activity|protein heterodimerization activity|positive regulation of DNA-templated transcription|positive regulation of photomorphogenesis|regulation of DNA-templated transcription</t>
  </si>
  <si>
    <t>J2O13_01G002637</t>
  </si>
  <si>
    <t>5.64E-11</t>
  </si>
  <si>
    <t>8.17E-10</t>
  </si>
  <si>
    <t>J2O13_01G002641</t>
  </si>
  <si>
    <t>5.97E-13</t>
  </si>
  <si>
    <t>1.15E-11</t>
  </si>
  <si>
    <t>rpl2-A</t>
  </si>
  <si>
    <t>50S ribosomal protein L2, chloroplastic</t>
  </si>
  <si>
    <t>GO:0009507,GO:0015934,GO:0019843,GO:0003735,GO:0016740,GO:0006412</t>
  </si>
  <si>
    <t>chloroplast|large ribosomal subunit|rRNA binding|structural constituent of ribosome|transferase activity|translation</t>
  </si>
  <si>
    <t>J2O13_01G002642</t>
  </si>
  <si>
    <t>6.13E-09</t>
  </si>
  <si>
    <t>6.61E-08</t>
  </si>
  <si>
    <t>rps19</t>
  </si>
  <si>
    <t>30S ribosomal protein S19, chloroplastic</t>
  </si>
  <si>
    <t>GO:0009507,GO:0015935,GO:0019843,GO:0003735,GO:0006412</t>
  </si>
  <si>
    <t>chloroplast|small ribosomal subunit|rRNA binding|structural constituent of ribosome|translation</t>
  </si>
  <si>
    <t>J2O13_01G002662</t>
  </si>
  <si>
    <t>6.64E-07</t>
  </si>
  <si>
    <t>4.95E-06</t>
  </si>
  <si>
    <t>pKIWI504</t>
  </si>
  <si>
    <t>Metallothionein-like protein type 2</t>
  </si>
  <si>
    <t>J2O13_01G002686</t>
  </si>
  <si>
    <t>3.41E-38</t>
  </si>
  <si>
    <t>6.75E-36</t>
  </si>
  <si>
    <t>Expansin-A4</t>
  </si>
  <si>
    <t>GO:0005576,GO:0016020,GO:0009505,GO:0009506,GO:0009664,GO:0006949</t>
  </si>
  <si>
    <t>extracellular region|membrane|plant-type cell wall|plasmodesma|plant-type cell wall organization|syncytium formation</t>
  </si>
  <si>
    <t>J2O13_01G002699</t>
  </si>
  <si>
    <t>5.91E-49</t>
  </si>
  <si>
    <t>2.57E-46</t>
  </si>
  <si>
    <t>SCL14</t>
  </si>
  <si>
    <t>Scarecrow-like protein 14</t>
  </si>
  <si>
    <t>GO:0005829,GO:0005634,GO:0003700,GO:0043565,GO:0000976,GO:0045893,GO:0006355,GO:0080183,GO:0009410</t>
  </si>
  <si>
    <t>cytosol|nucleus|DNA-binding transcription factor activity|sequence-specific DNA binding|transcription cis-regulatory region binding|positive regulation of DNA-templated transcription|regulation of DNA-templated transcription|response to photooxidative stress|response to xenobiotic stimulus</t>
  </si>
  <si>
    <t>J2O13_01G002702</t>
  </si>
  <si>
    <t>8.43E-05</t>
  </si>
  <si>
    <t>J2O13_01G002709</t>
  </si>
  <si>
    <t>DVL18</t>
  </si>
  <si>
    <t>Small polypeptide DEVIL 18</t>
  </si>
  <si>
    <t>GO:0005886,GO:0008285,GO:0048367</t>
  </si>
  <si>
    <t>plasma membrane|negative regulation of cell population proliferation|shoot system development</t>
  </si>
  <si>
    <t>J2O13_01G002711</t>
  </si>
  <si>
    <t>LAC2</t>
  </si>
  <si>
    <t>Laccase-2</t>
  </si>
  <si>
    <t>GO:0048046,GO:0005507,GO:0052716,GO:0016491,GO:0046274,GO:0080022,GO:0009414</t>
  </si>
  <si>
    <t>apoplast|copper ion binding|hydroquinone:oxygen oxidoreductase activity|oxidoreductase activity|lignin catabolic process|primary root development|response to water deprivation</t>
  </si>
  <si>
    <t>J2O13_01G002718</t>
  </si>
  <si>
    <t>3.15E-09</t>
  </si>
  <si>
    <t>3.54E-08</t>
  </si>
  <si>
    <t>J2O13_01G002726</t>
  </si>
  <si>
    <t>SIT2</t>
  </si>
  <si>
    <t>L-type lectin-domain containing receptor kinase SIT2</t>
  </si>
  <si>
    <t>GO:0005886,GO:0005524,GO:0030246,GO:0106310,GO:0004675,GO:1901001,GO:0006468</t>
  </si>
  <si>
    <t>plasma membrane|ATP binding|carbohydrate binding|protein serine kinase activity|transmembrane receptor protein serine/threonine kinase activity|negative regulation of response to salt stress|protein phosphorylation</t>
  </si>
  <si>
    <t>J2O13_01G002736</t>
  </si>
  <si>
    <t>At2g29260</t>
  </si>
  <si>
    <t>Tropinone reductase homolog At2g29260, chloroplastic</t>
  </si>
  <si>
    <t>ko00960</t>
  </si>
  <si>
    <t>Tropane, piperidine and pyridine alkaloid biosynthesis</t>
  </si>
  <si>
    <t>GO:0009507,GO:0016491</t>
  </si>
  <si>
    <t>chloroplast|oxidoreductase activity</t>
  </si>
  <si>
    <t>J2O13_01G002739</t>
  </si>
  <si>
    <t>1.47E-37</t>
  </si>
  <si>
    <t>2.81E-35</t>
  </si>
  <si>
    <t>SDR</t>
  </si>
  <si>
    <t>Tropinone reductase homolog At2g29360</t>
  </si>
  <si>
    <t>GO:0016491</t>
  </si>
  <si>
    <t>oxidoreductase activity</t>
  </si>
  <si>
    <t>J2O13_01G002758</t>
  </si>
  <si>
    <t>J2O13_01G002765</t>
  </si>
  <si>
    <t>6.91E-06</t>
  </si>
  <si>
    <t>4.21E-05</t>
  </si>
  <si>
    <t>GSTU7</t>
  </si>
  <si>
    <t>Glutathione S-transferase U7</t>
  </si>
  <si>
    <t>ko00480,ko00980,ko00982,ko00983,ko04212,ko05200,ko05204,ko05207,ko05208,ko05225,ko05418,ko01524</t>
  </si>
  <si>
    <t>Glutathione metabolism|Metabolism of xenobiotics by cytochrome P450|Drug metabolism - cytochrome P450|Drug metabolism - other enzymes|Longevity regulating pathway - worm|Pathways in cancer|Chemical carcinogenesis - DNA adducts|Chemical carcinogenesis - receptor activation|Chemical carcinogenesis - reactive oxygen species|Hepatocellular carcinoma|Fluid shear stress and atherosclerosis|Platinum drug resistance</t>
  </si>
  <si>
    <t>GO:0005737,GO:0005829,GO:0004364,GO:0006749,GO:0009751,GO:0009407</t>
  </si>
  <si>
    <t>cytoplasm|cytosol|glutathione transferase activity|glutathione metabolic process|response to salicylic acid|toxin catabolic process</t>
  </si>
  <si>
    <t>J2O13_01G002766</t>
  </si>
  <si>
    <t>2.19E-19</t>
  </si>
  <si>
    <t>9.13E-18</t>
  </si>
  <si>
    <t>J2O13_01G002773</t>
  </si>
  <si>
    <t>5.44E-188</t>
  </si>
  <si>
    <t>4.85E-184</t>
  </si>
  <si>
    <t>UGT76A2</t>
  </si>
  <si>
    <t>UDP-glucose iridoid glucosyltransferase</t>
  </si>
  <si>
    <t>GO:0035251,GO:1900994</t>
  </si>
  <si>
    <t>UDP-glucosyltransferase activity|(-)-secologanin biosynthetic process</t>
  </si>
  <si>
    <t>J2O13_01G002775</t>
  </si>
  <si>
    <t>HSP6834-A</t>
  </si>
  <si>
    <t>Class I heat shock protein (Fragment)</t>
  </si>
  <si>
    <t>GO:0005737,GO:0043621,GO:0051082,GO:0051259,GO:0006457,GO:0009408,GO:0042542,GO:0009651</t>
  </si>
  <si>
    <t>cytoplasm|protein self-association|unfolded protein binding|protein complex oligomerization|protein folding|response to heat|response to hydrogen peroxide|response to salt stress</t>
  </si>
  <si>
    <t>J2O13_01G002777</t>
  </si>
  <si>
    <t>9.08E-10</t>
  </si>
  <si>
    <t>HSP18.5-C</t>
  </si>
  <si>
    <t>18.5 kDa class I heat shock protein</t>
  </si>
  <si>
    <t>J2O13_01G002779</t>
  </si>
  <si>
    <t>HSP17.5-M</t>
  </si>
  <si>
    <t>17.5 kDa class I heat shock protein</t>
  </si>
  <si>
    <t>J2O13_01G002782</t>
  </si>
  <si>
    <t>1.09E-15</t>
  </si>
  <si>
    <t>2.95E-14</t>
  </si>
  <si>
    <t>IPCS3</t>
  </si>
  <si>
    <t>Phosphatidylinositol:ceramide inositolphosphotransferase 3</t>
  </si>
  <si>
    <t>GO:0005789,GO:0000139,GO:0005886,GO:0005802,GO:0047493,GO:0045140,GO:0033188,GO:0046513,GO:0030148</t>
  </si>
  <si>
    <t>endoplasmic reticulum membrane|Golgi membrane|plasma membrane|trans-Golgi network|ceramide cholinephosphotransferase activity|inositol phosphoceramide synthase activity|sphingomyelin synthase activity|ceramide biosynthetic process|sphingolipid biosynthetic process</t>
  </si>
  <si>
    <t>J2O13_01G002801</t>
  </si>
  <si>
    <t>4.91E-07</t>
  </si>
  <si>
    <t>3.75E-06</t>
  </si>
  <si>
    <t>J2O13_01G002804</t>
  </si>
  <si>
    <t>1.17E-05</t>
  </si>
  <si>
    <t>6.82E-05</t>
  </si>
  <si>
    <t>SR45A</t>
  </si>
  <si>
    <t>Serine/arginine-rich splicing factor SR45a</t>
  </si>
  <si>
    <t>GO:0016607,GO:0005681,GO:0003723,GO:0006397,GO:0048026,GO:0043484,GO:0009644,GO:0008380</t>
  </si>
  <si>
    <t>nuclear speck|spliceosomal complex|RNA binding|mRNA processing|positive regulation of mRNA splicing, via spliceosome|regulation of RNA splicing|response to high light intensity|RNA splicing</t>
  </si>
  <si>
    <t>J2O13_01G002805</t>
  </si>
  <si>
    <t>7.50E-16</t>
  </si>
  <si>
    <t>2.06E-14</t>
  </si>
  <si>
    <t>Alpha-glucan phosphorylase, H isozyme OS=Solanum tuberosum OX=4113 PE=1 SV=1</t>
  </si>
  <si>
    <t>ko00500,ko04217,ko02026,ko04910,ko04922,ko04931</t>
  </si>
  <si>
    <t>Starch and sucrose metabolism|Necroptosis|Biofilm formation - Escherichia coli|Insulin signaling pathway|Glucagon signaling pathway|Insulin resistance</t>
  </si>
  <si>
    <t>GO:0005737,GO:0008184,GO:0102250,GO:0030170,GO:0102499,GO:0005980</t>
  </si>
  <si>
    <t>cytoplasm|glycogen phosphorylase activity|linear malto-oligosaccharide phosphorylase activity|pyridoxal phosphate binding|SHG alpha-glucan phosphorylase activity|glycogen catabolic process</t>
  </si>
  <si>
    <t>J2O13_01G002815</t>
  </si>
  <si>
    <t>6.48E-08</t>
  </si>
  <si>
    <t>5.85E-07</t>
  </si>
  <si>
    <t>DIVARICATA</t>
  </si>
  <si>
    <t>Transcription factor DIVARICATA</t>
  </si>
  <si>
    <t>GO:0005634,GO:0003677,GO:0048262,GO:0009908</t>
  </si>
  <si>
    <t>nucleus|DNA binding|determination of dorsal/ventral asymmetry|flower development</t>
  </si>
  <si>
    <t>J2O13_01G002819</t>
  </si>
  <si>
    <t>1.26E-06</t>
  </si>
  <si>
    <t>8.90E-06</t>
  </si>
  <si>
    <t>J2O13_01G002821</t>
  </si>
  <si>
    <t>1.93E-13</t>
  </si>
  <si>
    <t>3.92E-12</t>
  </si>
  <si>
    <t>THIC</t>
  </si>
  <si>
    <t>Phosphomethylpyrimidine synthase, chloroplastic</t>
  </si>
  <si>
    <t>ko00730</t>
  </si>
  <si>
    <t>Thiamine metabolism</t>
  </si>
  <si>
    <t>GO:0009507,GO:0009570,GO:0009536,GO:0051539,GO:0016830,GO:0051536,GO:0046872,GO:0019904,GO:0010266,GO:0009228,GO:0009229</t>
  </si>
  <si>
    <t>chloroplast|chloroplast stroma|plastid|4 iron, 4 sulfur cluster binding|carbon-carbon lyase activity|iron-sulfur cluster binding|metal ion binding|protein domain specific binding|response to vitamin B1|thiamine biosynthetic process|thiamine diphosphate biosynthetic process</t>
  </si>
  <si>
    <t>J2O13_01G002824</t>
  </si>
  <si>
    <t>At2g29640</t>
  </si>
  <si>
    <t>Josephin-like protein</t>
  </si>
  <si>
    <t>GO:0004843,GO:0000166,GO:0016579</t>
  </si>
  <si>
    <t>cysteine-type deubiquitinase activity|nucleotide binding|protein deubiquitination</t>
  </si>
  <si>
    <t>J2O13_01G002826</t>
  </si>
  <si>
    <t>3.15E-11</t>
  </si>
  <si>
    <t>4.73E-10</t>
  </si>
  <si>
    <t>J2O13_01G002827</t>
  </si>
  <si>
    <t>1.16E-05</t>
  </si>
  <si>
    <t>6.77E-05</t>
  </si>
  <si>
    <t>ANTR1</t>
  </si>
  <si>
    <t>Sodium-dependent phosphate transport protein 1, chloroplastic</t>
  </si>
  <si>
    <t>GO:0009535,GO:0009579,GO:0005315,GO:0015293,GO:0009416,GO:0009624,GO:0006814</t>
  </si>
  <si>
    <t>chloroplast thylakoid membrane|thylakoid|inorganic phosphate transmembrane transporter activity|symporter activity|response to light stimulus|response to nematode|sodium ion transport</t>
  </si>
  <si>
    <t>J2O13_01G002835</t>
  </si>
  <si>
    <t>1.41E-06</t>
  </si>
  <si>
    <t>9.90E-06</t>
  </si>
  <si>
    <t>J2O13_01G002837</t>
  </si>
  <si>
    <t>CDC6B</t>
  </si>
  <si>
    <t>Cell division control protein 6 homolog B</t>
  </si>
  <si>
    <t>ko04110,ko04111,ko04113,ko05207</t>
  </si>
  <si>
    <t>Cell cycle|Cell cycle - yeast|Meiosis - yeast|Chemical carcinogenesis - receptor activation</t>
  </si>
  <si>
    <t>GO:0005634,GO:0003688,GO:0051301,GO:0006270,GO:0033314</t>
  </si>
  <si>
    <t>nucleus|DNA replication origin binding|cell division|DNA replication initiation|mitotic DNA replication checkpoint signaling</t>
  </si>
  <si>
    <t>J2O13_01G002846</t>
  </si>
  <si>
    <t>AMT1-3</t>
  </si>
  <si>
    <t>Ammonium transporter 1 member 3</t>
  </si>
  <si>
    <t>GO:0005886,GO:0008519,GO:0097272,GO:0072488</t>
  </si>
  <si>
    <t>plasma membrane|ammonium transmembrane transporter activity|ammonium homeostasis|ammonium transmembrane transport</t>
  </si>
  <si>
    <t>J2O13_01G002848</t>
  </si>
  <si>
    <t>At5g58770</t>
  </si>
  <si>
    <t>Dehydrodolichyl diphosphate synthase 2</t>
  </si>
  <si>
    <t>GO:0009507,GO:0009570,GO:0005783,GO:0045547,GO:0002094,GO:0009668,GO:0016094,GO:0006486,GO:0009409</t>
  </si>
  <si>
    <t>chloroplast|chloroplast stroma|endoplasmic reticulum|dehydrodolichyl diphosphate synthase activity|polyprenyltransferase activity|plastid membrane organization|polyprenol biosynthetic process|protein glycosylation|response to cold</t>
  </si>
  <si>
    <t>J2O13_01G002854</t>
  </si>
  <si>
    <t>1.84E-07</t>
  </si>
  <si>
    <t>1.52E-06</t>
  </si>
  <si>
    <t>J2O13_01G002858</t>
  </si>
  <si>
    <t>5.56E-05</t>
  </si>
  <si>
    <t>At1g78850</t>
  </si>
  <si>
    <t>EP1-like glycoprotein 3</t>
  </si>
  <si>
    <t>GO:0048046,GO:0005794,GO:0005739,GO:0000325,GO:0099503,GO:0030246,GO:0005539,GO:0071456,GO:1904383</t>
  </si>
  <si>
    <t>apoplast|Golgi apparatus|mitochondrion|plant-type vacuole|secretory vesicle|carbohydrate binding|glycosaminoglycan binding|cellular response to hypoxia|response to sodium phosphate</t>
  </si>
  <si>
    <t>J2O13_01G002859</t>
  </si>
  <si>
    <t>9.43E-10</t>
  </si>
  <si>
    <t>1.14E-08</t>
  </si>
  <si>
    <t>J2O13_01G002866</t>
  </si>
  <si>
    <t>1.92E-06</t>
  </si>
  <si>
    <t>1.31E-05</t>
  </si>
  <si>
    <t>CCR3</t>
  </si>
  <si>
    <t>Putative serine/threonine-protein kinase-like protein CCR3</t>
  </si>
  <si>
    <t>GO:0016020,GO:0005524,GO:0042803,GO:0106310,GO:0004674,GO:0006468</t>
  </si>
  <si>
    <t>membrane|ATP binding|protein homodimerization activity|protein serine kinase activity|protein serine/threonine kinase activity|protein phosphorylation</t>
  </si>
  <si>
    <t>J2O13_01G002871</t>
  </si>
  <si>
    <t>8.65E-16</t>
  </si>
  <si>
    <t>2.36E-14</t>
  </si>
  <si>
    <t>PSY3</t>
  </si>
  <si>
    <t>Protein PSY3</t>
  </si>
  <si>
    <t>GO:0005576,GO:0008083</t>
  </si>
  <si>
    <t>extracellular region|growth factor activity</t>
  </si>
  <si>
    <t>J2O13_01G002879</t>
  </si>
  <si>
    <t>3.29E-08</t>
  </si>
  <si>
    <t>3.14E-07</t>
  </si>
  <si>
    <t>J2O13_02G002916</t>
  </si>
  <si>
    <t>2.21E-06</t>
  </si>
  <si>
    <t>1.49E-05</t>
  </si>
  <si>
    <t>J2O13_02G002922</t>
  </si>
  <si>
    <t>5.18E-05</t>
  </si>
  <si>
    <t>J2O13_02G002925</t>
  </si>
  <si>
    <t>WAV3</t>
  </si>
  <si>
    <t>E3 ubiquitin-protein ligase WAV3</t>
  </si>
  <si>
    <t>GO:0046872,GO:0061630,GO:0009630,GO:0010274,GO:0016567,GO:0048364</t>
  </si>
  <si>
    <t>metal ion binding|ubiquitin protein ligase activity|gravitropism|hydrotropism|protein ubiquitination|root development</t>
  </si>
  <si>
    <t>J2O13_02G002938</t>
  </si>
  <si>
    <t>4.97E-12</t>
  </si>
  <si>
    <t>8.35E-11</t>
  </si>
  <si>
    <t>J2O13_02G002943</t>
  </si>
  <si>
    <t>5.97E-07</t>
  </si>
  <si>
    <t>4.49E-06</t>
  </si>
  <si>
    <t>TIC214</t>
  </si>
  <si>
    <t>Protein TIC 214</t>
  </si>
  <si>
    <t>GO:0009706,GO:0015031</t>
  </si>
  <si>
    <t>chloroplast inner membrane|protein transport</t>
  </si>
  <si>
    <t>J2O13_02G002944</t>
  </si>
  <si>
    <t>6.13E-20</t>
  </si>
  <si>
    <t>2.68E-18</t>
  </si>
  <si>
    <t>rpoA</t>
  </si>
  <si>
    <t>DNA-directed RNA polymerase subunit alpha</t>
  </si>
  <si>
    <t>ko03020</t>
  </si>
  <si>
    <t>RNA polymerase</t>
  </si>
  <si>
    <t>GO:0009507,GO:0005737,GO:0000428,GO:0003677,GO:0003899,GO:0046983,GO:0006351</t>
  </si>
  <si>
    <t>chloroplast|cytoplasm|DNA-directed RNA polymerase complex|DNA binding|DNA-directed 5'-3' RNA polymerase activity|protein dimerization activity|DNA-templated transcription</t>
  </si>
  <si>
    <t>J2O13_02G002945</t>
  </si>
  <si>
    <t>1.91E-35</t>
  </si>
  <si>
    <t>3.18E-33</t>
  </si>
  <si>
    <t>rps3</t>
  </si>
  <si>
    <t>30S ribosomal protein S3, chloroplastic</t>
  </si>
  <si>
    <t>GO:0009507,GO:1990904,GO:0005840,GO:0019843,GO:0003735,GO:0006412</t>
  </si>
  <si>
    <t>chloroplast|ribonucleoprotein complex|ribosome|rRNA binding|structural constituent of ribosome|translation</t>
  </si>
  <si>
    <t>J2O13_02G002946</t>
  </si>
  <si>
    <t>J2O13_02G002948</t>
  </si>
  <si>
    <t>1.01E-09</t>
  </si>
  <si>
    <t>1.22E-08</t>
  </si>
  <si>
    <t>J2O13_02G002963</t>
  </si>
  <si>
    <t>rpl16</t>
  </si>
  <si>
    <t>50S ribosomal protein L16, chloroplastic</t>
  </si>
  <si>
    <t>J2O13_02G002974</t>
  </si>
  <si>
    <t>ndhA</t>
  </si>
  <si>
    <t>NAD(P)H-quinone oxidoreductase subunit 1, chloroplastic</t>
  </si>
  <si>
    <t>GO:0009535,GO:0016655,GO:0048038,GO:0019684</t>
  </si>
  <si>
    <t>chloroplast thylakoid membrane|oxidoreductase activity, acting on NAD(P)H, quinone or similar compound as acceptor|quinone binding|photosynthesis, light reaction</t>
  </si>
  <si>
    <t>J2O13_02G002985</t>
  </si>
  <si>
    <t>J2O13_02G002991</t>
  </si>
  <si>
    <t>1.29E-20</t>
  </si>
  <si>
    <t>6.05E-19</t>
  </si>
  <si>
    <t>Organic cation/carnitine transporter 7</t>
  </si>
  <si>
    <t>GO:0005886,GO:0005524,GO:0090417,GO:0090416,GO:2001143,GO:2001142</t>
  </si>
  <si>
    <t>plasma membrane|ATP binding|N-methylnicotinate transmembrane transporter activity|nicotinate transmembrane transporter activity|N-methylnicotinate transport|nicotinate transport</t>
  </si>
  <si>
    <t>J2O13_02G003029</t>
  </si>
  <si>
    <t>1.12E-15</t>
  </si>
  <si>
    <t>3.02E-14</t>
  </si>
  <si>
    <t>CYP716A44</t>
  </si>
  <si>
    <t>Beta-amyrin 28-monooxygenase</t>
  </si>
  <si>
    <t>GO:0016020,GO:0020037,GO:0005506,GO:0004497,GO:0016491,GO:0016712,GO:0102374,GO:0102373,GO:0016125</t>
  </si>
  <si>
    <t>membrane|heme binding|iron ion binding|monooxygenase activity|oxidoreductase activity|oxidoreductase activity, acting on paired donors, with incorporation or reduction of molecular oxygen, reduced flavin or flavoprotein as one donor, and incorporation of one atom of oxygen|ursolic aldehyde 28-monooxygenase activity|uvaol dehydrogenase activity|sterol metabolic process</t>
  </si>
  <si>
    <t>J2O13_02G003046</t>
  </si>
  <si>
    <t>4.75E-10</t>
  </si>
  <si>
    <t>6.02E-09</t>
  </si>
  <si>
    <t>At1g28150</t>
  </si>
  <si>
    <t>UPF0426 protein At1g28150, chloroplastic</t>
  </si>
  <si>
    <t>GO:0010287</t>
  </si>
  <si>
    <t>plastoglobule</t>
  </si>
  <si>
    <t>J2O13_02G003061</t>
  </si>
  <si>
    <t>J2O13_02G003067</t>
  </si>
  <si>
    <t>1.12E-05</t>
  </si>
  <si>
    <t>6.55E-05</t>
  </si>
  <si>
    <t>J2O13_02G003083</t>
  </si>
  <si>
    <t>rps2</t>
  </si>
  <si>
    <t>30S ribosomal protein S2, chloroplastic</t>
  </si>
  <si>
    <t>GO:0009507,GO:0015935,GO:0003735,GO:0006412</t>
  </si>
  <si>
    <t>chloroplast|small ribosomal subunit|structural constituent of ribosome|translation</t>
  </si>
  <si>
    <t>J2O13_02G003093</t>
  </si>
  <si>
    <t>2.57E-06</t>
  </si>
  <si>
    <t>1.72E-05</t>
  </si>
  <si>
    <t>FKFBP</t>
  </si>
  <si>
    <t>6-phosphofructo-2-kinase/fructose-2,6-bisphosphatase</t>
  </si>
  <si>
    <t>ko00051,ko04066,ko04152</t>
  </si>
  <si>
    <t>Fructose and mannose metabolism|HIF-1 signaling pathway|AMPK signaling pathway</t>
  </si>
  <si>
    <t>GO:0005829,GO:0016020,GO:0003873,GO:0005524,GO:0004331,GO:2001070,GO:0006003,GO:0006002,GO:0006000,GO:0043609</t>
  </si>
  <si>
    <t>cytosol|membrane|6-phosphofructo-2-kinase activity|ATP binding|fructose-2,6-bisphosphate 2-phosphatase activity|starch binding|fructose 2,6-bisphosphate metabolic process|fructose 6-phosphate metabolic process|fructose metabolic process|regulation of carbon utilization</t>
  </si>
  <si>
    <t>J2O13_02G003122</t>
  </si>
  <si>
    <t>3.79E-08</t>
  </si>
  <si>
    <t>3.57E-07</t>
  </si>
  <si>
    <t>FBL8</t>
  </si>
  <si>
    <t>Putative F-box/LRR-repeat protein 8</t>
  </si>
  <si>
    <t>GO:0019005,GO:0004842,GO:0031146</t>
  </si>
  <si>
    <t>SCF ubiquitin ligase complex|ubiquitin-protein transferase activity|SCF-dependent proteasomal ubiquitin-dependent protein catabolic process</t>
  </si>
  <si>
    <t>J2O13_02G003212</t>
  </si>
  <si>
    <t>CCT1</t>
  </si>
  <si>
    <t>T-complex protein 1 subunit alpha</t>
  </si>
  <si>
    <t>GO:0005832,GO:0005829,GO:0005524,GO:0016887,GO:0140662,GO:0051082,GO:0006457</t>
  </si>
  <si>
    <t>chaperonin-containing T-complex|cytosol|ATP binding|ATP hydrolysis activity|ATP-dependent protein folding chaperone|unfolded protein binding|protein folding</t>
  </si>
  <si>
    <t>J2O13_02G003225</t>
  </si>
  <si>
    <t>4.17E-07</t>
  </si>
  <si>
    <t>3.24E-06</t>
  </si>
  <si>
    <t>At2g31550</t>
  </si>
  <si>
    <t>GDSL esterase/lipase At2g31550</t>
  </si>
  <si>
    <t>GO:0005576,GO:0016788,GO:0016042</t>
  </si>
  <si>
    <t>extracellular region|hydrolase activity, acting on ester bonds|lipid catabolic process</t>
  </si>
  <si>
    <t>J2O13_02G003243</t>
  </si>
  <si>
    <t>ndhH</t>
  </si>
  <si>
    <t>NAD(P)H-quinone oxidoreductase subunit H, chloroplastic</t>
  </si>
  <si>
    <t>GO:0009535,GO:0051287,GO:0016655,GO:0048038,GO:0019684</t>
  </si>
  <si>
    <t>chloroplast thylakoid membrane|NAD binding|oxidoreductase activity, acting on NAD(P)H, quinone or similar compound as acceptor|quinone binding|photosynthesis, light reaction</t>
  </si>
  <si>
    <t>J2O13_02G003244</t>
  </si>
  <si>
    <t>4.57E-09</t>
  </si>
  <si>
    <t>4.99E-08</t>
  </si>
  <si>
    <t>J2O13_02G003250</t>
  </si>
  <si>
    <t>2.84E-12</t>
  </si>
  <si>
    <t>4.97E-11</t>
  </si>
  <si>
    <t>J2O13_02G003255</t>
  </si>
  <si>
    <t>5.78E-56</t>
  </si>
  <si>
    <t>4.12E-53</t>
  </si>
  <si>
    <t>J2O13_02G003258</t>
  </si>
  <si>
    <t>1.84E-44</t>
  </si>
  <si>
    <t>5.96E-42</t>
  </si>
  <si>
    <t>J2O13_02G003282</t>
  </si>
  <si>
    <t>4.44E-09</t>
  </si>
  <si>
    <t>4.86E-08</t>
  </si>
  <si>
    <t>At2g30170</t>
  </si>
  <si>
    <t>Probable protein phosphatase 2C 26</t>
  </si>
  <si>
    <t>GO:0009507,GO:0009570,GO:0046872,GO:0017018,GO:0071482,GO:0035970,GO:0010027</t>
  </si>
  <si>
    <t>chloroplast|chloroplast stroma|metal ion binding|myosin phosphatase activity|cellular response to light stimulus|peptidyl-threonine dephosphorylation|thylakoid membrane organization</t>
  </si>
  <si>
    <t>J2O13_02G003307</t>
  </si>
  <si>
    <t>3.11E-38</t>
  </si>
  <si>
    <t>6.22E-36</t>
  </si>
  <si>
    <t>ASN1</t>
  </si>
  <si>
    <t>Asparagine synthetase [glutamine-hydrolyzing] 1</t>
  </si>
  <si>
    <t>ko00250</t>
  </si>
  <si>
    <t>Alanine, aspartate and glutamate metabolism</t>
  </si>
  <si>
    <t>GO:0005829,GO:0004066,GO:0005524,GO:0009063,GO:0006529,GO:0043617,GO:0006541,GO:0070981,GO:0009646,GO:0009750,GO:0009749,GO:0009744</t>
  </si>
  <si>
    <t>cytosol|asparagine synthase (glutamine-hydrolyzing) activity|ATP binding|amino acid catabolic process|asparagine biosynthetic process|cellular response to sucrose starvation|glutamine metabolic process|L-asparagine biosynthetic process|response to absence of light|response to fructose|response to glucose|response to sucrose</t>
  </si>
  <si>
    <t>J2O13_02G003384</t>
  </si>
  <si>
    <t>7.71E-05</t>
  </si>
  <si>
    <t>GSVIVT00023967001</t>
  </si>
  <si>
    <t>Peroxidase 4</t>
  </si>
  <si>
    <t>J2O13_02G003399</t>
  </si>
  <si>
    <t>ko03460</t>
  </si>
  <si>
    <t>Fanconi anemia pathway</t>
  </si>
  <si>
    <t>J2O13_02G003413</t>
  </si>
  <si>
    <t>3.27E-24</t>
  </si>
  <si>
    <t>2.11E-22</t>
  </si>
  <si>
    <t>EPFL6</t>
  </si>
  <si>
    <t>EPIDERMAL PATTERNING FACTOR-like protein 6</t>
  </si>
  <si>
    <t>GO:0005576,GO:0010052,GO:0010374</t>
  </si>
  <si>
    <t>extracellular region|guard cell differentiation|stomatal complex development</t>
  </si>
  <si>
    <t>J2O13_02G003436</t>
  </si>
  <si>
    <t>WNK4</t>
  </si>
  <si>
    <t>Probable serine/threonine-protein kinase WNK4</t>
  </si>
  <si>
    <t>GO:0005737,GO:0005634,GO:0005524,GO:0004672,GO:0106310,GO:0004674,GO:0035556,GO:0046777,GO:0006468</t>
  </si>
  <si>
    <t>cytoplasm|nucleus|ATP binding|protein kinase activity|protein serine kinase activity|protein serine/threonine kinase activity|intracellular signal transduction|protein autophosphorylation|protein phosphorylation</t>
  </si>
  <si>
    <t>J2O13_02G003446</t>
  </si>
  <si>
    <t>1.41E-05</t>
  </si>
  <si>
    <t>8.03E-05</t>
  </si>
  <si>
    <t>LSAT_1X82001</t>
  </si>
  <si>
    <t>Non-specific lipid-transfer protein Lac s 1</t>
  </si>
  <si>
    <t>J2O13_02G003455</t>
  </si>
  <si>
    <t>Probable (S)-tetrahydroprotoberberine N-methyltransferase 2 OS=Papaver bracteatum OX=215227 PE=2 SV=1</t>
  </si>
  <si>
    <t>GO:0005737,GO:0030782,GO:0032259</t>
  </si>
  <si>
    <t>cytoplasm|(S)-tetrahydroprotoberberine N-methyltransferase activity|methylation</t>
  </si>
  <si>
    <t>J2O13_02G003460</t>
  </si>
  <si>
    <t>J2O13_02G003484</t>
  </si>
  <si>
    <t>5.77E-05</t>
  </si>
  <si>
    <t>PTI6</t>
  </si>
  <si>
    <t>Pathogenesis-related genes transcriptional activator PTI6</t>
  </si>
  <si>
    <t>GO:0005634,GO:0003677,GO:0003700,GO:0006952</t>
  </si>
  <si>
    <t>nucleus|DNA binding|DNA-binding transcription factor activity|defense response</t>
  </si>
  <si>
    <t>J2O13_02G003486</t>
  </si>
  <si>
    <t>5.44E-11</t>
  </si>
  <si>
    <t>7.91E-10</t>
  </si>
  <si>
    <t>J2O13_02G003490</t>
  </si>
  <si>
    <t>At5g58300</t>
  </si>
  <si>
    <t>Probable inactive receptor kinase At5g58300</t>
  </si>
  <si>
    <t>J2O13_02G003491</t>
  </si>
  <si>
    <t>1.07E-38</t>
  </si>
  <si>
    <t>2.25E-36</t>
  </si>
  <si>
    <t>RPT2</t>
  </si>
  <si>
    <t>Root phototropism protein 2</t>
  </si>
  <si>
    <t>GO:0005737,GO:0005634,GO:0005777,GO:0009904,GO:0009638,GO:0016567,GO:0007165</t>
  </si>
  <si>
    <t>cytoplasm|nucleus|peroxisome|chloroplast accumulation movement|phototropism|protein ubiquitination|signal transduction</t>
  </si>
  <si>
    <t>J2O13_02G003507</t>
  </si>
  <si>
    <t>6.75E-17</t>
  </si>
  <si>
    <t>2.10E-15</t>
  </si>
  <si>
    <t>ndhN</t>
  </si>
  <si>
    <t>NAD(P)H-quinone oxidoreductase subunit N, chloroplastic</t>
  </si>
  <si>
    <t>GO:0009507,GO:0009941,GO:0009535,GO:0010598,GO:0009536,GO:0016655,GO:0048038,GO:0050832,GO:0010258</t>
  </si>
  <si>
    <t>chloroplast|chloroplast envelope|chloroplast thylakoid membrane|NAD(P)H dehydrogenase complex (plastoquinone)|plastid|oxidoreductase activity, acting on NAD(P)H, quinone or similar compound as acceptor|quinone binding|defense response to fungus|NADH dehydrogenase complex (plastoquinone) assembly</t>
  </si>
  <si>
    <t>J2O13_02G003508</t>
  </si>
  <si>
    <t>9.69E-05</t>
  </si>
  <si>
    <t>CYP714C2</t>
  </si>
  <si>
    <t>Cytochrome P450 714C2</t>
  </si>
  <si>
    <t>J2O13_02G003530</t>
  </si>
  <si>
    <t>6.25E-13</t>
  </si>
  <si>
    <t>1.20E-11</t>
  </si>
  <si>
    <t>J2O13_02G003532</t>
  </si>
  <si>
    <t>J2O13_02G003547</t>
  </si>
  <si>
    <t>1.91E-05</t>
  </si>
  <si>
    <t>At1g09600</t>
  </si>
  <si>
    <t>Probable serine/threonine-protein kinase At1g09600</t>
  </si>
  <si>
    <t>GO:0000307,GO:0005634,GO:0005524,GO:0004693,GO:0008353,GO:0070816,GO:0032968,GO:0006468</t>
  </si>
  <si>
    <t>cyclin-dependent protein kinase holoenzyme complex|nucleus|ATP binding|cyclin-dependent protein serine/threonine kinase activity|RNA polymerase II CTD heptapeptide repeat kinase activity|phosphorylation of RNA polymerase II C-terminal domain|positive regulation of transcription elongation by RNA polymerase II|protein phosphorylation</t>
  </si>
  <si>
    <t>J2O13_02G003558</t>
  </si>
  <si>
    <t>ERF020</t>
  </si>
  <si>
    <t>Ethylene-responsive transcription factor ERF020</t>
  </si>
  <si>
    <t>J2O13_02G003559</t>
  </si>
  <si>
    <t>1.45E-05</t>
  </si>
  <si>
    <t>8.27E-05</t>
  </si>
  <si>
    <t>J2O13_02G003561</t>
  </si>
  <si>
    <t>J2O13_02G003562</t>
  </si>
  <si>
    <t>3.11E-12</t>
  </si>
  <si>
    <t>5.41E-11</t>
  </si>
  <si>
    <t>J2O13_02G003564</t>
  </si>
  <si>
    <t>2.92E-10</t>
  </si>
  <si>
    <t>3.82E-09</t>
  </si>
  <si>
    <t>J2O13_02G003594</t>
  </si>
  <si>
    <t>1.66E-07</t>
  </si>
  <si>
    <t>J2O13_02G003595</t>
  </si>
  <si>
    <t>3.32E-18</t>
  </si>
  <si>
    <t>1.21E-16</t>
  </si>
  <si>
    <t>J2O13_02G003600</t>
  </si>
  <si>
    <t>Os11g0242200</t>
  </si>
  <si>
    <t>Probable protein phosphatase 2C 74</t>
  </si>
  <si>
    <t>GO:0046872,GO:0017018,GO:0006470</t>
  </si>
  <si>
    <t>metal ion binding|myosin phosphatase activity|protein dephosphorylation</t>
  </si>
  <si>
    <t>J2O13_02G003611</t>
  </si>
  <si>
    <t>ROQ1</t>
  </si>
  <si>
    <t>Disease resistance protein Roq1</t>
  </si>
  <si>
    <t>GO:0043531,GO:0050135,GO:0061809,GO:0006952,GO:0007165</t>
  </si>
  <si>
    <t>ADP binding|NAD(P)+ nucleosidase activity|NAD+ nucleotidase, cyclic ADP-ribose generating|defense response|signal transduction</t>
  </si>
  <si>
    <t>J2O13_02G003613</t>
  </si>
  <si>
    <t>2.24E-20</t>
  </si>
  <si>
    <t>1.02E-18</t>
  </si>
  <si>
    <t>CEL3</t>
  </si>
  <si>
    <t>Endoglucanase 9</t>
  </si>
  <si>
    <t>GO:0005576,GO:0005794,GO:0009505,GO:0009506,GO:0008810,GO:0071555,GO:0030245</t>
  </si>
  <si>
    <t>extracellular region|Golgi apparatus|plant-type cell wall|plasmodesma|cellulase activity|cell wall organization|cellulose catabolic process</t>
  </si>
  <si>
    <t>J2O13_02G003618</t>
  </si>
  <si>
    <t>J2O13_02G003625</t>
  </si>
  <si>
    <t>2.46E-15</t>
  </si>
  <si>
    <t>6.41E-14</t>
  </si>
  <si>
    <t>DSC1</t>
  </si>
  <si>
    <t>Disease resistance-like protein DSC1</t>
  </si>
  <si>
    <t>GO:0043531,GO:0005524,GO:0050135,GO:0061809,GO:0042742,GO:0009626,GO:0007165</t>
  </si>
  <si>
    <t>ADP binding|ATP binding|NAD(P)+ nucleosidase activity|NAD+ nucleotidase, cyclic ADP-ribose generating|defense response to bacterium|plant-type hypersensitive response|signal transduction</t>
  </si>
  <si>
    <t>J2O13_02G003627</t>
  </si>
  <si>
    <t>GAI</t>
  </si>
  <si>
    <t>DELLA protein GAI</t>
  </si>
  <si>
    <t>GO:0005634,GO:0003700,GO:0043565,GO:0009740,GO:0042538,GO:0009867,GO:0009938,GO:0010187,GO:0006355,GO:2000377,GO:2000033,GO:0009737,GO:0009723,GO:0009863</t>
  </si>
  <si>
    <t>nucleus|DNA-binding transcription factor activity|sequence-specific DNA binding|gibberellic acid mediated signaling pathway|hyperosmotic salinity response|jasmonic acid mediated signaling pathway|negative regulation of gibberellic acid mediated signaling pathway|negative regulation of seed germination|regulation of DNA-templated transcription|regulation of reactive oxygen species metabolic process|regulation of seed dormancy process|response to abscisic acid|response to ethylene|salicylic acid mediated signaling pathway</t>
  </si>
  <si>
    <t>J2O13_02G003630</t>
  </si>
  <si>
    <t>6.16E-05</t>
  </si>
  <si>
    <t>CYP71BE52</t>
  </si>
  <si>
    <t>Salviol synthase</t>
  </si>
  <si>
    <t>GO:0016020,GO:0020037,GO:0005506,GO:0016712,GO:0016102</t>
  </si>
  <si>
    <t>membrane|heme binding|iron ion binding|oxidoreductase activity, acting on paired donors, with incorporation or reduction of molecular oxygen, reduced flavin or flavoprotein as one donor, and incorporation of one atom of oxygen|diterpenoid biosynthetic process</t>
  </si>
  <si>
    <t>J2O13_02G003634</t>
  </si>
  <si>
    <t>1.37E-17</t>
  </si>
  <si>
    <t>4.70E-16</t>
  </si>
  <si>
    <t>RPV1</t>
  </si>
  <si>
    <t>Disease resistance protein RPV1</t>
  </si>
  <si>
    <t>GO:0005737,GO:0005634,GO:0043531,GO:0050135,GO:0061809,GO:0042803,GO:0050832,GO:0043068,GO:0007165</t>
  </si>
  <si>
    <t>cytoplasm|nucleus|ADP binding|NAD(P)+ nucleosidase activity|NAD+ nucleotidase, cyclic ADP-ribose generating|protein homodimerization activity|defense response to fungus|positive regulation of programmed cell death|signal transduction</t>
  </si>
  <si>
    <t>J2O13_02G003635</t>
  </si>
  <si>
    <t>3.17E-08</t>
  </si>
  <si>
    <t>3.04E-07</t>
  </si>
  <si>
    <t>TPS3</t>
  </si>
  <si>
    <t>Probable terpene synthase 3</t>
  </si>
  <si>
    <t>ko00909</t>
  </si>
  <si>
    <t>Sesquiterpenoid and triterpenoid biosynthesis</t>
  </si>
  <si>
    <t>GO:0000287,GO:0010333,GO:0016102,GO:0120251</t>
  </si>
  <si>
    <t>magnesium ion binding|terpene synthase activity|diterpenoid biosynthetic process|hydrocarbon biosynthetic process</t>
  </si>
  <si>
    <t>J2O13_02G003638</t>
  </si>
  <si>
    <t>J2O13_02G003646</t>
  </si>
  <si>
    <t>2.72E-16</t>
  </si>
  <si>
    <t>7.82E-15</t>
  </si>
  <si>
    <t>SPS4</t>
  </si>
  <si>
    <t>Sucrose-phosphate synthase 4</t>
  </si>
  <si>
    <t>GO:0005829,GO:0016157,GO:0046524,GO:0005986</t>
  </si>
  <si>
    <t>cytosol|sucrose synthase activity|sucrose-phosphate synthase activity|sucrose biosynthetic process</t>
  </si>
  <si>
    <t>J2O13_02G003672</t>
  </si>
  <si>
    <t>1.29E-08</t>
  </si>
  <si>
    <t>1.32E-07</t>
  </si>
  <si>
    <t>ndhI</t>
  </si>
  <si>
    <t>NAD(P)H-quinone oxidoreductase subunit I, chloroplastic</t>
  </si>
  <si>
    <t>GO:0009535,GO:0051539,GO:0005506,GO:0008137,GO:0048038,GO:0019684</t>
  </si>
  <si>
    <t>chloroplast thylakoid membrane|4 iron, 4 sulfur cluster binding|iron ion binding|NADH dehydrogenase (ubiquinone) activity|quinone binding|photosynthesis, light reaction</t>
  </si>
  <si>
    <t>J2O13_02G003678</t>
  </si>
  <si>
    <t>At4g27190</t>
  </si>
  <si>
    <t>Disease resistance protein At4g27190</t>
  </si>
  <si>
    <t>GO:0043531,GO:0005524,GO:0006952</t>
  </si>
  <si>
    <t>ADP binding|ATP binding|defense response</t>
  </si>
  <si>
    <t>J2O13_02G003683</t>
  </si>
  <si>
    <t>PATL3</t>
  </si>
  <si>
    <t>Patellin-3</t>
  </si>
  <si>
    <t>GO:0005737,GO:0005886,GO:0008289,GO:0007049,GO:0051301</t>
  </si>
  <si>
    <t>cytoplasm|plasma membrane|lipid binding|cell cycle|cell division</t>
  </si>
  <si>
    <t>J2O13_02G003697</t>
  </si>
  <si>
    <t>4.49E-08</t>
  </si>
  <si>
    <t>J2O13_02G003708</t>
  </si>
  <si>
    <t>5.10E-07</t>
  </si>
  <si>
    <t>3.89E-06</t>
  </si>
  <si>
    <t>BHLH80</t>
  </si>
  <si>
    <t>Transcription factor bHLH80</t>
  </si>
  <si>
    <t>GO:0005634,GO:0000987,GO:0003700,GO:0000981,GO:0046983,GO:0000978,GO:0007623,GO:0042335,GO:0006355,GO:0010468,GO:2000028,GO:0006357,GO:0009409,GO:0009408,GO:0010378</t>
  </si>
  <si>
    <t>nucleus|cis-regulatory region sequence-specific DNA binding|DNA-binding transcription factor activity|DNA-binding transcription factor activity, RNA polymerase II-specific|protein dimerization activity|RNA polymerase II cis-regulatory region sequence-specific DNA binding|circadian rhythm|cuticle development|regulation of DNA-templated transcription|regulation of gene expression|regulation of photoperiodism, flowering|regulation of transcription by RNA polymerase II|response to cold|response to heat|temperature compensation of the circadian clock</t>
  </si>
  <si>
    <t>J2O13_02G003711</t>
  </si>
  <si>
    <t>VATG</t>
  </si>
  <si>
    <t>V-type proton ATPase subunit G</t>
  </si>
  <si>
    <t>ko00190,ko04150,ko04145,ko04966,ko04721,ko05165,ko05110,ko05120,ko05323</t>
  </si>
  <si>
    <t>Oxidative phosphorylation|mTOR signaling pathway|Phagosome|Collecting duct acid secretion|Synaptic vesicle cycle|Human papillomavirus infection|Vibrio cholerae infection|Epithelial cell signaling in Helicobacter pylori infection|Rheumatoid arthritis</t>
  </si>
  <si>
    <t>GO:0016471,GO:0046961</t>
  </si>
  <si>
    <t>vacuolar proton-transporting V-type ATPase complex|proton-transporting ATPase activity, rotational mechanism</t>
  </si>
  <si>
    <t>J2O13_02G003713</t>
  </si>
  <si>
    <t>2.34E-14</t>
  </si>
  <si>
    <t>5.39E-13</t>
  </si>
  <si>
    <t>SMXL6</t>
  </si>
  <si>
    <t>Protein SMAX1-LIKE 6</t>
  </si>
  <si>
    <t>GO:0005634,GO:1902347</t>
  </si>
  <si>
    <t>nucleus|response to strigolactone</t>
  </si>
  <si>
    <t>J2O13_02G003721</t>
  </si>
  <si>
    <t>ZHD1</t>
  </si>
  <si>
    <t>Zinc-finger homeodomain protein 2</t>
  </si>
  <si>
    <t>GO:0005634,GO:0003677,GO:0003700,GO:0046872,GO:0042803,GO:0000976,GO:0009793,GO:0006355</t>
  </si>
  <si>
    <t>nucleus|DNA binding|DNA-binding transcription factor activity|metal ion binding|protein homodimerization activity|transcription cis-regulatory region binding|embryo development ending in seed dormancy|regulation of DNA-templated transcription</t>
  </si>
  <si>
    <t>J2O13_02G003722</t>
  </si>
  <si>
    <t>6.85E-09</t>
  </si>
  <si>
    <t>7.33E-08</t>
  </si>
  <si>
    <t>ndhT</t>
  </si>
  <si>
    <t>NAD(P)H-quinone oxidoreductase subunit T, chloroplastic</t>
  </si>
  <si>
    <t>GO:0009507,GO:0009535,GO:0010598,GO:0048038</t>
  </si>
  <si>
    <t>chloroplast|chloroplast thylakoid membrane|NAD(P)H dehydrogenase complex (plastoquinone)|quinone binding</t>
  </si>
  <si>
    <t>J2O13_02G003732</t>
  </si>
  <si>
    <t>2.05E-13</t>
  </si>
  <si>
    <t>4.16E-12</t>
  </si>
  <si>
    <t>J2O13_02G003748</t>
  </si>
  <si>
    <t>3.41E-12</t>
  </si>
  <si>
    <t>5.90E-11</t>
  </si>
  <si>
    <t>RPL21</t>
  </si>
  <si>
    <t>50S ribosomal protein L21, chloroplastic</t>
  </si>
  <si>
    <t>GO:0009507,GO:0009941,GO:0009570,GO:0005634,GO:1990904,GO:0005840,GO:0003729,GO:0019843,GO:0003735,GO:0009658,GO:0009793,GO:0010027,GO:0006412</t>
  </si>
  <si>
    <t>chloroplast|chloroplast envelope|chloroplast stroma|nucleus|ribonucleoprotein complex|ribosome|mRNA binding|rRNA binding|structural constituent of ribosome|chloroplast organization|embryo development ending in seed dormancy|thylakoid membrane organization|translation</t>
  </si>
  <si>
    <t>J2O13_02G003749</t>
  </si>
  <si>
    <t>NAC030</t>
  </si>
  <si>
    <t>NAC domain-containing protein 30</t>
  </si>
  <si>
    <t>GO:0005634,GO:0003700,GO:0042802,GO:0046982,GO:0042803,GO:0043565,GO:0000976,GO:0071555,GO:0071365,GO:0050832,GO:0045893,GO:0010628,GO:0090059,GO:0006355,GO:0009737,GO:0009733,GO:0009741,GO:0009735,GO:0009620,GO:0045491,GO:0010089,GO:0048759</t>
  </si>
  <si>
    <t>nucleus|DNA-binding transcription factor activity|identical protein binding|protein heterodimerization activity|protein homodimerization activity|sequence-specific DNA binding|transcription cis-regulatory region binding|cell wall organization|cellular response to auxin stimulus|defense response to fungus|positive regulation of DNA-templated transcription|positive regulation of gene expression|protoxylem development|regulation of DNA-templated transcription|response to abscisic acid|response to auxin|response to brassinosteroid|response to cytokinin|response to fungus|xylan metabolic process|xylem development|xylem vessel member cell differentiation</t>
  </si>
  <si>
    <t>J2O13_02G003752</t>
  </si>
  <si>
    <t>4.83E-15</t>
  </si>
  <si>
    <t>1.22E-13</t>
  </si>
  <si>
    <t>SN2</t>
  </si>
  <si>
    <t>Snakin-2</t>
  </si>
  <si>
    <t>GO:0005576,GO:0006952</t>
  </si>
  <si>
    <t>extracellular region|defense response</t>
  </si>
  <si>
    <t>J2O13_02G003753</t>
  </si>
  <si>
    <t>2.23E-05</t>
  </si>
  <si>
    <t>GASA2</t>
  </si>
  <si>
    <t>Gibberellin-regulated protein 2</t>
  </si>
  <si>
    <t>GO:0005576,GO:0009740</t>
  </si>
  <si>
    <t>extracellular region|gibberellic acid mediated signaling pathway</t>
  </si>
  <si>
    <t>J2O13_02G003754</t>
  </si>
  <si>
    <t>1.01E-16</t>
  </si>
  <si>
    <t>3.07E-15</t>
  </si>
  <si>
    <t>J2O13_02G003757</t>
  </si>
  <si>
    <t>7.75E-06</t>
  </si>
  <si>
    <t>4.69E-05</t>
  </si>
  <si>
    <t>COMT1</t>
  </si>
  <si>
    <t>Caffeic acid 3-O-methyltransferase</t>
  </si>
  <si>
    <t>GO:0047763,GO:0046983,GO:0009809,GO:0032259</t>
  </si>
  <si>
    <t>caffeate O-methyltransferase activity|protein dimerization activity|lignin biosynthetic process|methylation</t>
  </si>
  <si>
    <t>J2O13_02G003766</t>
  </si>
  <si>
    <t>2.20E-07</t>
  </si>
  <si>
    <t>1.80E-06</t>
  </si>
  <si>
    <t>PXC3</t>
  </si>
  <si>
    <t>Leucine-rich repeat receptor-like tyrosine-protein kinase PXC3</t>
  </si>
  <si>
    <t>GO:0005886,GO:0005524,GO:0004714</t>
  </si>
  <si>
    <t>plasma membrane|ATP binding|transmembrane receptor protein tyrosine kinase activity</t>
  </si>
  <si>
    <t>J2O13_02G003771</t>
  </si>
  <si>
    <t>PS1</t>
  </si>
  <si>
    <t>FHA domain-containing protein PS1</t>
  </si>
  <si>
    <t>GO:0031965,GO:0051321,GO:0009555</t>
  </si>
  <si>
    <t>nuclear membrane|meiotic cell cycle|pollen development</t>
  </si>
  <si>
    <t>J2O13_02G003776</t>
  </si>
  <si>
    <t>2.55E-25</t>
  </si>
  <si>
    <t>1.81E-23</t>
  </si>
  <si>
    <t>SUC2</t>
  </si>
  <si>
    <t>Sucrose transport protein SUC2</t>
  </si>
  <si>
    <t>GO:0016020,GO:0005634,GO:0005886,GO:0005773,GO:0008506,GO:0005985</t>
  </si>
  <si>
    <t>membrane|nucleus|plasma membrane|vacuole|sucrose:proton symporter activity|sucrose metabolic process</t>
  </si>
  <si>
    <t>J2O13_02G003796</t>
  </si>
  <si>
    <t>1.08E-11</t>
  </si>
  <si>
    <t>1.73E-10</t>
  </si>
  <si>
    <t>ATPD</t>
  </si>
  <si>
    <t>ATP synthase delta chain, chloroplastic</t>
  </si>
  <si>
    <t>GO:0009535,GO:0045261,GO:0046933,GO:0009773,GO:0009772,GO:0015986</t>
  </si>
  <si>
    <t>chloroplast thylakoid membrane|proton-transporting ATP synthase complex, catalytic core F(1)|proton-transporting ATP synthase activity, rotational mechanism|photosynthetic electron transport in photosystem I|photosynthetic electron transport in photosystem II|proton motive force-driven ATP synthesis</t>
  </si>
  <si>
    <t>J2O13_02G003798</t>
  </si>
  <si>
    <t>J2O13_02G003801</t>
  </si>
  <si>
    <t>5.45E-10</t>
  </si>
  <si>
    <t>6.82E-09</t>
  </si>
  <si>
    <t>J2O13_02G003802</t>
  </si>
  <si>
    <t>2.25E-06</t>
  </si>
  <si>
    <t>1.52E-05</t>
  </si>
  <si>
    <t>J2O13_02G003811</t>
  </si>
  <si>
    <t>1.18E-06</t>
  </si>
  <si>
    <t>8.42E-06</t>
  </si>
  <si>
    <t>At1g71810</t>
  </si>
  <si>
    <t>Uncharacterized aarF domain-containing protein kinase At1g71810, chloroplastic</t>
  </si>
  <si>
    <t>GO:0009507,GO:0010287,GO:0005524,GO:0004672,GO:0006468</t>
  </si>
  <si>
    <t>chloroplast|plastoglobule|ATP binding|protein kinase activity|protein phosphorylation</t>
  </si>
  <si>
    <t>J2O13_02G003814</t>
  </si>
  <si>
    <t>J2O13_02G003821</t>
  </si>
  <si>
    <t>WRKY51</t>
  </si>
  <si>
    <t>Probable WRKY transcription factor 51</t>
  </si>
  <si>
    <t>GO:0005634,GO:0003700,GO:0043565,GO:0042742,GO:0050832,GO:0009867</t>
  </si>
  <si>
    <t>nucleus|DNA-binding transcription factor activity|sequence-specific DNA binding|defense response to bacterium|defense response to fungus|jasmonic acid mediated signaling pathway</t>
  </si>
  <si>
    <t>J2O13_02G003829</t>
  </si>
  <si>
    <t>3.55E-06</t>
  </si>
  <si>
    <t>2.29E-05</t>
  </si>
  <si>
    <t>RUB1</t>
  </si>
  <si>
    <t>Ubiquitin-NEDD8-like protein RUB1</t>
  </si>
  <si>
    <t>GO:0005737,GO:0005634,GO:0003729</t>
  </si>
  <si>
    <t>cytoplasm|nucleus|mRNA binding</t>
  </si>
  <si>
    <t>J2O13_02G003837</t>
  </si>
  <si>
    <t>6.60E-24</t>
  </si>
  <si>
    <t>4.08E-22</t>
  </si>
  <si>
    <t>PDE338</t>
  </si>
  <si>
    <t>Protein PIGMENT DEFECTIVE 338, chloroplastic</t>
  </si>
  <si>
    <t>GO:0009507,GO:0005739,GO:0009536,GO:0034336,GO:0003729,GO:0003723,GO:0140691,GO:0010196,GO:0009657,GO:0032544,GO:0045727,GO:0009416,GO:0043489</t>
  </si>
  <si>
    <t>chloroplast|mitochondrion|plastid|misfolded RNA binding|mRNA binding|RNA binding|RNA folding chaperone|nonphotochemical quenching|plastid organization|plastid translation|positive regulation of translation|response to light stimulus|RNA stabilization</t>
  </si>
  <si>
    <t>J2O13_02G003851</t>
  </si>
  <si>
    <t>5.19E-08</t>
  </si>
  <si>
    <t>4.75E-07</t>
  </si>
  <si>
    <t>SAUR63</t>
  </si>
  <si>
    <t>Auxin-responsive protein SAUR63</t>
  </si>
  <si>
    <t>GO:0005886,GO:0009926,GO:0009734,GO:0080086</t>
  </si>
  <si>
    <t>plasma membrane|auxin polar transport|auxin-activated signaling pathway|stamen filament development</t>
  </si>
  <si>
    <t>J2O13_02G003855</t>
  </si>
  <si>
    <t>1.69E-20</t>
  </si>
  <si>
    <t>7.80E-19</t>
  </si>
  <si>
    <t>GI</t>
  </si>
  <si>
    <t>Protein GIGANTEA</t>
  </si>
  <si>
    <t>GO:0005634,GO:0030154,GO:0009908,GO:0042752,GO:0048586,GO:0048511</t>
  </si>
  <si>
    <t>nucleus|cell differentiation|flower development|regulation of circadian rhythm|regulation of long-day photoperiodism, flowering|rhythmic process</t>
  </si>
  <si>
    <t>J2O13_02G003869</t>
  </si>
  <si>
    <t>2.01E-06</t>
  </si>
  <si>
    <t>1.37E-05</t>
  </si>
  <si>
    <t>OHP2</t>
  </si>
  <si>
    <t>Light-harvesting complex-like protein OHP2, chloroplastic</t>
  </si>
  <si>
    <t>GO:0009507,GO:0009534,GO:0009535,GO:0005634,GO:0010207,GO:0009642</t>
  </si>
  <si>
    <t>chloroplast|chloroplast thylakoid|chloroplast thylakoid membrane|nucleus|photosystem II assembly|response to light intensity</t>
  </si>
  <si>
    <t>J2O13_02G003871</t>
  </si>
  <si>
    <t>At1g54610</t>
  </si>
  <si>
    <t>Probable serine/threonine-protein kinase At1g54610</t>
  </si>
  <si>
    <t>GO:0000307,GO:0005634,GO:0005524,GO:0004693,GO:0106310,GO:0008353,GO:0070816,GO:0032968,GO:0006468</t>
  </si>
  <si>
    <t>cyclin-dependent protein kinase holoenzyme complex|nucleus|ATP binding|cyclin-dependent protein serine/threonine kinase activity|protein serine kinase activity|RNA polymerase II CTD heptapeptide repeat kinase activity|phosphorylation of RNA polymerase II C-terminal domain|positive regulation of transcription elongation by RNA polymerase II|protein phosphorylation</t>
  </si>
  <si>
    <t>J2O13_02G003875</t>
  </si>
  <si>
    <t>4.43E-18</t>
  </si>
  <si>
    <t>1.60E-16</t>
  </si>
  <si>
    <t>PER12</t>
  </si>
  <si>
    <t>Peroxidase 12</t>
  </si>
  <si>
    <t>GO:0005576,GO:0005739,GO:0009505,GO:0000325,GO:0009506,GO:0020037,GO:0140825,GO:0046872,GO:0004601,GO:0042744,GO:0006979</t>
  </si>
  <si>
    <t>extracellular region|mitochondrion|plant-type cell wall|plant-type vacuole|plasmodesma|heme binding|lactoperoxidase activity|metal ion binding|peroxidase activity|hydrogen peroxide catabolic process|response to oxidative stress</t>
  </si>
  <si>
    <t>J2O13_02G003876</t>
  </si>
  <si>
    <t>4.35E-16</t>
  </si>
  <si>
    <t>1.23E-14</t>
  </si>
  <si>
    <t>J2O13_02G003881</t>
  </si>
  <si>
    <t>ERF110</t>
  </si>
  <si>
    <t>Ethylene-responsive transcription factor ERF110</t>
  </si>
  <si>
    <t>GO:0005634,GO:0003677,GO:0003700,GO:0009873,GO:0045893,GO:0048510</t>
  </si>
  <si>
    <t>nucleus|DNA binding|DNA-binding transcription factor activity|ethylene-activated signaling pathway|positive regulation of DNA-templated transcription|regulation of timing of transition from vegetative to reproductive phase</t>
  </si>
  <si>
    <t>J2O13_02G003892</t>
  </si>
  <si>
    <t>7.63E-10</t>
  </si>
  <si>
    <t>9.34E-09</t>
  </si>
  <si>
    <t>ASR1</t>
  </si>
  <si>
    <t>Abscisic stress-ripening protein 1</t>
  </si>
  <si>
    <t>GO:0005634,GO:0032991,GO:0042802,GO:0043167,GO:0003676,GO:0008270,GO:0009414,GO:0010043</t>
  </si>
  <si>
    <t>nucleus|protein-containing complex|identical protein binding|ion binding|nucleic acid binding|zinc ion binding|response to water deprivation|response to zinc ion</t>
  </si>
  <si>
    <t>J2O13_02G003893</t>
  </si>
  <si>
    <t>3.50E-08</t>
  </si>
  <si>
    <t>3.32E-07</t>
  </si>
  <si>
    <t>ASR2</t>
  </si>
  <si>
    <t>Abscisic stress-ripening protein 2</t>
  </si>
  <si>
    <t>J2O13_02G003894</t>
  </si>
  <si>
    <t>4.38E-16</t>
  </si>
  <si>
    <t>At1g43560</t>
  </si>
  <si>
    <t>Thioredoxin Y2, chloroplastic</t>
  </si>
  <si>
    <t>GO:0009507,GO:0009570,GO:0005737,GO:0005634,GO:0008047,GO:0016491,GO:0016671,GO:0015035,GO:0043085,GO:0009416</t>
  </si>
  <si>
    <t>chloroplast|chloroplast stroma|cytoplasm|nucleus|enzyme activator activity|oxidoreductase activity|oxidoreductase activity, acting on a sulfur group of donors, disulfide as acceptor|protein-disulfide reductase activity|positive regulation of catalytic activity|response to light stimulus</t>
  </si>
  <si>
    <t>J2O13_02G003908</t>
  </si>
  <si>
    <t>J2O13_02G003911</t>
  </si>
  <si>
    <t>2.10E-11</t>
  </si>
  <si>
    <t>3.24E-10</t>
  </si>
  <si>
    <t>Fructose-1,6-bisphosphatase, cytosolic OS=Solanum tuberosum OX=4113 PE=2 SV=1</t>
  </si>
  <si>
    <t>ko00010,ko00030,ko00051,ko00710,ko00680,ko04152,ko04910,ko04922</t>
  </si>
  <si>
    <t>Glycolysis / Gluconeogenesis|Pentose phosphate pathway|Fructose and mannose metabolism|Carbon fixation in photosynthetic organisms|Methane metabolism|AMPK signaling pathway|Insulin signaling pathway|Glucagon signaling pathway</t>
  </si>
  <si>
    <t>GO:0005737,GO:0005829,GO:0042132,GO:0046872,GO:0030388,GO:0006002,GO:0006000,GO:0006094,GO:0005986</t>
  </si>
  <si>
    <t>cytoplasm|cytosol|fructose 1,6-bisphosphate 1-phosphatase activity|metal ion binding|fructose 1,6-bisphosphate metabolic process|fructose 6-phosphate metabolic process|fructose metabolic process|gluconeogenesis|sucrose biosynthetic process</t>
  </si>
  <si>
    <t>J2O13_02G003922</t>
  </si>
  <si>
    <t>6.55E-17</t>
  </si>
  <si>
    <t>2.04E-15</t>
  </si>
  <si>
    <t>SDC</t>
  </si>
  <si>
    <t>Serine decarboxylase</t>
  </si>
  <si>
    <t>ko00564</t>
  </si>
  <si>
    <t>Glycerophospholipid metabolism</t>
  </si>
  <si>
    <t>GO:0005829,GO:0005886,GO:0030170,GO:0102705,GO:0019752,GO:0006580</t>
  </si>
  <si>
    <t>cytosol|plasma membrane|pyridoxal phosphate binding|serine decarboxylase activity|carboxylic acid metabolic process|ethanolamine metabolic process</t>
  </si>
  <si>
    <t>J2O13_02G003926</t>
  </si>
  <si>
    <t>J2O13_02G003932</t>
  </si>
  <si>
    <t>8.10E-13</t>
  </si>
  <si>
    <t>1.52E-11</t>
  </si>
  <si>
    <t>EIX1</t>
  </si>
  <si>
    <t>Receptor-like protein EIX1</t>
  </si>
  <si>
    <t>GO:0005886,GO:0050832</t>
  </si>
  <si>
    <t>plasma membrane|defense response to fungus</t>
  </si>
  <si>
    <t>J2O13_02G003933</t>
  </si>
  <si>
    <t>5.06E-08</t>
  </si>
  <si>
    <t>4.65E-07</t>
  </si>
  <si>
    <t>J2O13_02G003934</t>
  </si>
  <si>
    <t>3.87E-07</t>
  </si>
  <si>
    <t>3.02E-06</t>
  </si>
  <si>
    <t>EIX2</t>
  </si>
  <si>
    <t>Receptor-like protein EIX2</t>
  </si>
  <si>
    <t>J2O13_02G003939</t>
  </si>
  <si>
    <t>2.37E-43</t>
  </si>
  <si>
    <t>6.92E-41</t>
  </si>
  <si>
    <t>At3g47570</t>
  </si>
  <si>
    <t>Probable LRR receptor-like serine/threonine-protein kinase At3g47570</t>
  </si>
  <si>
    <t>GO:0005886,GO:0005524,GO:0106310,GO:0004674,GO:0006468</t>
  </si>
  <si>
    <t>plasma membrane|ATP binding|protein serine kinase activity|protein serine/threonine kinase activity|protein phosphorylation</t>
  </si>
  <si>
    <t>J2O13_02G003941</t>
  </si>
  <si>
    <t>3.48E-10</t>
  </si>
  <si>
    <t>4.51E-09</t>
  </si>
  <si>
    <t>RGI2</t>
  </si>
  <si>
    <t>LRR receptor-like serine/threonine-protein kinase RGI2</t>
  </si>
  <si>
    <t>GO:0005886,GO:0005524,GO:0042277,GO:0001653,GO:0106310,GO:0004674,GO:0010074,GO:0010078,GO:0006468,GO:2000280,GO:0010082,GO:0010449</t>
  </si>
  <si>
    <t>plasma membrane|ATP binding|peptide binding|peptide receptor activity|protein serine kinase activity|protein serine/threonine kinase activity|maintenance of meristem identity|maintenance of root meristem identity|protein phosphorylation|regulation of root development|regulation of root meristem growth|root meristem growth</t>
  </si>
  <si>
    <t>J2O13_02G003943</t>
  </si>
  <si>
    <t>3.99E-06</t>
  </si>
  <si>
    <t>GLTP3</t>
  </si>
  <si>
    <t>Glycolipid transfer protein 3</t>
  </si>
  <si>
    <t>GO:0005829,GO:1902387,GO:1902388,GO:0035627,GO:0120009</t>
  </si>
  <si>
    <t>cytosol|ceramide 1-phosphate binding|ceramide 1-phosphate transfer activity|ceramide transport|intermembrane lipid transfer</t>
  </si>
  <si>
    <t>J2O13_02G003948</t>
  </si>
  <si>
    <t>5.12E-10</t>
  </si>
  <si>
    <t>6.44E-09</t>
  </si>
  <si>
    <t>J2O13_02G003959</t>
  </si>
  <si>
    <t>PIN6</t>
  </si>
  <si>
    <t>Auxin efflux carrier component 6</t>
  </si>
  <si>
    <t>GO:0005783,GO:0005789,GO:0005886,GO:0010329,GO:0010315,GO:0010252,GO:0009926,GO:0009734,GO:0010540,GO:0010105,GO:1901332,GO:0048767</t>
  </si>
  <si>
    <t>endoplasmic reticulum|endoplasmic reticulum membrane|plasma membrane|auxin efflux transmembrane transporter activity|auxin export across the plasma membrane|auxin homeostasis|auxin polar transport|auxin-activated signaling pathway|basipetal auxin transport|negative regulation of ethylene-activated signaling pathway|negative regulation of lateral root development|root hair elongation</t>
  </si>
  <si>
    <t>J2O13_02G003961</t>
  </si>
  <si>
    <t>8.26E-10</t>
  </si>
  <si>
    <t>1.01E-08</t>
  </si>
  <si>
    <t>J2O13_02G003962</t>
  </si>
  <si>
    <t>8.00E-30</t>
  </si>
  <si>
    <t>8.91E-28</t>
  </si>
  <si>
    <t>At1g12700</t>
  </si>
  <si>
    <t>Putative pentatricopeptide repeat-containing protein At1g12700, mitochondrial</t>
  </si>
  <si>
    <t>GO:0005739,GO:0090617,GO:0080156</t>
  </si>
  <si>
    <t>mitochondrion|mitochondrial mRNA 5'-end processing|mitochondrial mRNA modification</t>
  </si>
  <si>
    <t>J2O13_02G003967</t>
  </si>
  <si>
    <t>7.84E-09</t>
  </si>
  <si>
    <t>8.27E-08</t>
  </si>
  <si>
    <t>PPD4</t>
  </si>
  <si>
    <t>PsbP domain-containing protein 4, chloroplastic</t>
  </si>
  <si>
    <t>GO:0009507,GO:0009570,GO:0009534,GO:0009543,GO:0005829,GO:0019898,GO:0005739,GO:0009654,GO:0009579,GO:0031977,GO:0005509,GO:0015979</t>
  </si>
  <si>
    <t>chloroplast|chloroplast stroma|chloroplast thylakoid|chloroplast thylakoid lumen|cytosol|extrinsic component of membrane|mitochondrion|photosystem II oxygen evolving complex|thylakoid|thylakoid lumen|calcium ion binding|photosynthesis</t>
  </si>
  <si>
    <t>J2O13_02G003969</t>
  </si>
  <si>
    <t>SWEET1</t>
  </si>
  <si>
    <t>Bidirectional sugar transporter SWEET1</t>
  </si>
  <si>
    <t>GO:0005783,GO:0005789,GO:0016020,GO:0005886,GO:0051119,GO:0008643,GO:0051260</t>
  </si>
  <si>
    <t>endoplasmic reticulum|endoplasmic reticulum membrane|membrane|plasma membrane|sugar transmembrane transporter activity|carbohydrate transport|protein homooligomerization</t>
  </si>
  <si>
    <t>J2O13_02G003974</t>
  </si>
  <si>
    <t>Thioredoxin M-type, chloroplastic OS=Spinacia oleracea OX=3562 PE=1 SV=2</t>
  </si>
  <si>
    <t>ko04621,ko05132,ko05012,ko05418</t>
  </si>
  <si>
    <t>NOD-like receptor signaling pathway|Salmonella infection|Parkinson disease|Fluid shear stress and atherosclerosis</t>
  </si>
  <si>
    <t>GO:0009507,GO:0015035</t>
  </si>
  <si>
    <t>chloroplast|protein-disulfide reductase activity</t>
  </si>
  <si>
    <t>J2O13_02G003979</t>
  </si>
  <si>
    <t>2.81E-25</t>
  </si>
  <si>
    <t>1.99E-23</t>
  </si>
  <si>
    <t>SCL1</t>
  </si>
  <si>
    <t>Scarecrow-like protein 1</t>
  </si>
  <si>
    <t>GO:0005634,GO:0003700,GO:0043565,GO:0000976,GO:0006355</t>
  </si>
  <si>
    <t>nucleus|DNA-binding transcription factor activity|sequence-specific DNA binding|transcription cis-regulatory region binding|regulation of DNA-templated transcription</t>
  </si>
  <si>
    <t>J2O13_02G003982</t>
  </si>
  <si>
    <t>J2O13_02G003992</t>
  </si>
  <si>
    <t>1.89E-08</t>
  </si>
  <si>
    <t>1.87E-07</t>
  </si>
  <si>
    <t>J2O13_02G003995</t>
  </si>
  <si>
    <t>J2O13_02G003996</t>
  </si>
  <si>
    <t>J2O13_02G004008</t>
  </si>
  <si>
    <t>6.39E-07</t>
  </si>
  <si>
    <t>4.78E-06</t>
  </si>
  <si>
    <t>J2O13_02G004009</t>
  </si>
  <si>
    <t>J2O13_02G004014</t>
  </si>
  <si>
    <t>J2O13_02G004016</t>
  </si>
  <si>
    <t>2.57E-05</t>
  </si>
  <si>
    <t>J2O13_02G004019</t>
  </si>
  <si>
    <t>2.41E-08</t>
  </si>
  <si>
    <t>2.35E-07</t>
  </si>
  <si>
    <t>At1g77260</t>
  </si>
  <si>
    <t>Probable methyltransferase PMT10</t>
  </si>
  <si>
    <t>GO:0005737,GO:0000139,GO:0000138,GO:0008168,GO:0032259</t>
  </si>
  <si>
    <t>cytoplasm|Golgi membrane|Golgi trans cisterna|methyltransferase activity|methylation</t>
  </si>
  <si>
    <t>J2O13_02G004020</t>
  </si>
  <si>
    <t>3.47E-06</t>
  </si>
  <si>
    <t>2.25E-05</t>
  </si>
  <si>
    <t>CML44</t>
  </si>
  <si>
    <t>Probable calcium-binding protein CML44</t>
  </si>
  <si>
    <t>GO:0005509,GO:0071456</t>
  </si>
  <si>
    <t>calcium ion binding|cellular response to hypoxia</t>
  </si>
  <si>
    <t>J2O13_02G004023</t>
  </si>
  <si>
    <t>ndhM</t>
  </si>
  <si>
    <t>NAD(P)H-quinone oxidoreductase subunit M, chloroplastic</t>
  </si>
  <si>
    <t>GO:0009535,GO:0016655,GO:0048038</t>
  </si>
  <si>
    <t>chloroplast thylakoid membrane|oxidoreductase activity, acting on NAD(P)H, quinone or similar compound as acceptor|quinone binding</t>
  </si>
  <si>
    <t>J2O13_02G004024</t>
  </si>
  <si>
    <t>4.06E-14</t>
  </si>
  <si>
    <t>9.06E-13</t>
  </si>
  <si>
    <t>J2O13_02G004026</t>
  </si>
  <si>
    <t>J2O13_02G004027</t>
  </si>
  <si>
    <t>1.30E-19</t>
  </si>
  <si>
    <t>5.52E-18</t>
  </si>
  <si>
    <t>STU</t>
  </si>
  <si>
    <t>Protein kinase STUNTED</t>
  </si>
  <si>
    <t>GO:0005737,GO:0005886,GO:0005524,GO:0016787,GO:0004674,GO:0009740,GO:0010476,GO:0051781,GO:0006468,GO:0009739</t>
  </si>
  <si>
    <t>cytoplasm|plasma membrane|ATP binding|hydrolase activity|protein serine/threonine kinase activity|gibberellic acid mediated signaling pathway|gibberellin mediated signaling pathway|positive regulation of cell division|protein phosphorylation|response to gibberellin</t>
  </si>
  <si>
    <t>J2O13_02G004043</t>
  </si>
  <si>
    <t>At1g11050</t>
  </si>
  <si>
    <t>Probable receptor-like protein kinase At1g11050</t>
  </si>
  <si>
    <t>J2O13_02G004045</t>
  </si>
  <si>
    <t>9.60E-08</t>
  </si>
  <si>
    <t>8.40E-07</t>
  </si>
  <si>
    <t>AAP3</t>
  </si>
  <si>
    <t>Amino acid permease 3</t>
  </si>
  <si>
    <t>GO:0016020,GO:0031965,GO:0005886,GO:0015171,GO:0015174,GO:0015293,GO:0003333,GO:0015802,GO:0006952</t>
  </si>
  <si>
    <t>membrane|nuclear membrane|plasma membrane|amino acid transmembrane transporter activity|basic amino acid transmembrane transporter activity|symporter activity|amino acid transmembrane transport|basic amino acid transport|defense response</t>
  </si>
  <si>
    <t>J2O13_02G004046</t>
  </si>
  <si>
    <t>J2O13_02G004064</t>
  </si>
  <si>
    <t>1.05E-14</t>
  </si>
  <si>
    <t>2.55E-13</t>
  </si>
  <si>
    <t>NAC002</t>
  </si>
  <si>
    <t>NAC domain-containing protein 2</t>
  </si>
  <si>
    <t>GO:0005634,GO:0003700,GO:0019900,GO:0000976,GO:0071456,GO:0009788,GO:0009611</t>
  </si>
  <si>
    <t>nucleus|DNA-binding transcription factor activity|kinase binding|transcription cis-regulatory region binding|cellular response to hypoxia|negative regulation of abscisic acid-activated signaling pathway|response to wounding</t>
  </si>
  <si>
    <t>J2O13_02G004069</t>
  </si>
  <si>
    <t>3.33E-05</t>
  </si>
  <si>
    <t>J2O13_02G004078</t>
  </si>
  <si>
    <t>1.54E-12</t>
  </si>
  <si>
    <t>2.78E-11</t>
  </si>
  <si>
    <t>RR4</t>
  </si>
  <si>
    <t>Two-component response regulator ORR4</t>
  </si>
  <si>
    <t>GO:0005634,GO:0009736,GO:0000160,GO:0009735</t>
  </si>
  <si>
    <t>nucleus|cytokinin-activated signaling pathway|phosphorelay signal transduction system|response to cytokinin</t>
  </si>
  <si>
    <t>J2O13_02G004093</t>
  </si>
  <si>
    <t>3.94E-23</t>
  </si>
  <si>
    <t>2.29E-21</t>
  </si>
  <si>
    <t>PSBS</t>
  </si>
  <si>
    <t>Photosystem II 22 kDa protein, chloroplastic</t>
  </si>
  <si>
    <t>ko00195</t>
  </si>
  <si>
    <t>Photosynthesis</t>
  </si>
  <si>
    <t>GO:0009535,GO:0009523,GO:0042802,GO:0051219,GO:0015979</t>
  </si>
  <si>
    <t>chloroplast thylakoid membrane|photosystem II|identical protein binding|phosphoprotein binding|photosynthesis</t>
  </si>
  <si>
    <t>J2O13_02G004107</t>
  </si>
  <si>
    <t>At5g35370</t>
  </si>
  <si>
    <t>G-type lectin S-receptor-like serine/threonine-protein kinase At5g35370</t>
  </si>
  <si>
    <t>GO:0005886,GO:0005524,GO:0005516,GO:0030246,GO:0106310,GO:0004674,GO:0031625,GO:0006468</t>
  </si>
  <si>
    <t>plasma membrane|ATP binding|calmodulin binding|carbohydrate binding|protein serine kinase activity|protein serine/threonine kinase activity|ubiquitin protein ligase binding|protein phosphorylation</t>
  </si>
  <si>
    <t>J2O13_02G004117</t>
  </si>
  <si>
    <t>ERF012</t>
  </si>
  <si>
    <t>Ethylene-responsive transcription factor ERF012</t>
  </si>
  <si>
    <t>GO:0005634,GO:0003700,GO:0000976,GO:0071497,GO:0034605,GO:0009873,GO:0045893,GO:0009753,GO:0009751</t>
  </si>
  <si>
    <t>nucleus|DNA-binding transcription factor activity|transcription cis-regulatory region binding|cellular response to freezing|cellular response to heat|ethylene-activated signaling pathway|positive regulation of DNA-templated transcription|response to jasmonic acid|response to salicylic acid</t>
  </si>
  <si>
    <t>J2O13_02G004121</t>
  </si>
  <si>
    <t>At1g21890</t>
  </si>
  <si>
    <t>WAT1-related protein At1g21890</t>
  </si>
  <si>
    <t>GO:0005886,GO:0022857</t>
  </si>
  <si>
    <t>plasma membrane|transmembrane transporter activity</t>
  </si>
  <si>
    <t>J2O13_02G004130</t>
  </si>
  <si>
    <t>J2O13_02G004137</t>
  </si>
  <si>
    <t>8.69E-07</t>
  </si>
  <si>
    <t>6.33E-06</t>
  </si>
  <si>
    <t>J2O13_02G004144</t>
  </si>
  <si>
    <t>1.08E-09</t>
  </si>
  <si>
    <t>1.30E-08</t>
  </si>
  <si>
    <t>HCS1</t>
  </si>
  <si>
    <t>Biotin--protein ligase 1, chloroplastic</t>
  </si>
  <si>
    <t>ko00780</t>
  </si>
  <si>
    <t>Biotin metabolism</t>
  </si>
  <si>
    <t>GO:0009507,GO:0005737,GO:0005829,GO:0009536,GO:0005524,GO:0004077,GO:0004078,GO:0042966,GO:0036211</t>
  </si>
  <si>
    <t>chloroplast|cytoplasm|cytosol|plastid|ATP binding|biotin-[acetyl-CoA-carboxylase] ligase activity|biotin-[methylcrotonoyl-CoA-carboxylase] ligase activity|biotin carboxyl carrier protein biosynthetic process|protein modification process</t>
  </si>
  <si>
    <t>J2O13_02G004152</t>
  </si>
  <si>
    <t>OsI_011697</t>
  </si>
  <si>
    <t>Probable 6-phosphogluconolactonase 1</t>
  </si>
  <si>
    <t>ko00030</t>
  </si>
  <si>
    <t>Pentose phosphate pathway</t>
  </si>
  <si>
    <t>GO:0017057,GO:0005975,GO:0006098</t>
  </si>
  <si>
    <t>6-phosphogluconolactonase activity|carbohydrate metabolic process|pentose-phosphate shunt</t>
  </si>
  <si>
    <t>J2O13_02G004153</t>
  </si>
  <si>
    <t>9.75E-16</t>
  </si>
  <si>
    <t>2.64E-14</t>
  </si>
  <si>
    <t>CML29</t>
  </si>
  <si>
    <t>Probable calcium-binding protein CML29</t>
  </si>
  <si>
    <t>GO:0005509</t>
  </si>
  <si>
    <t>calcium ion binding</t>
  </si>
  <si>
    <t>J2O13_02G004167</t>
  </si>
  <si>
    <t>5.23E-08</t>
  </si>
  <si>
    <t>4.78E-07</t>
  </si>
  <si>
    <t>ARF17</t>
  </si>
  <si>
    <t>Auxin response factor 17</t>
  </si>
  <si>
    <t>GO:0005634,GO:0000987,GO:0003700,GO:0003690,GO:0048830,GO:0009653,GO:0009734,GO:0052543,GO:0009555,GO:0010208,GO:0120195,GO:0006355</t>
  </si>
  <si>
    <t>nucleus|cis-regulatory region sequence-specific DNA binding|DNA-binding transcription factor activity|double-stranded DNA binding|adventitious root development|anatomical structure morphogenesis|auxin-activated signaling pathway|callose deposition in cell wall|pollen development|pollen wall assembly|positive regulation of anther dehiscence|regulation of DNA-templated transcription</t>
  </si>
  <si>
    <t>J2O13_02G004175</t>
  </si>
  <si>
    <t>7.06E-06</t>
  </si>
  <si>
    <t>4.30E-05</t>
  </si>
  <si>
    <t>PPCS2</t>
  </si>
  <si>
    <t>Phosphopantothenate--cysteine ligase 2</t>
  </si>
  <si>
    <t>GO:0005737,GO:0005634,GO:0004632,GO:0015937</t>
  </si>
  <si>
    <t>cytoplasm|nucleus|phosphopantothenate--cysteine ligase activity|coenzyme A biosynthetic process</t>
  </si>
  <si>
    <t>J2O13_02G004182</t>
  </si>
  <si>
    <t>7.76E-07</t>
  </si>
  <si>
    <t>ALD1</t>
  </si>
  <si>
    <t>Aminotransferase ALD1, chloroplastic</t>
  </si>
  <si>
    <t>ko00300</t>
  </si>
  <si>
    <t>Lysine biosynthesis</t>
  </si>
  <si>
    <t>GO:0009507,GO:0009536,GO:0062045,GO:0030170,GO:0008483,GO:0042742,GO:0062034,GO:0010150,GO:0009627,GO:0009862</t>
  </si>
  <si>
    <t>chloroplast|plastid|L-lysine alpha-aminotransferase|pyridoxal phosphate binding|transaminase activity|defense response to bacterium|L-pipecolic acid biosynthetic process|leaf senescence|systemic acquired resistance|systemic acquired resistance, salicylic acid mediated signaling pathway</t>
  </si>
  <si>
    <t>J2O13_02G004184</t>
  </si>
  <si>
    <t>J2O13_02G004200</t>
  </si>
  <si>
    <t>SULTR12</t>
  </si>
  <si>
    <t>Sulfate transporter 1.2</t>
  </si>
  <si>
    <t>GO:0005886,GO:0008271,GO:0015293,GO:0009970</t>
  </si>
  <si>
    <t>plasma membrane|secondary active sulfate transmembrane transporter activity|symporter activity|cellular response to sulfate starvation</t>
  </si>
  <si>
    <t>J2O13_02G004201</t>
  </si>
  <si>
    <t>3.05E-06</t>
  </si>
  <si>
    <t>2.00E-05</t>
  </si>
  <si>
    <t>SULTR13</t>
  </si>
  <si>
    <t>Sulfate transporter 1.3</t>
  </si>
  <si>
    <t>GO:0005886,GO:0008271,GO:0015293</t>
  </si>
  <si>
    <t>plasma membrane|secondary active sulfate transmembrane transporter activity|symporter activity</t>
  </si>
  <si>
    <t>J2O13_02G004204</t>
  </si>
  <si>
    <t>LTPG4</t>
  </si>
  <si>
    <t>Non-specific lipid transfer protein GPI-anchored 4</t>
  </si>
  <si>
    <t>GO:0005886,GO:0008289,GO:0006869</t>
  </si>
  <si>
    <t>plasma membrane|lipid binding|lipid transport</t>
  </si>
  <si>
    <t>J2O13_02G004205</t>
  </si>
  <si>
    <t>J2O13_02G004206</t>
  </si>
  <si>
    <t>1.35E-07</t>
  </si>
  <si>
    <t>1.15E-06</t>
  </si>
  <si>
    <t>FLZ6</t>
  </si>
  <si>
    <t>FCS-Like Zinc finger 6</t>
  </si>
  <si>
    <t>GO:0005737,GO:0005829,GO:0005783,GO:0005634,GO:0019900,GO:0046872,GO:0042594,GO:0090351</t>
  </si>
  <si>
    <t>cytoplasm|cytosol|endoplasmic reticulum|nucleus|kinase binding|metal ion binding|response to starvation|seedling development</t>
  </si>
  <si>
    <t>J2O13_02G004216</t>
  </si>
  <si>
    <t>3.62E-09</t>
  </si>
  <si>
    <t>4.01E-08</t>
  </si>
  <si>
    <t>PRP19B</t>
  </si>
  <si>
    <t>Pre-mRNA-processing factor 19 homolog 2</t>
  </si>
  <si>
    <t>GO:0080008,GO:0005737,GO:0005783,GO:0005634,GO:0009505,GO:0000974,GO:0071006,GO:0061630,GO:0004842,GO:0042742,GO:0006281,GO:0045087,GO:0000398,GO:0070534</t>
  </si>
  <si>
    <t>Cul4-RING E3 ubiquitin ligase complex|cytoplasm|endoplasmic reticulum|nucleus|plant-type cell wall|Prp19 complex|U2-type catalytic step 1 spliceosome|ubiquitin protein ligase activity|ubiquitin-protein transferase activity|defense response to bacterium|DNA repair|innate immune response|mRNA splicing, via spliceosome|protein K63-linked ubiquitination</t>
  </si>
  <si>
    <t>J2O13_02G004218</t>
  </si>
  <si>
    <t>5.10E-42</t>
  </si>
  <si>
    <t>1.32E-39</t>
  </si>
  <si>
    <t>RAP2-4</t>
  </si>
  <si>
    <t>Ethylene-responsive transcription factor RAP2-4</t>
  </si>
  <si>
    <t>GO:0005634,GO:0003677,GO:0003700,GO:0043565,GO:0000976,GO:0071472,GO:0009736,GO:0009873,GO:0045595,GO:0009409,GO:0009408,GO:0009416,GO:0006970,GO:0009651,GO:0009414,GO:0009611</t>
  </si>
  <si>
    <t>nucleus|DNA binding|DNA-binding transcription factor activity|sequence-specific DNA binding|transcription cis-regulatory region binding|cellular response to salt stress|cytokinin-activated signaling pathway|ethylene-activated signaling pathway|regulation of cell differentiation|response to cold|response to heat|response to light stimulus|response to osmotic stress|response to salt stress|response to water deprivation|response to wounding</t>
  </si>
  <si>
    <t>J2O13_02G004220</t>
  </si>
  <si>
    <t>5.84E-21</t>
  </si>
  <si>
    <t>2.85E-19</t>
  </si>
  <si>
    <t>TPPD</t>
  </si>
  <si>
    <t>Probable trehalose-phosphate phosphatase D</t>
  </si>
  <si>
    <t>GO:0009507,GO:0015927,GO:0004805,GO:0006970,GO:0006979,GO:0009651,GO:0005992</t>
  </si>
  <si>
    <t>chloroplast|trehalase activity|trehalose-phosphatase activity|response to osmotic stress|response to oxidative stress|response to salt stress|trehalose biosynthetic process</t>
  </si>
  <si>
    <t>J2O13_02G004231</t>
  </si>
  <si>
    <t>2.34E-18</t>
  </si>
  <si>
    <t>8.77E-17</t>
  </si>
  <si>
    <t>VQ22</t>
  </si>
  <si>
    <t>VQ motif-containing protein 22</t>
  </si>
  <si>
    <t>J2O13_02G004235</t>
  </si>
  <si>
    <t>APUM7</t>
  </si>
  <si>
    <t>Putative pumilio homolog 7, chloroplastic</t>
  </si>
  <si>
    <t>GO:0009507,GO:0005737,GO:0003729,GO:0010608,GO:0006417</t>
  </si>
  <si>
    <t>chloroplast|cytoplasm|mRNA binding|post-transcriptional regulation of gene expression|regulation of translation</t>
  </si>
  <si>
    <t>J2O13_02G004262</t>
  </si>
  <si>
    <t>UGT85A24</t>
  </si>
  <si>
    <t>7-deoxyloganetin glucosyltransferase</t>
  </si>
  <si>
    <t>GO:0035251</t>
  </si>
  <si>
    <t>UDP-glucosyltransferase activity</t>
  </si>
  <si>
    <t>J2O13_02G004264</t>
  </si>
  <si>
    <t>J2O13_02G004265</t>
  </si>
  <si>
    <t>3.96E-06</t>
  </si>
  <si>
    <t>2.54E-05</t>
  </si>
  <si>
    <t>PHI-1</t>
  </si>
  <si>
    <t>Protein PHOSPHATE-INDUCED 1</t>
  </si>
  <si>
    <t>GO:0048046,GO:0005615</t>
  </si>
  <si>
    <t>apoplast|extracellular space</t>
  </si>
  <si>
    <t>J2O13_02G004268</t>
  </si>
  <si>
    <t>1.30E-07</t>
  </si>
  <si>
    <t>1.10E-06</t>
  </si>
  <si>
    <t>J2O13_02G004294</t>
  </si>
  <si>
    <t>J2O13_02G004300</t>
  </si>
  <si>
    <t>ATL11</t>
  </si>
  <si>
    <t>RING-H2 finger protein ATL11</t>
  </si>
  <si>
    <t>GO:0016020,GO:0046872,GO:0016740,GO:0016567</t>
  </si>
  <si>
    <t>membrane|metal ion binding|transferase activity|protein ubiquitination</t>
  </si>
  <si>
    <t>J2O13_02G004301</t>
  </si>
  <si>
    <t>5.39E-09</t>
  </si>
  <si>
    <t>5.86E-08</t>
  </si>
  <si>
    <t>2ODD19</t>
  </si>
  <si>
    <t>2-oxoglutarate-dependent dioxygenase 19</t>
  </si>
  <si>
    <t>GO:0005737,GO:0051213,GO:0031418,GO:0046872</t>
  </si>
  <si>
    <t>cytoplasm|dioxygenase activity|L-ascorbic acid binding|metal ion binding</t>
  </si>
  <si>
    <t>J2O13_02G004306</t>
  </si>
  <si>
    <t>2.90E-10</t>
  </si>
  <si>
    <t>3.80E-09</t>
  </si>
  <si>
    <t>DTX27</t>
  </si>
  <si>
    <t>Protein DETOXIFICATION 27</t>
  </si>
  <si>
    <t>GO:0016020,GO:0015297,GO:0022857,GO:0042910,GO:1990961</t>
  </si>
  <si>
    <t>membrane|antiporter activity|transmembrane transporter activity|xenobiotic transmembrane transporter activity|xenobiotic detoxification by transmembrane export across the plasma membrane</t>
  </si>
  <si>
    <t>J2O13_02G004322</t>
  </si>
  <si>
    <t>7.72E-13</t>
  </si>
  <si>
    <t>1.45E-11</t>
  </si>
  <si>
    <t>J2O13_02G004323</t>
  </si>
  <si>
    <t>At1g28390</t>
  </si>
  <si>
    <t>Serine/threonine-protein kinase-like protein At1g28390</t>
  </si>
  <si>
    <t>J2O13_02G004335</t>
  </si>
  <si>
    <t>8.14E-12</t>
  </si>
  <si>
    <t>1.32E-10</t>
  </si>
  <si>
    <t>PUMP5</t>
  </si>
  <si>
    <t>Mitochondrial uncoupling protein 5</t>
  </si>
  <si>
    <t>GO:0005743,GO:0015297,GO:0005310,GO:0015140,GO:0015131,GO:0017077,GO:0015141,GO:0015116,GO:0015117,GO:0022857,GO:0071456,GO:0071423,GO:0006839,GO:0015729,GO:0035435,GO:1902600,GO:0071422,GO:0008272,GO:0015709</t>
  </si>
  <si>
    <t>mitochondrial inner membrane|antiporter activity|dicarboxylic acid transmembrane transporter activity|malate transmembrane transporter activity|oxaloacetate transmembrane transporter activity|oxidative phosphorylation uncoupler activity|succinate transmembrane transporter activity|sulfate transmembrane transporter activity|thiosulfate transmembrane transporter activity|transmembrane transporter activity|cellular response to hypoxia|malate transmembrane transport|mitochondrial transport|oxaloacetate transport|phosphate ion transmembrane transport|proton transmembrane transport|succinate transmembrane transport|sulfate transport|thiosulfate transport</t>
  </si>
  <si>
    <t>J2O13_02G004337</t>
  </si>
  <si>
    <t>AED3</t>
  </si>
  <si>
    <t>Aspartyl protease AED3</t>
  </si>
  <si>
    <t>GO:0048046,GO:0099503,GO:0004190,GO:0000166,GO:0006508,GO:0043067,GO:0009627</t>
  </si>
  <si>
    <t>apoplast|secretory vesicle|aspartic-type endopeptidase activity|nucleotide binding|proteolysis|regulation of programmed cell death|systemic acquired resistance</t>
  </si>
  <si>
    <t>J2O13_02G004340</t>
  </si>
  <si>
    <t>1.25E-72</t>
  </si>
  <si>
    <t>2.47E-69</t>
  </si>
  <si>
    <t>AHL17</t>
  </si>
  <si>
    <t>AT-hook motif nuclear-localized protein 17</t>
  </si>
  <si>
    <t>GO:0005634,GO:0003700,GO:0003680</t>
  </si>
  <si>
    <t>nucleus|DNA-binding transcription factor activity|minor groove of adenine-thymine-rich DNA binding</t>
  </si>
  <si>
    <t>J2O13_02G004343</t>
  </si>
  <si>
    <t>BHLH30</t>
  </si>
  <si>
    <t>Transcription factor bHLH30</t>
  </si>
  <si>
    <t>GO:0005634,GO:0003677,GO:0003700,GO:0046983,GO:0006355</t>
  </si>
  <si>
    <t>nucleus|DNA binding|DNA-binding transcription factor activity|protein dimerization activity|regulation of DNA-templated transcription</t>
  </si>
  <si>
    <t>J2O13_02G004349</t>
  </si>
  <si>
    <t>1.16E-23</t>
  </si>
  <si>
    <t>7.01E-22</t>
  </si>
  <si>
    <t>MSL2</t>
  </si>
  <si>
    <t>Mechanosensitive ion channel protein 2, chloroplastic</t>
  </si>
  <si>
    <t>GO:0009507,GO:0031969,GO:0009526,GO:0010020,GO:0006811,GO:0055085</t>
  </si>
  <si>
    <t>chloroplast|chloroplast membrane|plastid envelope|chloroplast fission|ion transport|transmembrane transport</t>
  </si>
  <si>
    <t>J2O13_02G004350</t>
  </si>
  <si>
    <t>KIN4C</t>
  </si>
  <si>
    <t>Kinesin-like protein KIN-4C</t>
  </si>
  <si>
    <t>GO:0005874,GO:0005875,GO:0009506,GO:0005524,GO:0008017,GO:0003777,GO:0071555,GO:0007018,GO:0007052,GO:0051231</t>
  </si>
  <si>
    <t>microtubule|microtubule associated complex|plasmodesma|ATP binding|microtubule binding|microtubule motor activity|cell wall organization|microtubule-based movement|mitotic spindle organization|spindle elongation</t>
  </si>
  <si>
    <t>J2O13_02G004365</t>
  </si>
  <si>
    <t>UGT91C1</t>
  </si>
  <si>
    <t>UDP-glycosyltransferase 91C1</t>
  </si>
  <si>
    <t>GO:0008194</t>
  </si>
  <si>
    <t>UDP-glycosyltransferase activity</t>
  </si>
  <si>
    <t>J2O13_02G004373</t>
  </si>
  <si>
    <t>2.13E-15</t>
  </si>
  <si>
    <t>5.58E-14</t>
  </si>
  <si>
    <t>J2O13_02G004381</t>
  </si>
  <si>
    <t>5.13E-14</t>
  </si>
  <si>
    <t>1.13E-12</t>
  </si>
  <si>
    <t>At1g09900</t>
  </si>
  <si>
    <t>Pentatricopeptide repeat-containing protein At1g09900</t>
  </si>
  <si>
    <t>J2O13_02G004389</t>
  </si>
  <si>
    <t>4.68E-23</t>
  </si>
  <si>
    <t>2.70E-21</t>
  </si>
  <si>
    <t>At5g64460</t>
  </si>
  <si>
    <t>Phosphoglycerate mutase-like protein 1</t>
  </si>
  <si>
    <t>GO:0005737,GO:0005829,GO:0009536,GO:0016791</t>
  </si>
  <si>
    <t>cytoplasm|cytosol|plastid|phosphatase activity</t>
  </si>
  <si>
    <t>J2O13_02G004404</t>
  </si>
  <si>
    <t>DTX48</t>
  </si>
  <si>
    <t>Protein DETOXIFICATION 48</t>
  </si>
  <si>
    <t>GO:0005794,GO:0000139,GO:0017119,GO:0043229,GO:0005770,GO:0031902,GO:0016020,GO:0015297,GO:0005381,GO:0022857,GO:0042910,GO:0055072,GO:0006826,GO:1905428,GO:0009737,GO:0009646,GO:0009408,GO:0009624,GO:0006970,GO:0010015,GO:1990961</t>
  </si>
  <si>
    <t>Golgi apparatus|Golgi membrane|Golgi transport complex|intracellular organelle|late endosome|late endosome membrane|membrane|antiporter activity|iron ion transmembrane transporter activity|transmembrane transporter activity|xenobiotic transmembrane transporter activity|iron ion homeostasis|iron ion transport|regulation of plant organ formation|response to abscisic acid|response to absence of light|response to heat|response to nematode|response to osmotic stress|root morphogenesis|xenobiotic detoxification by transmembrane export across the plasma membrane</t>
  </si>
  <si>
    <t>J2O13_02G004416</t>
  </si>
  <si>
    <t>1.11E-05</t>
  </si>
  <si>
    <t>6.49E-05</t>
  </si>
  <si>
    <t>SRO3</t>
  </si>
  <si>
    <t>Probable inactive poly [ADP-ribose] polymerase SRO3</t>
  </si>
  <si>
    <t>GO:0005634,GO:0003950</t>
  </si>
  <si>
    <t>nucleus|NAD+ ADP-ribosyltransferase activity</t>
  </si>
  <si>
    <t>J2O13_02G004417</t>
  </si>
  <si>
    <t>6.78E-05</t>
  </si>
  <si>
    <t>ITPK3</t>
  </si>
  <si>
    <t>Inositol-tetrakisphosphate 1-kinase 3</t>
  </si>
  <si>
    <t>ko00562,ko04070</t>
  </si>
  <si>
    <t>Inositol phosphate metabolism|Phosphatidylinositol signaling system</t>
  </si>
  <si>
    <t>GO:0005737,GO:0005634,GO:0005524,GO:0047325,GO:0052726,GO:0052725,GO:0000287,GO:0052746,GO:0032957,GO:0009611</t>
  </si>
  <si>
    <t>cytoplasm|nucleus|ATP binding|inositol tetrakisphosphate 1-kinase activity|inositol-1,3,4-trisphosphate 5-kinase activity|inositol-1,3,4-trisphosphate 6-kinase activity|magnesium ion binding|inositol phosphorylation|inositol trisphosphate metabolic process|response to wounding</t>
  </si>
  <si>
    <t>J2O13_02G004427</t>
  </si>
  <si>
    <t>1.05E-08</t>
  </si>
  <si>
    <t>1.08E-07</t>
  </si>
  <si>
    <t>HAT22</t>
  </si>
  <si>
    <t>Homeobox-leucine zipper protein HAT22</t>
  </si>
  <si>
    <t>GO:0005634,GO:0003700,GO:0000981,GO:0000976,GO:0009738,GO:0009737,GO:0009735,GO:0009414</t>
  </si>
  <si>
    <t>nucleus|DNA-binding transcription factor activity|DNA-binding transcription factor activity, RNA polymerase II-specific|transcription cis-regulatory region binding|abscisic acid-activated signaling pathway|response to abscisic acid|response to cytokinin|response to water deprivation</t>
  </si>
  <si>
    <t>J2O13_02G004432</t>
  </si>
  <si>
    <t>RAX3</t>
  </si>
  <si>
    <t>Transcription factor RAX3</t>
  </si>
  <si>
    <t>GO:0005634,GO:0003677,GO:0003700</t>
  </si>
  <si>
    <t>nucleus|DNA binding|DNA-binding transcription factor activity</t>
  </si>
  <si>
    <t>J2O13_02G004443</t>
  </si>
  <si>
    <t>7.70E-07</t>
  </si>
  <si>
    <t>5.67E-06</t>
  </si>
  <si>
    <t>CRL5</t>
  </si>
  <si>
    <t>AP2-like ethylene-responsive transcription factor CRL5</t>
  </si>
  <si>
    <t>GO:0005634,GO:0003677,GO:0003700,GO:0048830,GO:0080037</t>
  </si>
  <si>
    <t>nucleus|DNA binding|DNA-binding transcription factor activity|adventitious root development|negative regulation of cytokinin-activated signaling pathway</t>
  </si>
  <si>
    <t>J2O13_02G004446</t>
  </si>
  <si>
    <t>GRF6</t>
  </si>
  <si>
    <t>Growth-regulating factor 6</t>
  </si>
  <si>
    <t>GO:0005634,GO:0005524,GO:0032502,GO:0006351,GO:0006355</t>
  </si>
  <si>
    <t>nucleus|ATP binding|developmental process|DNA-templated transcription|regulation of DNA-templated transcription</t>
  </si>
  <si>
    <t>J2O13_02G004453</t>
  </si>
  <si>
    <t>9.15E-05</t>
  </si>
  <si>
    <t>BZIP4</t>
  </si>
  <si>
    <t>Basic leucine zipper 4</t>
  </si>
  <si>
    <t>GO:0005634,GO:0003700,GO:0000976,GO:0045893</t>
  </si>
  <si>
    <t>nucleus|DNA-binding transcription factor activity|transcription cis-regulatory region binding|positive regulation of DNA-templated transcription</t>
  </si>
  <si>
    <t>J2O13_02G004459</t>
  </si>
  <si>
    <t>7.63E-06</t>
  </si>
  <si>
    <t>4.62E-05</t>
  </si>
  <si>
    <t>PP2A10</t>
  </si>
  <si>
    <t>Protein PHLOEM PROTEIN 2-LIKE A10</t>
  </si>
  <si>
    <t>GO:0016020,GO:0030246</t>
  </si>
  <si>
    <t>membrane|carbohydrate binding</t>
  </si>
  <si>
    <t>J2O13_02G004463</t>
  </si>
  <si>
    <t>GAI1</t>
  </si>
  <si>
    <t>DELLA protein GAI1</t>
  </si>
  <si>
    <t>GO:0005634,GO:0009740</t>
  </si>
  <si>
    <t>nucleus|gibberellic acid mediated signaling pathway</t>
  </si>
  <si>
    <t>J2O13_02G004467</t>
  </si>
  <si>
    <t>1.03E-18</t>
  </si>
  <si>
    <t>3.99E-17</t>
  </si>
  <si>
    <t>LCAT1</t>
  </si>
  <si>
    <t>Lecithin-cholesterol acyltransferase-like 1</t>
  </si>
  <si>
    <t>GO:0016020,GO:0000325,GO:0008374,GO:0006629</t>
  </si>
  <si>
    <t>membrane|plant-type vacuole|O-acyltransferase activity|lipid metabolic process</t>
  </si>
  <si>
    <t>J2O13_02G004472</t>
  </si>
  <si>
    <t>J2O13_02G004478</t>
  </si>
  <si>
    <t>9.58E-05</t>
  </si>
  <si>
    <t>WLIM1</t>
  </si>
  <si>
    <t>LIM domain-containing protein WLIM1</t>
  </si>
  <si>
    <t>GO:0005737,GO:0005856,GO:0005886,GO:0051015,GO:0046872,GO:0003729,GO:0051017</t>
  </si>
  <si>
    <t>cytoplasm|cytoskeleton|plasma membrane|actin filament binding|metal ion binding|mRNA binding|actin filament bundle assembly</t>
  </si>
  <si>
    <t>J2O13_02G004481</t>
  </si>
  <si>
    <t>J2O13_02G004504</t>
  </si>
  <si>
    <t>9.23E-18</t>
  </si>
  <si>
    <t>3.24E-16</t>
  </si>
  <si>
    <t>J2O13_02G004508</t>
  </si>
  <si>
    <t>J2O13_02G004528</t>
  </si>
  <si>
    <t>CYP81C13</t>
  </si>
  <si>
    <t>Cytochrome P450 81C13</t>
  </si>
  <si>
    <t>GO:0020037,GO:0005506,GO:0004497,GO:0016705</t>
  </si>
  <si>
    <t>heme binding|iron ion binding|monooxygenase activity|oxidoreductase activity, acting on paired donors, with incorporation or reduction of molecular oxygen</t>
  </si>
  <si>
    <t>J2O13_02G004546</t>
  </si>
  <si>
    <t>At3g16150</t>
  </si>
  <si>
    <t>Probable isoaspartyl peptidase/L-asparaginase 2</t>
  </si>
  <si>
    <t>ko00250,ko00460</t>
  </si>
  <si>
    <t>Alanine, aspartate and glutamate metabolism|Cyanoamino acid metabolism</t>
  </si>
  <si>
    <t>GO:0005737,GO:0004067,GO:0008798,GO:0016540</t>
  </si>
  <si>
    <t>cytoplasm|asparaginase activity|beta-aspartyl-peptidase activity|protein autoprocessing</t>
  </si>
  <si>
    <t>Cyclin-D3-3</t>
  </si>
  <si>
    <t>GO:0000307,GO:0005737,GO:0005634,GO:0016538,GO:0051301,GO:0010444,GO:0044772,GO:0000079,GO:0048316</t>
  </si>
  <si>
    <t>cyclin-dependent protein kinase holoenzyme complex|cytoplasm|nucleus|cyclin-dependent protein serine/threonine kinase regulator activity|cell division|guard mother cell differentiation|mitotic cell cycle phase transition|regulation of cyclin-dependent protein serine/threonine kinase activity|seed development</t>
  </si>
  <si>
    <t>J2O13_02G004558</t>
  </si>
  <si>
    <t>At5g67200</t>
  </si>
  <si>
    <t>Probable inactive receptor kinase At5g67200</t>
  </si>
  <si>
    <t>J2O13_02G004563</t>
  </si>
  <si>
    <t>4.71E-21</t>
  </si>
  <si>
    <t>2.31E-19</t>
  </si>
  <si>
    <t>J2O13_02G004573</t>
  </si>
  <si>
    <t>4.12E-13</t>
  </si>
  <si>
    <t>8.09E-12</t>
  </si>
  <si>
    <t>At1g01540</t>
  </si>
  <si>
    <t>Probable serine/threonine-protein kinase At1g01540</t>
  </si>
  <si>
    <t>GO:0005886,GO:0005524,GO:0106310,GO:0004674,GO:0046777</t>
  </si>
  <si>
    <t>plasma membrane|ATP binding|protein serine kinase activity|protein serine/threonine kinase activity|protein autophosphorylation</t>
  </si>
  <si>
    <t>J2O13_02G004574</t>
  </si>
  <si>
    <t>sbt3</t>
  </si>
  <si>
    <t>Subtilisin-like protease SBT3</t>
  </si>
  <si>
    <t>GO:0005615,GO:0042802,GO:0042803,GO:0004252,GO:0008236,GO:0006952,GO:0043171,GO:0009827,GO:1900367,GO:0010628,GO:0006508,GO:1902066,GO:0009611,GO:0097264</t>
  </si>
  <si>
    <t>extracellular space|identical protein binding|protein homodimerization activity|serine-type endopeptidase activity|serine-type peptidase activity|defense response|peptide catabolic process|plant-type cell wall modification|positive regulation of defense response to insect|positive regulation of gene expression|proteolysis|regulation of cell wall pectin metabolic process|response to wounding|self proteolysis</t>
  </si>
  <si>
    <t>J2O13_02G004577</t>
  </si>
  <si>
    <t>RALFL34</t>
  </si>
  <si>
    <t>Protein RALF-like 34</t>
  </si>
  <si>
    <t>GO:0048046,GO:0005179,GO:0019722,GO:0007267</t>
  </si>
  <si>
    <t>apoplast|hormone activity|calcium-mediated signaling|cell-cell signaling</t>
  </si>
  <si>
    <t>J2O13_02G004585</t>
  </si>
  <si>
    <t>1.24E-43</t>
  </si>
  <si>
    <t>3.75E-41</t>
  </si>
  <si>
    <t>J2O13_02G004589</t>
  </si>
  <si>
    <t>7.11E-24</t>
  </si>
  <si>
    <t>4.38E-22</t>
  </si>
  <si>
    <t>DCL</t>
  </si>
  <si>
    <t>Protein DCL, chloroplastic</t>
  </si>
  <si>
    <t>GO:0009507,GO:0003729,GO:0009658,GO:1901259</t>
  </si>
  <si>
    <t>chloroplast|mRNA binding|chloroplast organization|chloroplast rRNA processing</t>
  </si>
  <si>
    <t>J2O13_02G004592</t>
  </si>
  <si>
    <t>5.04E-44</t>
  </si>
  <si>
    <t>1.57E-41</t>
  </si>
  <si>
    <t>CYP707A1</t>
  </si>
  <si>
    <t>Abscisic acid 8'-hydroxylase CYP707A1</t>
  </si>
  <si>
    <t>GO:0016020,GO:0010295,GO:0020037,GO:0005506,GO:0004497,GO:0016491,GO:0046345,GO:0009856,GO:0009737,GO:0009733,GO:0009414,GO:0016125</t>
  </si>
  <si>
    <t>membrane|(+)-abscisic acid 8'-hydroxylase activity|heme binding|iron ion binding|monooxygenase activity|oxidoreductase activity|abscisic acid catabolic process|pollination|response to abscisic acid|response to auxin|response to water deprivation|sterol metabolic process</t>
  </si>
  <si>
    <t>J2O13_02G004593</t>
  </si>
  <si>
    <t>1.37E-13</t>
  </si>
  <si>
    <t>2.85E-12</t>
  </si>
  <si>
    <t>At1g07700</t>
  </si>
  <si>
    <t>Thioredoxin-like 4, chloroplastic</t>
  </si>
  <si>
    <t>GO:0009507,GO:0009570</t>
  </si>
  <si>
    <t>chloroplast|chloroplast stroma</t>
  </si>
  <si>
    <t>J2O13_02G004595</t>
  </si>
  <si>
    <t>AMY1.1</t>
  </si>
  <si>
    <t>Alpha-amylase</t>
  </si>
  <si>
    <t>ko00500,ko04970,ko04972,ko04973</t>
  </si>
  <si>
    <t>Starch and sucrose metabolism|Salivary secretion|Pancreatic secretion|Carbohydrate digestion and absorption</t>
  </si>
  <si>
    <t>GO:0004556,GO:0005509,GO:0005975</t>
  </si>
  <si>
    <t>alpha-amylase activity|calcium ion binding|carbohydrate metabolic process</t>
  </si>
  <si>
    <t>J2O13_02G004597</t>
  </si>
  <si>
    <t>2.06E-13</t>
  </si>
  <si>
    <t>4.17E-12</t>
  </si>
  <si>
    <t>CYPRO4</t>
  </si>
  <si>
    <t>Protein CYPRO4</t>
  </si>
  <si>
    <t>GO:0005737,GO:0005635</t>
  </si>
  <si>
    <t>cytoplasm|nuclear envelope</t>
  </si>
  <si>
    <t>J2O13_02G004603</t>
  </si>
  <si>
    <t>7.34E-05</t>
  </si>
  <si>
    <t>Polcalcin Cup a 4 OS=Hesperocyparis arizonica OX=49011 PE=1 SV=1</t>
  </si>
  <si>
    <t>GO:0005509,GO:0042803</t>
  </si>
  <si>
    <t>calcium ion binding|protein homodimerization activity</t>
  </si>
  <si>
    <t>J2O13_02G004609</t>
  </si>
  <si>
    <t>J2O13_02G004621</t>
  </si>
  <si>
    <t>2.61E-08</t>
  </si>
  <si>
    <t>2.54E-07</t>
  </si>
  <si>
    <t>CXE2</t>
  </si>
  <si>
    <t>Probable carboxylesterase 2</t>
  </si>
  <si>
    <t>GO:0106435</t>
  </si>
  <si>
    <t>carboxylesterase activity</t>
  </si>
  <si>
    <t>J2O13_02G004623</t>
  </si>
  <si>
    <t>PLP2</t>
  </si>
  <si>
    <t>Patatin-like protein 2</t>
  </si>
  <si>
    <t>GO:0005737,GO:0016020,GO:0005777,GO:0047372,GO:0042802,GO:0016298,GO:0004620,GO:0071456,GO:0051607,GO:0016042,GO:0006629,GO:0031408,GO:0009626,GO:0046686</t>
  </si>
  <si>
    <t>cytoplasm|membrane|peroxisome|acylglycerol lipase activity|identical protein binding|lipase activity|phospholipase activity|cellular response to hypoxia|defense response to virus|lipid catabolic process|lipid metabolic process|oxylipin biosynthetic process|plant-type hypersensitive response|response to cadmium ion</t>
  </si>
  <si>
    <t>J2O13_02G004627</t>
  </si>
  <si>
    <t>1.14E-05</t>
  </si>
  <si>
    <t>6.65E-05</t>
  </si>
  <si>
    <t>J2O13_02G004631</t>
  </si>
  <si>
    <t>1.78E-13</t>
  </si>
  <si>
    <t>3.63E-12</t>
  </si>
  <si>
    <t>J2O13_02G004633</t>
  </si>
  <si>
    <t>9.84E-09</t>
  </si>
  <si>
    <t>J2O13_02G004636</t>
  </si>
  <si>
    <t>1.20E-13</t>
  </si>
  <si>
    <t>2.52E-12</t>
  </si>
  <si>
    <t>MYB77</t>
  </si>
  <si>
    <t>Transcription factor MYB77</t>
  </si>
  <si>
    <t>GO:0005634,GO:0003700,GO:0000981,GO:0000978,GO:0000976,GO:0048527,GO:0010929,GO:0006355</t>
  </si>
  <si>
    <t>nucleus|DNA-binding transcription factor activity|DNA-binding transcription factor activity, RNA polymerase II-specific|RNA polymerase II cis-regulatory region sequence-specific DNA binding|transcription cis-regulatory region binding|lateral root development|positive regulation of auxin mediated signaling pathway|regulation of DNA-templated transcription</t>
  </si>
  <si>
    <t>J2O13_02G004642</t>
  </si>
  <si>
    <t>1.22E-07</t>
  </si>
  <si>
    <t>1.04E-06</t>
  </si>
  <si>
    <t>At4g33300</t>
  </si>
  <si>
    <t>Probable disease resistance protein At4g33300</t>
  </si>
  <si>
    <t>GO:0048046,GO:0043531,GO:0005524,GO:0042742,GO:0050832</t>
  </si>
  <si>
    <t>apoplast|ADP binding|ATP binding|defense response to bacterium|defense response to fungus</t>
  </si>
  <si>
    <t>J2O13_02G004649</t>
  </si>
  <si>
    <t>AATL1</t>
  </si>
  <si>
    <t>Lysine histidine transporter-like 8</t>
  </si>
  <si>
    <t>GO:0016020,GO:0005886,GO:0015171,GO:0003333</t>
  </si>
  <si>
    <t>membrane|plasma membrane|amino acid transmembrane transporter activity|amino acid transmembrane transport</t>
  </si>
  <si>
    <t>J2O13_02G004650</t>
  </si>
  <si>
    <t>DOF3.4</t>
  </si>
  <si>
    <t>Dof zinc finger protein DOF3.4</t>
  </si>
  <si>
    <t>GO:0005634,GO:0003677,GO:0003700,GO:0000976,GO:0008270,GO:0042545,GO:0045787,GO:0045893,GO:0009733,GO:0009751</t>
  </si>
  <si>
    <t>nucleus|DNA binding|DNA-binding transcription factor activity|transcription cis-regulatory region binding|zinc ion binding|cell wall modification|positive regulation of cell cycle|positive regulation of DNA-templated transcription|response to auxin|response to salicylic acid</t>
  </si>
  <si>
    <t>J2O13_02G004666</t>
  </si>
  <si>
    <t>3.16E-11</t>
  </si>
  <si>
    <t>CYP74A</t>
  </si>
  <si>
    <t>Allene oxide synthase, chloroplastic</t>
  </si>
  <si>
    <t>ko00592</t>
  </si>
  <si>
    <t>alpha-Linolenic acid metabolism</t>
  </si>
  <si>
    <t>GO:0009507,GO:0009978,GO:0020037,GO:0005506,GO:0004497,GO:0016705,GO:0006633,GO:0031408</t>
  </si>
  <si>
    <t>chloroplast|allene oxide synthase activity|heme binding|iron ion binding|monooxygenase activity|oxidoreductase activity, acting on paired donors, with incorporation or reduction of molecular oxygen|fatty acid biosynthetic process|oxylipin biosynthetic process</t>
  </si>
  <si>
    <t>J2O13_02G004669</t>
  </si>
  <si>
    <t>2.09E-05</t>
  </si>
  <si>
    <t>J2O13_02G004671</t>
  </si>
  <si>
    <t>1.37E-09</t>
  </si>
  <si>
    <t>1.61E-08</t>
  </si>
  <si>
    <t>J2O13_02G004686</t>
  </si>
  <si>
    <t>9.32E-07</t>
  </si>
  <si>
    <t>At5g42610</t>
  </si>
  <si>
    <t>Calcium uniporter protein 4, mitochondrial</t>
  </si>
  <si>
    <t>ko04020,ko04218,ko04621,ko05010,ko05012,ko05014,ko05017,ko05020,ko05022</t>
  </si>
  <si>
    <t>Calcium signaling pathway|Cellular senescence|NOD-like receptor signaling pathway|Alzheimer disease|Parkinson disease|Amyotrophic lateral sclerosis|Spinocerebellar ataxia|Prion disease|Pathways of neurodegeneration - multiple diseases</t>
  </si>
  <si>
    <t>GO:0005743,GO:1990246,GO:0005262,GO:0015292,GO:0036444,GO:0051560</t>
  </si>
  <si>
    <t>mitochondrial inner membrane|uniplex complex|calcium channel activity|uniporter activity|calcium import into the mitochondrion|mitochondrial calcium ion homeostasis</t>
  </si>
  <si>
    <t>J2O13_02G004688</t>
  </si>
  <si>
    <t>1.71E-14</t>
  </si>
  <si>
    <t>3.99E-13</t>
  </si>
  <si>
    <t>J2O13_02G004691</t>
  </si>
  <si>
    <t>RCE2</t>
  </si>
  <si>
    <t>Probable NEDD8-conjugating enzyme Ubc12-like</t>
  </si>
  <si>
    <t>GO:0005634,GO:0005524,GO:0019788,GO:0045116</t>
  </si>
  <si>
    <t>nucleus|ATP binding|NEDD8 transferase activity|protein neddylation</t>
  </si>
  <si>
    <t>J2O13_02G004700</t>
  </si>
  <si>
    <t>CYP734A1</t>
  </si>
  <si>
    <t>Cytochrome P450 734A1</t>
  </si>
  <si>
    <t>GO:0016020,GO:0020037,GO:0005506,GO:0004497,GO:0016705,GO:0008395,GO:0010268,GO:0016131,GO:0009741</t>
  </si>
  <si>
    <t>membrane|heme binding|iron ion binding|monooxygenase activity|oxidoreductase activity, acting on paired donors, with incorporation or reduction of molecular oxygen|steroid hydroxylase activity|brassinosteroid homeostasis|brassinosteroid metabolic process|response to brassinosteroid</t>
  </si>
  <si>
    <t>J2O13_02G004701</t>
  </si>
  <si>
    <t>1.29E-15</t>
  </si>
  <si>
    <t>3.45E-14</t>
  </si>
  <si>
    <t>J2O13_02G004713</t>
  </si>
  <si>
    <t>ATL24</t>
  </si>
  <si>
    <t>NEP1-interacting protein-like 2</t>
  </si>
  <si>
    <t>GO:0016020,GO:0046872,GO:0006952</t>
  </si>
  <si>
    <t>membrane|metal ion binding|defense response</t>
  </si>
  <si>
    <t>J2O13_02G004714</t>
  </si>
  <si>
    <t>PGIC</t>
  </si>
  <si>
    <t>Glucose-6-phosphate isomerase, cytosolic</t>
  </si>
  <si>
    <t>ko00010,ko00030,ko00500,ko00520</t>
  </si>
  <si>
    <t>Glycolysis / Gluconeogenesis|Pentose phosphate pathway|Starch and sucrose metabolism|Amino sugar and nucleotide sugar metabolism</t>
  </si>
  <si>
    <t>GO:0005737,GO:0097367,GO:0004347,GO:0006094,GO:0006096</t>
  </si>
  <si>
    <t>cytoplasm|carbohydrate derivative binding|glucose-6-phosphate isomerase activity|gluconeogenesis|glycolytic process</t>
  </si>
  <si>
    <t>J2O13_02G004715</t>
  </si>
  <si>
    <t>LCV3</t>
  </si>
  <si>
    <t>Protein LIKE COV 3</t>
  </si>
  <si>
    <t>J2O13_02G004725</t>
  </si>
  <si>
    <t>6.66E-05</t>
  </si>
  <si>
    <t>At1g01500</t>
  </si>
  <si>
    <t>Uncharacterized protein At1g01500</t>
  </si>
  <si>
    <t>GO:0016020,GO:0004617</t>
  </si>
  <si>
    <t>membrane|phosphoglycerate dehydrogenase activity</t>
  </si>
  <si>
    <t>J2O13_02G004726</t>
  </si>
  <si>
    <t>J2O13_02G004729</t>
  </si>
  <si>
    <t>1.98E-13</t>
  </si>
  <si>
    <t>4.02E-12</t>
  </si>
  <si>
    <t>J2O13_02G004735</t>
  </si>
  <si>
    <t>4.68E-07</t>
  </si>
  <si>
    <t>3.59E-06</t>
  </si>
  <si>
    <t>RL1</t>
  </si>
  <si>
    <t>Protein RADIALIS-like 1</t>
  </si>
  <si>
    <t>J2O13_02G004747</t>
  </si>
  <si>
    <t>J2O13_02G004749</t>
  </si>
  <si>
    <t>5.96E-05</t>
  </si>
  <si>
    <t>J2O13_02G004752</t>
  </si>
  <si>
    <t>J2O13_02G004759</t>
  </si>
  <si>
    <t>DFR</t>
  </si>
  <si>
    <t>Dihydroflavonol 4-reductase</t>
  </si>
  <si>
    <t>ko00941</t>
  </si>
  <si>
    <t>Flavonoid biosynthesis</t>
  </si>
  <si>
    <t>GO:0045552,GO:0047890,GO:0009718</t>
  </si>
  <si>
    <t>dihydrokaempferol 4-reductase activity|flavanone 4-reductase activity|anthocyanin-containing compound biosynthetic process</t>
  </si>
  <si>
    <t>J2O13_02G004762</t>
  </si>
  <si>
    <t>2.97E-07</t>
  </si>
  <si>
    <t>2.36E-06</t>
  </si>
  <si>
    <t>MAN7</t>
  </si>
  <si>
    <t>Mannan endo-1,4-beta-mannosidase 7</t>
  </si>
  <si>
    <t>GO:0071944,GO:0005576,GO:0016985,GO:0010047,GO:1990059,GO:0071704,GO:0009828,GO:0009845</t>
  </si>
  <si>
    <t>cell periphery|extracellular region|mannan endo-1,4-beta-mannosidase activity|fruit dehiscence|fruit valve development|organic substance metabolic process|plant-type cell wall loosening|seed germination</t>
  </si>
  <si>
    <t>J2O13_02G004765</t>
  </si>
  <si>
    <t>8.79E-06</t>
  </si>
  <si>
    <t>5.26E-05</t>
  </si>
  <si>
    <t>J2O13_02G004767</t>
  </si>
  <si>
    <t>TCM_034091</t>
  </si>
  <si>
    <t>Probable jasmonic acid carboxyl methyltransferase 2</t>
  </si>
  <si>
    <t>GO:0005737,GO:0005634,GO:0046872,GO:0030795,GO:0008757,GO:0032259,GO:0031408</t>
  </si>
  <si>
    <t>cytoplasm|nucleus|metal ion binding|methyl jasmonate methylesterase activity|S-adenosylmethionine-dependent methyltransferase activity|methylation|oxylipin biosynthetic process</t>
  </si>
  <si>
    <t>J2O13_02G004775</t>
  </si>
  <si>
    <t>5.49E-06</t>
  </si>
  <si>
    <t>3.42E-05</t>
  </si>
  <si>
    <t>AP4M</t>
  </si>
  <si>
    <t>AP-4 complex subunit mu</t>
  </si>
  <si>
    <t>ko04142</t>
  </si>
  <si>
    <t>Lysosome</t>
  </si>
  <si>
    <t>GO:0030124,GO:0030131,GO:0005905,GO:0031410,GO:0005829,GO:0005802,GO:0090160,GO:0006605,GO:0016192</t>
  </si>
  <si>
    <t>AP-4 adaptor complex|clathrin adaptor complex|clathrin-coated pit|cytoplasmic vesicle|cytosol|trans-Golgi network|Golgi to lysosome transport|protein targeting|vesicle-mediated transport</t>
  </si>
  <si>
    <t>J2O13_02G004792</t>
  </si>
  <si>
    <t>6.55E-27</t>
  </si>
  <si>
    <t>5.50E-25</t>
  </si>
  <si>
    <t>JAL3</t>
  </si>
  <si>
    <t>Jacalin-related lectin 3</t>
  </si>
  <si>
    <t>GO:0030246</t>
  </si>
  <si>
    <t>carbohydrate binding</t>
  </si>
  <si>
    <t>J2O13_02G004794</t>
  </si>
  <si>
    <t>6.28E-05</t>
  </si>
  <si>
    <t>J2O13_02G004804</t>
  </si>
  <si>
    <t>WAT1</t>
  </si>
  <si>
    <t>Protein WALLS ARE THIN 1</t>
  </si>
  <si>
    <t>GO:0000325,GO:0009705,GO:0005886,GO:0022857,GO:0009851,GO:0010315,GO:0009734,GO:0071555,GO:0006952,GO:0009834,GO:0090355,GO:0090358,GO:0000162,GO:0009826</t>
  </si>
  <si>
    <t>plant-type vacuole|plant-type vacuole membrane|plasma membrane|transmembrane transporter activity|auxin biosynthetic process|auxin export across the plasma membrane|auxin-activated signaling pathway|cell wall organization|defense response|plant-type secondary cell wall biogenesis|positive regulation of auxin metabolic process|positive regulation of tryptophan metabolic process|tryptophan biosynthetic process|unidimensional cell growth</t>
  </si>
  <si>
    <t>J2O13_02G004806</t>
  </si>
  <si>
    <t>RD19C</t>
  </si>
  <si>
    <t>Probable cysteine protease RD19C</t>
  </si>
  <si>
    <t>ko04142,ko04210,ko04626</t>
  </si>
  <si>
    <t>Lysosome|Apoptosis|Plant-pathogen interaction</t>
  </si>
  <si>
    <t>GO:0005615,GO:0005764,GO:0000323,GO:0000325,GO:0005773,GO:0004197,GO:0051603</t>
  </si>
  <si>
    <t>extracellular space|lysosome|lytic vacuole|plant-type vacuole|vacuole|cysteine-type endopeptidase activity|proteolysis involved in protein catabolic process</t>
  </si>
  <si>
    <t>J2O13_02G004827</t>
  </si>
  <si>
    <t>2.77E-08</t>
  </si>
  <si>
    <t>2.69E-07</t>
  </si>
  <si>
    <t>HTR4</t>
  </si>
  <si>
    <t>Histone H3.3</t>
  </si>
  <si>
    <t>ko04613,ko05202,ko05131,ko05322,ko05034</t>
  </si>
  <si>
    <t>Neutrophil extracellular trap formation|Transcriptional misregulation in cancer|Shigellosis|Systemic lupus erythematosus|Alcoholism</t>
  </si>
  <si>
    <t>GO:0005730,GO:0000786,GO:0005634,GO:0005886,GO:0030875,GO:0003677,GO:0046982,GO:0030527</t>
  </si>
  <si>
    <t>nucleolus|nucleosome|nucleus|plasma membrane|rDNA protrusion|DNA binding|protein heterodimerization activity|structural constituent of chromatin</t>
  </si>
  <si>
    <t>J2O13_02G004831</t>
  </si>
  <si>
    <t>J2O13_02G004837</t>
  </si>
  <si>
    <t>4.00E-13</t>
  </si>
  <si>
    <t>7.86E-12</t>
  </si>
  <si>
    <t>CYP83B1</t>
  </si>
  <si>
    <t>Cytochrome P450 83B1</t>
  </si>
  <si>
    <t>GO:0005783,GO:0005739,GO:0005886,GO:0020037,GO:0005506,GO:0016709,GO:0048830,GO:0052544,GO:0042742,GO:0050832,GO:0009759,GO:0009684,GO:0009682,GO:0009625,GO:0010114,GO:0009641,GO:0000162</t>
  </si>
  <si>
    <t>endoplasmic reticulum|mitochondrion|plasma membrane|heme binding|iron ion binding|oxidoreductase activity, acting on paired donors, with incorporation or reduction of molecular oxygen, NAD(P)H as one donor, and incorporation of one atom of oxygen|adventitious root development|defense response by callose deposition in cell wall|defense response to bacterium|defense response to fungus|indole glucosinolate biosynthetic process|indoleacetic acid biosynthetic process|induced systemic resistance|response to insect|response to red light|shade avoidance|tryptophan biosynthetic process</t>
  </si>
  <si>
    <t>J2O13_02G004839</t>
  </si>
  <si>
    <t>1.28E-05</t>
  </si>
  <si>
    <t>7.38E-05</t>
  </si>
  <si>
    <t>J2O13_02G004848</t>
  </si>
  <si>
    <t>3.56E-12</t>
  </si>
  <si>
    <t>6.12E-11</t>
  </si>
  <si>
    <t>ARF5</t>
  </si>
  <si>
    <t>Auxin response factor 5</t>
  </si>
  <si>
    <t>GO:0005634,GO:0003700,GO:0042802,GO:0000976,GO:0009734,GO:0009793,GO:0009908,GO:0010305,GO:0009942,GO:0048507,GO:0006355,GO:0009733,GO:0048364,GO:0010051</t>
  </si>
  <si>
    <t>nucleus|DNA-binding transcription factor activity|identical protein binding|transcription cis-regulatory region binding|auxin-activated signaling pathway|embryo development ending in seed dormancy|flower development|leaf vascular tissue pattern formation|longitudinal axis specification|meristem development|regulation of DNA-templated transcription|response to auxin|root development|xylem and phloem pattern formation</t>
  </si>
  <si>
    <t>1.45E-10</t>
  </si>
  <si>
    <t>1.97E-09</t>
  </si>
  <si>
    <t>Protein SMALL AUXIN UP-REGULATED RNA 51</t>
  </si>
  <si>
    <t>GO:0005886,GO:0009737,GO:0009733</t>
  </si>
  <si>
    <t>plasma membrane|response to abscisic acid|response to auxin</t>
  </si>
  <si>
    <t>J2O13_02G004854</t>
  </si>
  <si>
    <t>7.30E-10</t>
  </si>
  <si>
    <t>8.98E-09</t>
  </si>
  <si>
    <t>APS2</t>
  </si>
  <si>
    <t>ATP sulfurylase 2</t>
  </si>
  <si>
    <t>ko00920,ko00230,ko00450,ko00261</t>
  </si>
  <si>
    <t>Sulfur metabolism|Purine metabolism|Selenocompound metabolism|Monobactam biosynthesis</t>
  </si>
  <si>
    <t>GO:0009507,GO:0009570,GO:0005634,GO:0004020,GO:0005524,GO:0004781,GO:0009970,GO:0070814,GO:0000103</t>
  </si>
  <si>
    <t>chloroplast|chloroplast stroma|nucleus|adenylylsulfate kinase activity|ATP binding|sulfate adenylyltransferase (ATP) activity|cellular response to sulfate starvation|hydrogen sulfide biosynthetic process|sulfate assimilation</t>
  </si>
  <si>
    <t>J2O13_02G004856</t>
  </si>
  <si>
    <t>8.42E-09</t>
  </si>
  <si>
    <t>8.84E-08</t>
  </si>
  <si>
    <t>LOG7</t>
  </si>
  <si>
    <t>Cytokinin riboside 5'-monophosphate phosphoribohydrolase LOG7</t>
  </si>
  <si>
    <t>GO:0005829,GO:0005634,GO:0016799,GO:0102682,GO:0009691</t>
  </si>
  <si>
    <t>cytosol|nucleus|hydrolase activity, hydrolyzing N-glycosyl compounds|N6-(Delta2-isopentenyl)-adenosine 5'-monophosphate phosphoribohydrolase activity|cytokinin biosynthetic process</t>
  </si>
  <si>
    <t>J2O13_02G004860</t>
  </si>
  <si>
    <t>1.73E-07</t>
  </si>
  <si>
    <t>1.43E-06</t>
  </si>
  <si>
    <t>SPA</t>
  </si>
  <si>
    <t>Protein SPA, chloroplastic</t>
  </si>
  <si>
    <t>GO:0009507,GO:0009535,GO:0003756,GO:0010206</t>
  </si>
  <si>
    <t>chloroplast|chloroplast thylakoid membrane|protein disulfide isomerase activity|photosystem II repair</t>
  </si>
  <si>
    <t>J2O13_02G004870</t>
  </si>
  <si>
    <t>J2O13_02G004876</t>
  </si>
  <si>
    <t>J2O13_02G004877</t>
  </si>
  <si>
    <t>J2O13_02G004885</t>
  </si>
  <si>
    <t>7.64E-19</t>
  </si>
  <si>
    <t>3.00E-17</t>
  </si>
  <si>
    <t>PETH</t>
  </si>
  <si>
    <t>Ferredoxin--NADP reductase, leaf isozyme, chloroplastic</t>
  </si>
  <si>
    <t>GO:0009570,GO:0009535,GO:0004324,GO:0015979</t>
  </si>
  <si>
    <t>chloroplast stroma|chloroplast thylakoid membrane|ferredoxin-NADP+ reductase activity|photosynthesis</t>
  </si>
  <si>
    <t>J2O13_02G004886</t>
  </si>
  <si>
    <t>6.27E-17</t>
  </si>
  <si>
    <t>1.96E-15</t>
  </si>
  <si>
    <t>TLP1</t>
  </si>
  <si>
    <t>Thaumatin-like protein 1</t>
  </si>
  <si>
    <t>GO:0006952,GO:0009617,GO:0009723</t>
  </si>
  <si>
    <t>defense response|response to bacterium|response to ethylene</t>
  </si>
  <si>
    <t>J2O13_02G004887</t>
  </si>
  <si>
    <t>3.74E-06</t>
  </si>
  <si>
    <t>2.41E-05</t>
  </si>
  <si>
    <t>HSP90</t>
  </si>
  <si>
    <t>Endoplasmin homolog</t>
  </si>
  <si>
    <t>ko04141,ko04151,ko04657,ko04915,ko04918,ko04626,ko05200,ko05207,ko05215,ko05132,ko05417,ko05418</t>
  </si>
  <si>
    <t>Protein processing in endoplasmic reticulum|PI3K-Akt signaling pathway|IL-17 signaling pathway|Estrogen signaling pathway|Thyroid hormone synthesis|Plant-pathogen interaction|Pathways in cancer|Chemical carcinogenesis - receptor activation|Prostate cancer|Salmonella infection|Lipid and atherosclerosis|Fluid shear stress and atherosclerosis</t>
  </si>
  <si>
    <t>GO:0005788,GO:0005524,GO:0016887,GO:0140662,GO:0051082</t>
  </si>
  <si>
    <t>endoplasmic reticulum lumen|ATP binding|ATP hydrolysis activity|ATP-dependent protein folding chaperone|unfolded protein binding</t>
  </si>
  <si>
    <t>J2O13_02G004893</t>
  </si>
  <si>
    <t>9.36E-07</t>
  </si>
  <si>
    <t>6.78E-06</t>
  </si>
  <si>
    <t>CLV1</t>
  </si>
  <si>
    <t>Receptor protein kinase CLAVATA1</t>
  </si>
  <si>
    <t>GO:0016020,GO:0000325,GO:0005886,GO:0009506,GO:0005524,GO:0043621,GO:0106310,GO:0004674,GO:0033612,GO:0030154,GO:0036289,GO:0009934</t>
  </si>
  <si>
    <t>membrane|plant-type vacuole|plasma membrane|plasmodesma|ATP binding|protein self-association|protein serine kinase activity|protein serine/threonine kinase activity|receptor serine/threonine kinase binding|cell differentiation|peptidyl-serine autophosphorylation|regulation of meristem structural organization</t>
  </si>
  <si>
    <t>J2O13_02G004895</t>
  </si>
  <si>
    <t>2.21E-08</t>
  </si>
  <si>
    <t>2.16E-07</t>
  </si>
  <si>
    <t>J2O13_02G004897</t>
  </si>
  <si>
    <t>DOR</t>
  </si>
  <si>
    <t>F-box protein DOR</t>
  </si>
  <si>
    <t>GO:0009738,GO:0042631,GO:0009788,GO:0016567,GO:0010119,GO:0009737,GO:0009414,GO:0010118</t>
  </si>
  <si>
    <t>abscisic acid-activated signaling pathway|cellular response to water deprivation|negative regulation of abscisic acid-activated signaling pathway|protein ubiquitination|regulation of stomatal movement|response to abscisic acid|response to water deprivation|stomatal movement</t>
  </si>
  <si>
    <t>J2O13_02G004913</t>
  </si>
  <si>
    <t>1.00E-22</t>
  </si>
  <si>
    <t>5.66E-21</t>
  </si>
  <si>
    <t>CAD6</t>
  </si>
  <si>
    <t>Probable cinnamyl alcohol dehydrogenase 6</t>
  </si>
  <si>
    <t>GO:0045551,GO:0016616,GO:0052747,GO:0008270,GO:0009809</t>
  </si>
  <si>
    <t>cinnamyl-alcohol dehydrogenase activity|oxidoreductase activity, acting on the CH-OH group of donors, NAD or NADP as acceptor|sinapyl alcohol dehydrogenase activity|zinc ion binding|lignin biosynthetic process</t>
  </si>
  <si>
    <t>J2O13_02G004917</t>
  </si>
  <si>
    <t>CPK29</t>
  </si>
  <si>
    <t>Calcium-dependent protein kinase 29</t>
  </si>
  <si>
    <t>ko04626,ko05145</t>
  </si>
  <si>
    <t>Plant-pathogen interaction|Toxoplasmosis</t>
  </si>
  <si>
    <t>GO:0005737,GO:0005739,GO:0005634,GO:0005886,GO:0005524,GO:0005509,GO:0009931,GO:0005516,GO:0004683,GO:0106310,GO:0035556,GO:0018105,GO:0046777</t>
  </si>
  <si>
    <t>cytoplasm|mitochondrion|nucleus|plasma membrane|ATP binding|calcium ion binding|calcium-dependent protein serine/threonine kinase activity|calmodulin binding|calmodulin-dependent protein kinase activity|protein serine kinase activity|intracellular signal transduction|peptidyl-serine phosphorylation|protein autophosphorylation</t>
  </si>
  <si>
    <t>J2O13_02G004924</t>
  </si>
  <si>
    <t>J2O13_02G004927</t>
  </si>
  <si>
    <t>J2O13_02G004929</t>
  </si>
  <si>
    <t>ODC</t>
  </si>
  <si>
    <t>Ornithine decarboxylase</t>
  </si>
  <si>
    <t>GO:0005737,GO:0004586,GO:0033387</t>
  </si>
  <si>
    <t>cytoplasm|ornithine decarboxylase activity|putrescine biosynthetic process from ornithine</t>
  </si>
  <si>
    <t>J2O13_02G004935</t>
  </si>
  <si>
    <t>2.44E-07</t>
  </si>
  <si>
    <t>1.97E-06</t>
  </si>
  <si>
    <t>HMGB9</t>
  </si>
  <si>
    <t>High mobility group B protein 9</t>
  </si>
  <si>
    <t>GO:0005634,GO:0003677,GO:0003700,GO:0000741,GO:0010197,GO:0006355</t>
  </si>
  <si>
    <t>nucleus|DNA binding|DNA-binding transcription factor activity|karyogamy|polar nucleus fusion|regulation of DNA-templated transcription</t>
  </si>
  <si>
    <t>J2O13_02G004941</t>
  </si>
  <si>
    <t>3.72E-10</t>
  </si>
  <si>
    <t>4.79E-09</t>
  </si>
  <si>
    <t>AMY2</t>
  </si>
  <si>
    <t>Probable alpha-amylase 2</t>
  </si>
  <si>
    <t>GO:0005829,GO:0005576,GO:0004556,GO:0005509,GO:0005987</t>
  </si>
  <si>
    <t>cytosol|extracellular region|alpha-amylase activity|calcium ion binding|sucrose catabolic process</t>
  </si>
  <si>
    <t>J2O13_02G004943</t>
  </si>
  <si>
    <t>1.60E-05</t>
  </si>
  <si>
    <t>9.05E-05</t>
  </si>
  <si>
    <t>Os10g0415800</t>
  </si>
  <si>
    <t>Acylamino-acid-releasing enzyme 2</t>
  </si>
  <si>
    <t>ko04614</t>
  </si>
  <si>
    <t>Renin-angiotensin system</t>
  </si>
  <si>
    <t>GO:0005737,GO:0004252,GO:0006508</t>
  </si>
  <si>
    <t>cytoplasm|serine-type endopeptidase activity|proteolysis</t>
  </si>
  <si>
    <t>J2O13_02G004965</t>
  </si>
  <si>
    <t>FTSH</t>
  </si>
  <si>
    <t>ATP-dependent zinc metalloprotease FTSH, chloroplastic</t>
  </si>
  <si>
    <t>GO:0031969,GO:0009534,GO:0005524,GO:0016887,GO:0004176,GO:0046872,GO:0004222,GO:0007049,GO:0051301,GO:0006508</t>
  </si>
  <si>
    <t>chloroplast membrane|chloroplast thylakoid|ATP binding|ATP hydrolysis activity|ATP-dependent peptidase activity|metal ion binding|metalloendopeptidase activity|cell cycle|cell division|proteolysis</t>
  </si>
  <si>
    <t>J2O13_02G004977</t>
  </si>
  <si>
    <t>1.11E-09</t>
  </si>
  <si>
    <t>1.32E-08</t>
  </si>
  <si>
    <t>CRP1</t>
  </si>
  <si>
    <t>Pentatricopeptide repeat-containing protein At5g42310, chloroplastic</t>
  </si>
  <si>
    <t>GO:0009507,GO:0042644,GO:0009570,GO:0009534,GO:0042651,GO:0003729,GO:0003727,GO:0010239,GO:0009658,GO:0006417</t>
  </si>
  <si>
    <t>chloroplast|chloroplast nucleoid|chloroplast stroma|chloroplast thylakoid|thylakoid membrane|mRNA binding|single-stranded RNA binding|chloroplast mRNA processing|chloroplast organization|regulation of translation</t>
  </si>
  <si>
    <t>J2O13_02G004980</t>
  </si>
  <si>
    <t>FMO1</t>
  </si>
  <si>
    <t>Probable flavin-containing monooxygenase 1</t>
  </si>
  <si>
    <t>ko00430,ko00982</t>
  </si>
  <si>
    <t>Taurine and hypotaurine metabolism|Drug metabolism - cytochrome P450</t>
  </si>
  <si>
    <t>GO:0050660,GO:0004499,GO:0050661,GO:0031543,GO:0062047,GO:0071456,GO:0042742,GO:0050832,GO:0062034,GO:0009626,GO:0051707,GO:0009627</t>
  </si>
  <si>
    <t>flavin adenine dinucleotide binding|N,N-dimethylaniline monooxygenase activity|NADP binding|peptidyl-proline dioxygenase activity|pipecolic acid N-hydroxylase|cellular response to hypoxia|defense response to bacterium|defense response to fungus|L-pipecolic acid biosynthetic process|plant-type hypersensitive response|response to other organism|systemic acquired resistance</t>
  </si>
  <si>
    <t>J2O13_02G004993</t>
  </si>
  <si>
    <t>8.74E-11</t>
  </si>
  <si>
    <t>1.22E-09</t>
  </si>
  <si>
    <t>PIX13</t>
  </si>
  <si>
    <t>Probable serine/threonine-protein kinase PIX13</t>
  </si>
  <si>
    <t>GO:0005634,GO:0005886,GO:0005524,GO:0106310,GO:0004674,GO:0006952,GO:0006468</t>
  </si>
  <si>
    <t>nucleus|plasma membrane|ATP binding|protein serine kinase activity|protein serine/threonine kinase activity|defense response|protein phosphorylation</t>
  </si>
  <si>
    <t>J2O13_02G005009</t>
  </si>
  <si>
    <t>2.31E-25</t>
  </si>
  <si>
    <t>1.66E-23</t>
  </si>
  <si>
    <t>J2O13_02G005010</t>
  </si>
  <si>
    <t>2.43E-21</t>
  </si>
  <si>
    <t>PP2C27</t>
  </si>
  <si>
    <t>Probable protein phosphatase 2C 27</t>
  </si>
  <si>
    <t>GO:0005737,GO:0005634,GO:0046872,GO:0017018,GO:0006470,GO:0009737,GO:0009651,GO:0009414</t>
  </si>
  <si>
    <t>cytoplasm|nucleus|metal ion binding|myosin phosphatase activity|protein dephosphorylation|response to abscisic acid|response to salt stress|response to water deprivation</t>
  </si>
  <si>
    <t>J2O13_02G005013</t>
  </si>
  <si>
    <t>4.68E-11</t>
  </si>
  <si>
    <t>6.86E-10</t>
  </si>
  <si>
    <t>GAPB</t>
  </si>
  <si>
    <t>Glyceraldehyde-3-phosphate dehydrogenase B, chloroplastic</t>
  </si>
  <si>
    <t>ko00710</t>
  </si>
  <si>
    <t>Carbon fixation in photosynthetic organisms</t>
  </si>
  <si>
    <t>GO:0009507,GO:0047100,GO:0051287,GO:0050661,GO:0006006,GO:0019253</t>
  </si>
  <si>
    <t>chloroplast|glyceraldehyde-3-phosphate dehydrogenase (NADP+) (phosphorylating) activity|NAD binding|NADP binding|glucose metabolic process|reductive pentose-phosphate cycle</t>
  </si>
  <si>
    <t>J2O13_02G005015</t>
  </si>
  <si>
    <t>8.17E-25</t>
  </si>
  <si>
    <t>5.57E-23</t>
  </si>
  <si>
    <t>PAT21</t>
  </si>
  <si>
    <t>Protein S-acyltransferase 21</t>
  </si>
  <si>
    <t>GO:0005783,GO:0005794,GO:0005886,GO:0019706,GO:0016417,GO:1990918,GO:0018230,GO:0018345,GO:0006612</t>
  </si>
  <si>
    <t>endoplasmic reticulum|Golgi apparatus|plasma membrane|protein-cysteine S-palmitoyltransferase activity|S-acyltransferase activity|double-strand break repair involved in meiotic recombination|peptidyl-L-cysteine S-palmitoylation|protein palmitoylation|protein targeting to membrane</t>
  </si>
  <si>
    <t>J2O13_02G005024</t>
  </si>
  <si>
    <t>PMI1</t>
  </si>
  <si>
    <t>Protein PLASTID MOVEMENT IMPAIRED 1</t>
  </si>
  <si>
    <t>GO:0005829,GO:0005634,GO:0005886,GO:1902265,GO:0009738,GO:0030048,GO:0009903,GO:0009902,GO:0031022,GO:0009787,GO:0010029,GO:0009637,GO:0006970</t>
  </si>
  <si>
    <t>cytosol|nucleus|plasma membrane|abscisic acid homeostasis|abscisic acid-activated signaling pathway|actin filament-based movement|chloroplast avoidance movement|chloroplast relocation|nuclear migration along microfilament|regulation of abscisic acid-activated signaling pathway|regulation of seed germination|response to blue light|response to osmotic stress</t>
  </si>
  <si>
    <t>J2O13_02G005028</t>
  </si>
  <si>
    <t>8.03E-14</t>
  </si>
  <si>
    <t>1.73E-12</t>
  </si>
  <si>
    <t>PHT1-9</t>
  </si>
  <si>
    <t>Probable inorganic phosphate transporter 1-9</t>
  </si>
  <si>
    <t>GO:0005886,GO:0015415,GO:0015114,GO:0015293,GO:1901684,GO:0006817</t>
  </si>
  <si>
    <t>plasma membrane|ATPase-coupled phosphate ion transmembrane transporter activity|phosphate ion transmembrane transporter activity|symporter activity|arsenate ion transmembrane transport|phosphate ion transport</t>
  </si>
  <si>
    <t>J2O13_02G005033</t>
  </si>
  <si>
    <t>3.28E-14</t>
  </si>
  <si>
    <t>7.37E-13</t>
  </si>
  <si>
    <t>PPD3</t>
  </si>
  <si>
    <t>PsbP domain-containing protein 3, chloroplastic</t>
  </si>
  <si>
    <t>GO:0009507,GO:0009543,GO:0009535,GO:0019898,GO:0005739,GO:0009654,GO:0009579,GO:0031977,GO:0005509,GO:0015979</t>
  </si>
  <si>
    <t>chloroplast|chloroplast thylakoid lumen|chloroplast thylakoid membrane|extrinsic component of membrane|mitochondrion|photosystem II oxygen evolving complex|thylakoid|thylakoid lumen|calcium ion binding|photosynthesis</t>
  </si>
  <si>
    <t>J2O13_02G005035</t>
  </si>
  <si>
    <t>6.36E-22</t>
  </si>
  <si>
    <t>3.34E-20</t>
  </si>
  <si>
    <t>CCR1</t>
  </si>
  <si>
    <t>Cinnamoyl-CoA reductase 1</t>
  </si>
  <si>
    <t>GO:0016621,GO:0016616,GO:0009809,GO:0009699</t>
  </si>
  <si>
    <t>cinnamoyl-CoA reductase activity|oxidoreductase activity, acting on the CH-OH group of donors, NAD or NADP as acceptor|lignin biosynthetic process|phenylpropanoid biosynthetic process</t>
  </si>
  <si>
    <t>J2O13_02G005036</t>
  </si>
  <si>
    <t>1.36E-05</t>
  </si>
  <si>
    <t>7.80E-05</t>
  </si>
  <si>
    <t>HMGR1</t>
  </si>
  <si>
    <t>3-hydroxy-3-methylglutaryl-coenzyme A reductase 1</t>
  </si>
  <si>
    <t>ko00900,ko04152,ko04976</t>
  </si>
  <si>
    <t>Terpenoid backbone biosynthesis|AMPK signaling pathway|Bile secretion</t>
  </si>
  <si>
    <t>GO:0005789,GO:0031966,GO:0042170,GO:0004420,GO:0015936,GO:0008299</t>
  </si>
  <si>
    <t>endoplasmic reticulum membrane|mitochondrial membrane|plastid membrane|hydroxymethylglutaryl-CoA reductase (NADPH) activity|coenzyme A metabolic process|isoprenoid biosynthetic process</t>
  </si>
  <si>
    <t>J2O13_02G005047</t>
  </si>
  <si>
    <t>BUBR1</t>
  </si>
  <si>
    <t>Mitotic spindle checkpoint protein BUBR1</t>
  </si>
  <si>
    <t>ko04110,ko04111,ko04113,ko04114,ko04914</t>
  </si>
  <si>
    <t>Cell cycle|Cell cycle - yeast|Meiosis - yeast|Oocyte meiosis|Progesterone-mediated oocyte maturation</t>
  </si>
  <si>
    <t>GO:0010369,GO:0005737,GO:0000776,GO:0005828,GO:0005634,GO:0005876,GO:0004672,GO:0051754,GO:0007094</t>
  </si>
  <si>
    <t>chromocenter|cytoplasm|kinetochore|kinetochore microtubule|nucleus|spindle microtubule|protein kinase activity|meiotic sister chromatid cohesion, centromeric|mitotic spindle assembly checkpoint signaling</t>
  </si>
  <si>
    <t>J2O13_02G005048</t>
  </si>
  <si>
    <t>4.46E-06</t>
  </si>
  <si>
    <t>2.82E-05</t>
  </si>
  <si>
    <t>CP12-3</t>
  </si>
  <si>
    <t>Calvin cycle protein CP12-3, chloroplastic</t>
  </si>
  <si>
    <t>GO:0009507,GO:0032991,GO:0005507,GO:0016151,GO:0071454,GO:0034605,GO:0080153,GO:0019253</t>
  </si>
  <si>
    <t>chloroplast|protein-containing complex|copper ion binding|nickel cation binding|cellular response to anoxia|cellular response to heat|negative regulation of reductive pentose-phosphate cycle|reductive pentose-phosphate cycle</t>
  </si>
  <si>
    <t>J2O13_02G005052</t>
  </si>
  <si>
    <t>VLG</t>
  </si>
  <si>
    <t>Protein VACUOLELESS GAMETOPHYTES</t>
  </si>
  <si>
    <t>GO:0009561,GO:0055046,GO:0009617,GO:0002237,GO:0002238,GO:0002240</t>
  </si>
  <si>
    <t>megagametogenesis|microgametogenesis|response to bacterium|response to molecule of bacterial origin|response to molecule of fungal origin|response to molecule of oomycetes origin</t>
  </si>
  <si>
    <t>J2O13_02G005055</t>
  </si>
  <si>
    <t>2.74E-12</t>
  </si>
  <si>
    <t>4.81E-11</t>
  </si>
  <si>
    <t>J2O13_02G005061</t>
  </si>
  <si>
    <t>3.44E-07</t>
  </si>
  <si>
    <t>2.71E-06</t>
  </si>
  <si>
    <t>CML37</t>
  </si>
  <si>
    <t>Calcium-binding protein CML37</t>
  </si>
  <si>
    <t>GO:0005737,GO:0005634,GO:0005509,GO:0030234,GO:0071456,GO:0010193</t>
  </si>
  <si>
    <t>cytoplasm|nucleus|calcium ion binding|enzyme regulator activity|cellular response to hypoxia|response to ozone</t>
  </si>
  <si>
    <t>J2O13_03G005087</t>
  </si>
  <si>
    <t>3.08E-07</t>
  </si>
  <si>
    <t>2.45E-06</t>
  </si>
  <si>
    <t>J2O13_03G005090</t>
  </si>
  <si>
    <t>2.63E-09</t>
  </si>
  <si>
    <t>2.98E-08</t>
  </si>
  <si>
    <t>J2O13_03G005093</t>
  </si>
  <si>
    <t>5.81E-05</t>
  </si>
  <si>
    <t>CYP716A12</t>
  </si>
  <si>
    <t>GO:0016020,GO:0020037,GO:0005506,GO:0004497,GO:0016491,GO:0016709,GO:0102374,GO:0102373,GO:0016135,GO:0016125</t>
  </si>
  <si>
    <t>membrane|heme binding|iron ion binding|monooxygenase activity|oxidoreductase activity|oxidoreductase activity, acting on paired donors, with incorporation or reduction of molecular oxygen, NAD(P)H as one donor, and incorporation of one atom of oxygen|ursolic aldehyde 28-monooxygenase activity|uvaol dehydrogenase activity|saponin biosynthetic process|sterol metabolic process</t>
  </si>
  <si>
    <t>J2O13_03G005104</t>
  </si>
  <si>
    <t>2.69E-26</t>
  </si>
  <si>
    <t>2.14E-24</t>
  </si>
  <si>
    <t>FLA14</t>
  </si>
  <si>
    <t>Fasciclin-like arabinogalactan protein 14</t>
  </si>
  <si>
    <t>J2O13_03G005107</t>
  </si>
  <si>
    <t>2.00E-07</t>
  </si>
  <si>
    <t>1.64E-06</t>
  </si>
  <si>
    <t>MYB2</t>
  </si>
  <si>
    <t>Transcription factor MYB1</t>
  </si>
  <si>
    <t>GO:0005634,GO:0003677,GO:0009813</t>
  </si>
  <si>
    <t>nucleus|DNA binding|flavonoid biosynthetic process</t>
  </si>
  <si>
    <t>J2O13_03G005108</t>
  </si>
  <si>
    <t>RPA2A</t>
  </si>
  <si>
    <t>Replication protein A 32 kDa subunit A</t>
  </si>
  <si>
    <t>ko03030,ko03420,ko03430,ko03440,ko03460</t>
  </si>
  <si>
    <t>DNA replication|Nucleotide excision repair|Mismatch repair|Homologous recombination|Fanconi anemia pathway</t>
  </si>
  <si>
    <t>GO:0000781,GO:0005662,GO:0005634,GO:0035861,GO:0003697,GO:0006281,GO:0006260,GO:0000724,GO:0006289</t>
  </si>
  <si>
    <t>chromosome, telomeric region|DNA replication factor A complex|nucleus|site of double-strand break|single-stranded DNA binding|DNA repair|DNA replication|double-strand break repair via homologous recombination|nucleotide-excision repair</t>
  </si>
  <si>
    <t>J2O13_03G005109</t>
  </si>
  <si>
    <t>ABC1K1</t>
  </si>
  <si>
    <t>Protein ACTIVITY OF BC1 COMPLEX KINASE 1, chloroplastic</t>
  </si>
  <si>
    <t>ko03015,ko05134</t>
  </si>
  <si>
    <t>mRNA surveillance pathway|Legionellosis</t>
  </si>
  <si>
    <t>GO:0009507,GO:0005886,GO:0010287,GO:0005524,GO:0004672,GO:0106310,GO:0004674,GO:0006995,GO:0015996,GO:0009767,GO:0080177,GO:1904143,GO:1902326,GO:0006468,GO:0031540,GO:0010109,GO:1902171,GO:0009637,GO:1901562,GO:0080183,GO:0010114,GO:0009414,GO:0010027</t>
  </si>
  <si>
    <t>chloroplast|plasma membrane|plastoglobule|ATP binding|protein kinase activity|protein serine kinase activity|protein serine/threonine kinase activity|cellular response to nitrogen starvation|chlorophyll catabolic process|photosynthetic electron transport chain|plastoglobule organization|positive regulation of carotenoid biosynthetic process|positive regulation of chlorophyll biosynthetic process|protein phosphorylation|regulation of anthocyanin biosynthetic process|regulation of photosynthesis|regulation of tocopherol cyclase activity|response to blue light|response to paraquat|response to photooxidative stress|response to red light|response to water deprivation|thylakoid membrane organization</t>
  </si>
  <si>
    <t>J2O13_03G005112</t>
  </si>
  <si>
    <t>7.23E-06</t>
  </si>
  <si>
    <t>4.40E-05</t>
  </si>
  <si>
    <t>At5g24080</t>
  </si>
  <si>
    <t>G-type lectin S-receptor-like serine/threonine-protein kinase At5g24080</t>
  </si>
  <si>
    <t>J2O13_03G005121</t>
  </si>
  <si>
    <t>1.25E-09</t>
  </si>
  <si>
    <t>1.47E-08</t>
  </si>
  <si>
    <t>PPOX2</t>
  </si>
  <si>
    <t>Protoporphyrinogen oxidase 2, chloroplastic/mitochondrial</t>
  </si>
  <si>
    <t>GO:0009507,GO:0009941,GO:0005739,GO:0009536,GO:0016491,GO:0004729,GO:0015995,GO:0009793,GO:0006782</t>
  </si>
  <si>
    <t>chloroplast|chloroplast envelope|mitochondrion|plastid|oxidoreductase activity|oxygen-dependent protoporphyrinogen oxidase activity|chlorophyll biosynthetic process|embryo development ending in seed dormancy|protoporphyrinogen IX biosynthetic process</t>
  </si>
  <si>
    <t>J2O13_03G005129</t>
  </si>
  <si>
    <t>5.56E-11</t>
  </si>
  <si>
    <t>8.07E-10</t>
  </si>
  <si>
    <t>At2g24580</t>
  </si>
  <si>
    <t>Probable sarcosine oxidase</t>
  </si>
  <si>
    <t>ko00260,ko00310,ko04146</t>
  </si>
  <si>
    <t>Glycine, serine and threonine metabolism|Lysine degradation|Peroxisome</t>
  </si>
  <si>
    <t>GO:0050660,GO:0008115</t>
  </si>
  <si>
    <t>flavin adenine dinucleotide binding|sarcosine oxidase activity</t>
  </si>
  <si>
    <t>J2O13_03G005136</t>
  </si>
  <si>
    <t>3.09E-27</t>
  </si>
  <si>
    <t>2.69E-25</t>
  </si>
  <si>
    <t>UTR7</t>
  </si>
  <si>
    <t>UDP-galactose/UDP-glucose transporter 7</t>
  </si>
  <si>
    <t>GO:0005794,GO:0000139,GO:0015297,GO:0005459,GO:0005460,GO:0008643,GO:0048527,GO:0080147,GO:0072334,GO:0015786</t>
  </si>
  <si>
    <t>Golgi apparatus|Golgi membrane|antiporter activity|UDP-galactose transmembrane transporter activity|UDP-glucose transmembrane transporter activity|carbohydrate transport|lateral root development|root hair cell development|UDP-galactose transmembrane transport|UDP-glucose transmembrane transport</t>
  </si>
  <si>
    <t>J2O13_03G005137</t>
  </si>
  <si>
    <t>1.84E-11</t>
  </si>
  <si>
    <t>2.87E-10</t>
  </si>
  <si>
    <t>REM15.15</t>
  </si>
  <si>
    <t>Putative B3 domain-containing protein REM15</t>
  </si>
  <si>
    <t>GO:0005634,GO:0043565,GO:0009793,GO:0010601</t>
  </si>
  <si>
    <t>nucleus|sequence-specific DNA binding|embryo development ending in seed dormancy|positive regulation of auxin biosynthetic process</t>
  </si>
  <si>
    <t>J2O13_03G005147</t>
  </si>
  <si>
    <t>GLR2.7</t>
  </si>
  <si>
    <t>Glutamate receptor 2.7</t>
  </si>
  <si>
    <t>GO:0000325,GO:0005886,GO:0005262,GO:0008066,GO:0015276,GO:0038023,GO:0006816,GO:0019722,GO:0071230</t>
  </si>
  <si>
    <t>plant-type vacuole|plasma membrane|calcium channel activity|glutamate receptor activity|ligand-gated ion channel activity|signaling receptor activity|calcium ion transport|calcium-mediated signaling|cellular response to amino acid stimulus</t>
  </si>
  <si>
    <t>J2O13_03G005163</t>
  </si>
  <si>
    <t>1.42E-05</t>
  </si>
  <si>
    <t>8.12E-05</t>
  </si>
  <si>
    <t>J2O13_03G005168</t>
  </si>
  <si>
    <t>J2O13_03G005176</t>
  </si>
  <si>
    <t>GPX1</t>
  </si>
  <si>
    <t>Phospholipid hydroperoxide glutathione peroxidase 1, chloroplastic</t>
  </si>
  <si>
    <t>ko00480,ko04918,ko05014,ko05016,ko05022</t>
  </si>
  <si>
    <t>Glutathione metabolism|Thyroid hormone synthesis|Amyotrophic lateral sclerosis|Huntington disease|Pathways of neurodegeneration - multiple diseases</t>
  </si>
  <si>
    <t>GO:0009507,GO:0009941,GO:0009570,GO:0009535,GO:0005773,GO:0004602,GO:0004601,GO:0047066,GO:0006979</t>
  </si>
  <si>
    <t>chloroplast|chloroplast envelope|chloroplast stroma|chloroplast thylakoid membrane|vacuole|glutathione peroxidase activity|peroxidase activity|phospholipid-hydroperoxide glutathione peroxidase activity|response to oxidative stress</t>
  </si>
  <si>
    <t>J2O13_03G005179</t>
  </si>
  <si>
    <t>2.74E-18</t>
  </si>
  <si>
    <t>1.02E-16</t>
  </si>
  <si>
    <t>J2O13_03G005180</t>
  </si>
  <si>
    <t>PGR3</t>
  </si>
  <si>
    <t>Pentatricopeptide repeat-containing protein At4g31850, chloroplastic</t>
  </si>
  <si>
    <t>GO:0009507,GO:0003729,GO:0032544,GO:0043489,GO:0006412</t>
  </si>
  <si>
    <t>chloroplast|mRNA binding|plastid translation|RNA stabilization|translation</t>
  </si>
  <si>
    <t>J2O13_03G005186</t>
  </si>
  <si>
    <t>J2O13_03G005187</t>
  </si>
  <si>
    <t>8.31E-10</t>
  </si>
  <si>
    <t>ko00564,ko00565</t>
  </si>
  <si>
    <t>Glycerophospholipid metabolism|Ether lipid metabolism</t>
  </si>
  <si>
    <t>J2O13_03G005190</t>
  </si>
  <si>
    <t>2.21E-05</t>
  </si>
  <si>
    <t>CM2</t>
  </si>
  <si>
    <t>Chorismate mutase 2</t>
  </si>
  <si>
    <t>ko00400</t>
  </si>
  <si>
    <t>Phenylalanine, tyrosine and tryptophan biosynthesis</t>
  </si>
  <si>
    <t>GO:0005737,GO:0005829,GO:0004106,GO:0042803,GO:0008652,GO:0009073,GO:0046417,GO:1901747</t>
  </si>
  <si>
    <t>cytoplasm|cytosol|chorismate mutase activity|protein homodimerization activity|amino acid biosynthetic process|aromatic amino acid family biosynthetic process|chorismate metabolic process|prephenate(2-) biosynthetic process</t>
  </si>
  <si>
    <t>J2O13_03G005193</t>
  </si>
  <si>
    <t>1.23E-43</t>
  </si>
  <si>
    <t>WRKY40</t>
  </si>
  <si>
    <t>Probable WRKY transcription factor 40</t>
  </si>
  <si>
    <t>GO:0005634,GO:0003700,GO:0000976,GO:0042742,GO:0050832,GO:0045892,GO:0031347,GO:0002237,GO:0009751,GO:0009611</t>
  </si>
  <si>
    <t>nucleus|DNA-binding transcription factor activity|transcription cis-regulatory region binding|defense response to bacterium|defense response to fungus|negative regulation of DNA-templated transcription|regulation of defense response|response to molecule of bacterial origin|response to salicylic acid|response to wounding</t>
  </si>
  <si>
    <t>J2O13_03G005196</t>
  </si>
  <si>
    <t>J2O13_03G005200</t>
  </si>
  <si>
    <t>3.22E-22</t>
  </si>
  <si>
    <t>1.76E-20</t>
  </si>
  <si>
    <t>GAPN</t>
  </si>
  <si>
    <t>NADP-dependent glyceraldehyde-3-phosphate dehydrogenase</t>
  </si>
  <si>
    <t>ko00010,ko00030</t>
  </si>
  <si>
    <t>Glycolysis / Gluconeogenesis|Pentose phosphate pathway</t>
  </si>
  <si>
    <t>GO:0005737,GO:0008886</t>
  </si>
  <si>
    <t>cytoplasm|glyceraldehyde-3-phosphate dehydrogenase (NADP+) (non-phosphorylating) activity</t>
  </si>
  <si>
    <t>J2O13_03G005209</t>
  </si>
  <si>
    <t>9.70E-07</t>
  </si>
  <si>
    <t>7.01E-06</t>
  </si>
  <si>
    <t>ZFP3</t>
  </si>
  <si>
    <t>Zinc finger protein 3</t>
  </si>
  <si>
    <t>GO:0005634,GO:0003700,GO:0046872,GO:0000976,GO:0009738,GO:0009788,GO:0006355</t>
  </si>
  <si>
    <t>nucleus|DNA-binding transcription factor activity|metal ion binding|transcription cis-regulatory region binding|abscisic acid-activated signaling pathway|negative regulation of abscisic acid-activated signaling pathway|regulation of DNA-templated transcription</t>
  </si>
  <si>
    <t>J2O13_03G005242</t>
  </si>
  <si>
    <t>SPS1</t>
  </si>
  <si>
    <t>Probable sucrose-phosphate synthase 1</t>
  </si>
  <si>
    <t>GO:0016157,GO:0046524,GO:0005986</t>
  </si>
  <si>
    <t>sucrose synthase activity|sucrose-phosphate synthase activity|sucrose biosynthetic process</t>
  </si>
  <si>
    <t>J2O13_03G005251</t>
  </si>
  <si>
    <t>1.72E-21</t>
  </si>
  <si>
    <t>8.78E-20</t>
  </si>
  <si>
    <t>APT5</t>
  </si>
  <si>
    <t>Adenine phosphoribosyltransferase 5</t>
  </si>
  <si>
    <t>GO:0005829,GO:0003999,GO:0006168,GO:0044209,GO:0006166</t>
  </si>
  <si>
    <t>cytosol|adenine phosphoribosyltransferase activity|adenine salvage|AMP salvage|purine ribonucleoside salvage</t>
  </si>
  <si>
    <t>J2O13_03G005255</t>
  </si>
  <si>
    <t>2.02E-06</t>
  </si>
  <si>
    <t>UGNT1</t>
  </si>
  <si>
    <t>UDP-N-acetylglucosamine transporter UGNT1</t>
  </si>
  <si>
    <t>GO:0000139,GO:0015297,GO:0005338,GO:0005461,GO:0005463,GO:0005462,GO:0008643,GO:1990569</t>
  </si>
  <si>
    <t>Golgi membrane|antiporter activity|nucleotide-sugar transmembrane transporter activity|UDP-glucuronic acid transmembrane transporter activity|UDP-N-acetylgalactosamine transmembrane transporter activity|UDP-N-acetylglucosamine transmembrane transporter activity|carbohydrate transport|UDP-N-acetylglucosamine transmembrane transport</t>
  </si>
  <si>
    <t>J2O13_03G005256</t>
  </si>
  <si>
    <t>1.34E-08</t>
  </si>
  <si>
    <t>1.36E-07</t>
  </si>
  <si>
    <t>At1g56130</t>
  </si>
  <si>
    <t>Probable LRR receptor-like serine/threonine-protein kinase At1g56130</t>
  </si>
  <si>
    <t>J2O13_03G005267</t>
  </si>
  <si>
    <t>3.40E-07</t>
  </si>
  <si>
    <t>2.68E-06</t>
  </si>
  <si>
    <t>EBF1</t>
  </si>
  <si>
    <t>EIN3-binding F-box protein 1</t>
  </si>
  <si>
    <t>GO:0005737,GO:0005634,GO:0019005,GO:0009873,GO:0010105,GO:0016567,GO:0009723,GO:0031146,GO:0006511</t>
  </si>
  <si>
    <t>cytoplasm|nucleus|SCF ubiquitin ligase complex|ethylene-activated signaling pathway|negative regulation of ethylene-activated signaling pathway|protein ubiquitination|response to ethylene|SCF-dependent proteasomal ubiquitin-dependent protein catabolic process|ubiquitin-dependent protein catabolic process</t>
  </si>
  <si>
    <t>J2O13_03G005269</t>
  </si>
  <si>
    <t>SHN2</t>
  </si>
  <si>
    <t>Ethylene-responsive transcription factor SHINE 2</t>
  </si>
  <si>
    <t>J2O13_03G005272</t>
  </si>
  <si>
    <t>SPX2</t>
  </si>
  <si>
    <t>SPX domain-containing protein 2</t>
  </si>
  <si>
    <t>GO:0005634,GO:0071456,GO:0016036</t>
  </si>
  <si>
    <t>nucleus|cellular response to hypoxia|cellular response to phosphate starvation</t>
  </si>
  <si>
    <t>J2O13_03G005273</t>
  </si>
  <si>
    <t>1.89E-25</t>
  </si>
  <si>
    <t>1.37E-23</t>
  </si>
  <si>
    <t>CXE17</t>
  </si>
  <si>
    <t>Probable carboxylesterase 17</t>
  </si>
  <si>
    <t>J2O13_03G005281</t>
  </si>
  <si>
    <t>2.09E-15</t>
  </si>
  <si>
    <t>5.51E-14</t>
  </si>
  <si>
    <t>J2O13_03G005305</t>
  </si>
  <si>
    <t>ABCG32</t>
  </si>
  <si>
    <t>ABC transporter G family member 32</t>
  </si>
  <si>
    <t>ko02010</t>
  </si>
  <si>
    <t>ABC transporters</t>
  </si>
  <si>
    <t>GO:0005777,GO:0005886,GO:0140359,GO:0005524,GO:0080051</t>
  </si>
  <si>
    <t>peroxisome|plasma membrane|ABC-type transporter activity|ATP binding|cutin transport</t>
  </si>
  <si>
    <t>J2O13_03G005308</t>
  </si>
  <si>
    <t>2.37E-09</t>
  </si>
  <si>
    <t>2.70E-08</t>
  </si>
  <si>
    <t>CDT3</t>
  </si>
  <si>
    <t>Protein CADMIUM TOLERANCE 3</t>
  </si>
  <si>
    <t>GO:0009505,GO:0005886,GO:0046872,GO:0140487,GO:0055079,GO:1990748,GO:0071585,GO:0010273,GO:0010044,GO:0046686</t>
  </si>
  <si>
    <t>plant-type cell wall|plasma membrane|metal ion binding|metal ion sequestering activity|aluminum ion homeostasis|cellular detoxification|detoxification of cadmium ion|detoxification of copper ion|response to aluminum ion|response to cadmium ion</t>
  </si>
  <si>
    <t>J2O13_03G005322</t>
  </si>
  <si>
    <t>DVL10</t>
  </si>
  <si>
    <t>Small polypeptide DEVIL 10</t>
  </si>
  <si>
    <t>GO:0005886,GO:0071456,GO:0008285,GO:0048367</t>
  </si>
  <si>
    <t>plasma membrane|cellular response to hypoxia|negative regulation of cell population proliferation|shoot system development</t>
  </si>
  <si>
    <t>J2O13_03G005333</t>
  </si>
  <si>
    <t>3.46E-09</t>
  </si>
  <si>
    <t>3.85E-08</t>
  </si>
  <si>
    <t>LRX4</t>
  </si>
  <si>
    <t>Leucine-rich repeat extensin-like protein 4</t>
  </si>
  <si>
    <t>GO:0005576,GO:0009505,GO:0009506,GO:0005199,GO:0071555</t>
  </si>
  <si>
    <t>extracellular region|plant-type cell wall|plasmodesma|structural constituent of cell wall|cell wall organization</t>
  </si>
  <si>
    <t>J2O13_03G005334</t>
  </si>
  <si>
    <t>9.75E-05</t>
  </si>
  <si>
    <t>SULTR35</t>
  </si>
  <si>
    <t>Probable sulfate transporter 3.5</t>
  </si>
  <si>
    <t>J2O13_03G005336</t>
  </si>
  <si>
    <t>J2O13_03G005341</t>
  </si>
  <si>
    <t>AOP1.2</t>
  </si>
  <si>
    <t>Probable 2-oxoglutarate-dependent dioxygenase AOP1.2</t>
  </si>
  <si>
    <t>GO:0051213,GO:0046872</t>
  </si>
  <si>
    <t>dioxygenase activity|metal ion binding</t>
  </si>
  <si>
    <t>J2O13_03G005342</t>
  </si>
  <si>
    <t>6.57E-05</t>
  </si>
  <si>
    <t>AOP1</t>
  </si>
  <si>
    <t>Probable 2-oxoglutarate-dependent dioxygenase AOP1</t>
  </si>
  <si>
    <t>J2O13_03G005343</t>
  </si>
  <si>
    <t>J2O13_03G005363</t>
  </si>
  <si>
    <t>8.75E-15</t>
  </si>
  <si>
    <t>2.14E-13</t>
  </si>
  <si>
    <t>RZFP34</t>
  </si>
  <si>
    <t>Probable E3 ubiquitin-protein ligase RZFP34</t>
  </si>
  <si>
    <t>ko04120,ko04115,ko05162</t>
  </si>
  <si>
    <t>Ubiquitin mediated proteolysis|p53 signaling pathway|Measles</t>
  </si>
  <si>
    <t>GO:0005634,GO:0061630,GO:0008270,GO:0016567,GO:0006511</t>
  </si>
  <si>
    <t>nucleus|ubiquitin protein ligase activity|zinc ion binding|protein ubiquitination|ubiquitin-dependent protein catabolic process</t>
  </si>
  <si>
    <t>J2O13_03G005375</t>
  </si>
  <si>
    <t>GLB3</t>
  </si>
  <si>
    <t>Two-on-two hemoglobin-3</t>
  </si>
  <si>
    <t>GO:0020037,GO:0046872,GO:0019825,GO:0005344,GO:0015671,GO:0009733,GO:0001666</t>
  </si>
  <si>
    <t>heme binding|metal ion binding|oxygen binding|oxygen carrier activity|oxygen transport|response to auxin|response to hypoxia</t>
  </si>
  <si>
    <t>J2O13_03G005379</t>
  </si>
  <si>
    <t>2.41E-29</t>
  </si>
  <si>
    <t>2.53E-27</t>
  </si>
  <si>
    <t>TEB</t>
  </si>
  <si>
    <t>Helicase and polymerase-containing protein TEBICHI</t>
  </si>
  <si>
    <t>GO:0005524,GO:0003677,GO:0003887,GO:0004386,GO:0016787,GO:0007049,GO:0051301,GO:0006261,GO:0006302,GO:1990067,GO:0009933,GO:0009640,GO:2000011,GO:1902749,GO:0010468</t>
  </si>
  <si>
    <t>ATP binding|DNA binding|DNA-directed DNA polymerase activity|helicase activity|hydrolase activity|cell cycle|cell division|DNA-templated DNA replication|double-strand break repair|intrachromosomal DNA recombination|meristem structural organization|photomorphogenesis|regulation of adaxial/abaxial pattern formation|regulation of cell cycle G2/M phase transition|regulation of gene expression</t>
  </si>
  <si>
    <t>J2O13_03G005387</t>
  </si>
  <si>
    <t>PERK1</t>
  </si>
  <si>
    <t>Proline-rich receptor-like protein kinase PERK1</t>
  </si>
  <si>
    <t>GO:0005886,GO:0005524,GO:0004672,GO:0106310,GO:0004674,GO:0046777,GO:0009620,GO:0009611</t>
  </si>
  <si>
    <t>plasma membrane|ATP binding|protein kinase activity|protein serine kinase activity|protein serine/threonine kinase activity|protein autophosphorylation|response to fungus|response to wounding</t>
  </si>
  <si>
    <t>J2O13_03G005389</t>
  </si>
  <si>
    <t>4.66E-05</t>
  </si>
  <si>
    <t>At5g25630</t>
  </si>
  <si>
    <t>Pentatricopeptide repeat-containing protein At5g25630</t>
  </si>
  <si>
    <t>J2O13_03G005391</t>
  </si>
  <si>
    <t>2.44E-13</t>
  </si>
  <si>
    <t>4.89E-12</t>
  </si>
  <si>
    <t>At2g25737</t>
  </si>
  <si>
    <t>Sulfite exporter TauE/SafE family protein 3</t>
  </si>
  <si>
    <t>GO:0031464,GO:0016020,GO:0016567</t>
  </si>
  <si>
    <t>Cul4A-RING E3 ubiquitin ligase complex|membrane|protein ubiquitination</t>
  </si>
  <si>
    <t>J2O13_03G005398</t>
  </si>
  <si>
    <t>5.47E-10</t>
  </si>
  <si>
    <t>6.84E-09</t>
  </si>
  <si>
    <t>DAAT</t>
  </si>
  <si>
    <t>D-amino-acid transaminase, chloroplastic</t>
  </si>
  <si>
    <t>ko00790</t>
  </si>
  <si>
    <t>Folate biosynthesis</t>
  </si>
  <si>
    <t>GO:0009507,GO:0009570,GO:0008696,GO:0047810,GO:0019752,GO:0008153,GO:0046654</t>
  </si>
  <si>
    <t>chloroplast|chloroplast stroma|4-amino-4-deoxychorismate lyase activity|D-alanine:2-oxoglutarate aminotransferase activity|carboxylic acid metabolic process|para-aminobenzoic acid biosynthetic process|tetrahydrofolate biosynthetic process</t>
  </si>
  <si>
    <t>J2O13_03G005409</t>
  </si>
  <si>
    <t>2.93E-12</t>
  </si>
  <si>
    <t>5.13E-11</t>
  </si>
  <si>
    <t>BSPA</t>
  </si>
  <si>
    <t>Bark storage protein A</t>
  </si>
  <si>
    <t>GO:0003824,GO:0045735,GO:0009116</t>
  </si>
  <si>
    <t>catalytic activity|nutrient reservoir activity|nucleoside metabolic process</t>
  </si>
  <si>
    <t>J2O13_03G005410</t>
  </si>
  <si>
    <t>NPF1.2</t>
  </si>
  <si>
    <t>Protein NRT1/ PTR FAMILY 1.2</t>
  </si>
  <si>
    <t>GO:0016020,GO:0005634,GO:0005886,GO:0080054,GO:0022857,GO:0015706,GO:0055085</t>
  </si>
  <si>
    <t>membrane|nucleus|plasma membrane|low-affinity nitrate transmembrane transporter activity|transmembrane transporter activity|nitrate transmembrane transport|transmembrane transport</t>
  </si>
  <si>
    <t>J2O13_03G005414</t>
  </si>
  <si>
    <t>4.70E-33</t>
  </si>
  <si>
    <t>6.70E-31</t>
  </si>
  <si>
    <t>At1g67280</t>
  </si>
  <si>
    <t>Probable lactoylglutathione lyase, chloroplastic</t>
  </si>
  <si>
    <t>ko00620</t>
  </si>
  <si>
    <t>Pyruvate metabolism</t>
  </si>
  <si>
    <t>GO:0009507,GO:0009570,GO:0005737,GO:0005739,GO:0010319,GO:0009579,GO:0031977,GO:0004462,GO:0046872,GO:0019243,GO:0009409</t>
  </si>
  <si>
    <t>chloroplast|chloroplast stroma|cytoplasm|mitochondrion|stromule|thylakoid|thylakoid lumen|lactoylglutathione lyase activity|metal ion binding|methylglyoxal catabolic process to D-lactate via S-lactoyl-glutathione|response to cold</t>
  </si>
  <si>
    <t>J2O13_03G005422</t>
  </si>
  <si>
    <t>1.24E-08</t>
  </si>
  <si>
    <t>1.26E-07</t>
  </si>
  <si>
    <t>HSL2</t>
  </si>
  <si>
    <t>LRR receptor-like serine/threonine-protein kinase HSL2</t>
  </si>
  <si>
    <t>GO:0005886,GO:0005524,GO:0106310,GO:0004674,GO:0050829,GO:0010102,GO:0060866,GO:0006468,GO:0010468</t>
  </si>
  <si>
    <t>plasma membrane|ATP binding|protein serine kinase activity|protein serine/threonine kinase activity|defense response to Gram-negative bacterium|lateral root morphogenesis|leaf abscission|protein phosphorylation|regulation of gene expression</t>
  </si>
  <si>
    <t>J2O13_03G005425</t>
  </si>
  <si>
    <t>9.98E-29</t>
  </si>
  <si>
    <t>1.00E-26</t>
  </si>
  <si>
    <t>AHP4</t>
  </si>
  <si>
    <t>Histidine-containing phosphotransfer protein 4</t>
  </si>
  <si>
    <t>GO:0005737,GO:0005829,GO:0005634,GO:0009927,GO:0043424,GO:0009736,GO:0000160,GO:0016310</t>
  </si>
  <si>
    <t>cytoplasm|cytosol|nucleus|histidine phosphotransfer kinase activity|protein histidine kinase binding|cytokinin-activated signaling pathway|phosphorelay signal transduction system|phosphorylation</t>
  </si>
  <si>
    <t>J2O13_03G005433</t>
  </si>
  <si>
    <t>1.22E-20</t>
  </si>
  <si>
    <t>5.71E-19</t>
  </si>
  <si>
    <t>LFS</t>
  </si>
  <si>
    <t>Lachrymatory-factor synthase</t>
  </si>
  <si>
    <t>GO:0005773,GO:0043086</t>
  </si>
  <si>
    <t>vacuole|negative regulation of catalytic activity</t>
  </si>
  <si>
    <t>J2O13_03G005440</t>
  </si>
  <si>
    <t>ATHB-8</t>
  </si>
  <si>
    <t>Homeobox-leucine zipper protein ATHB-8</t>
  </si>
  <si>
    <t>GO:0005634,GO:0003700,GO:0008289,GO:0000976,GO:0030154,GO:0010014,GO:0045597,GO:0008284,GO:0010072,GO:0010067,GO:0009733,GO:0010089</t>
  </si>
  <si>
    <t>nucleus|DNA-binding transcription factor activity|lipid binding|transcription cis-regulatory region binding|cell differentiation|meristem initiation|positive regulation of cell differentiation|positive regulation of cell population proliferation|primary shoot apical meristem specification|procambium histogenesis|response to auxin|xylem development</t>
  </si>
  <si>
    <t>J2O13_03G005461</t>
  </si>
  <si>
    <t>6.21E-07</t>
  </si>
  <si>
    <t>4.66E-06</t>
  </si>
  <si>
    <t>SIGC</t>
  </si>
  <si>
    <t>RNA polymerase sigma factor sigC</t>
  </si>
  <si>
    <t>GO:0009507,GO:0003899,GO:0016987,GO:0000976,GO:0071482,GO:0006352,GO:2001141</t>
  </si>
  <si>
    <t>chloroplast|DNA-directed 5'-3' RNA polymerase activity|sigma factor activity|transcription cis-regulatory region binding|cellular response to light stimulus|DNA-templated transcription initiation|regulation of RNA biosynthetic process</t>
  </si>
  <si>
    <t>J2O13_03G005462</t>
  </si>
  <si>
    <t>4.52E-07</t>
  </si>
  <si>
    <t>3.48E-06</t>
  </si>
  <si>
    <t>At2g19810</t>
  </si>
  <si>
    <t>Zinc finger CCCH domain-containing protein 20</t>
  </si>
  <si>
    <t>GO:0005886,GO:0003677,GO:0003700,GO:0046872,GO:0051607,GO:0006355,GO:0006979</t>
  </si>
  <si>
    <t>plasma membrane|DNA binding|DNA-binding transcription factor activity|metal ion binding|defense response to virus|regulation of DNA-templated transcription|response to oxidative stress</t>
  </si>
  <si>
    <t>J2O13_03G005463</t>
  </si>
  <si>
    <t>5.41E-10</t>
  </si>
  <si>
    <t>6.78E-09</t>
  </si>
  <si>
    <t>RAX2</t>
  </si>
  <si>
    <t>Transcription factor RAX2</t>
  </si>
  <si>
    <t>GO:0005634,GO:0003677,GO:0003700,GO:0009785</t>
  </si>
  <si>
    <t>nucleus|DNA binding|DNA-binding transcription factor activity|blue light signaling pathway</t>
  </si>
  <si>
    <t>J2O13_03G005464</t>
  </si>
  <si>
    <t>J2O13_03G005471</t>
  </si>
  <si>
    <t>J2O13_03G005473</t>
  </si>
  <si>
    <t>3.26E-09</t>
  </si>
  <si>
    <t>3.65E-08</t>
  </si>
  <si>
    <t>J2O13_03G005485</t>
  </si>
  <si>
    <t>4.04E-14</t>
  </si>
  <si>
    <t>9.03E-13</t>
  </si>
  <si>
    <t>ko00190,ko04714</t>
  </si>
  <si>
    <t>Oxidative phosphorylation|Thermogenesis</t>
  </si>
  <si>
    <t>J2O13_03G005488</t>
  </si>
  <si>
    <t>1.48E-10</t>
  </si>
  <si>
    <t>2.01E-09</t>
  </si>
  <si>
    <t>ATH1</t>
  </si>
  <si>
    <t>Homeobox protein ATH1</t>
  </si>
  <si>
    <t>GO:0005634,GO:0003677,GO:0003700,GO:0000981,GO:0000978,GO:0043565,GO:0010227,GO:0010073,GO:0008285,GO:0009640,GO:0010371,GO:0006357,GO:0090470,GO:0010228</t>
  </si>
  <si>
    <t>nucleus|DNA binding|DNA-binding transcription factor activity|DNA-binding transcription factor activity, RNA polymerase II-specific|RNA polymerase II cis-regulatory region sequence-specific DNA binding|sequence-specific DNA binding|floral organ abscission|meristem maintenance|negative regulation of cell population proliferation|photomorphogenesis|regulation of gibberellin biosynthetic process|regulation of transcription by RNA polymerase II|shoot organ boundary specification|vegetative to reproductive phase transition of meristem</t>
  </si>
  <si>
    <t>J2O13_03G005489</t>
  </si>
  <si>
    <t>4.50E-07</t>
  </si>
  <si>
    <t>PYL2</t>
  </si>
  <si>
    <t>Abscisic acid receptor PYL2</t>
  </si>
  <si>
    <t>GO:0005737,GO:0005634,GO:0005886,GO:0062049,GO:0010427,GO:0042802,GO:0042803,GO:0004864,GO:0038023,GO:0009738,GO:0080163</t>
  </si>
  <si>
    <t>cytoplasm|nucleus|plasma membrane|protein phosphatase inhibitor complex|abscisic acid binding|identical protein binding|protein homodimerization activity|protein phosphatase inhibitor activity|signaling receptor activity|abscisic acid-activated signaling pathway|regulation of protein serine/threonine phosphatase activity</t>
  </si>
  <si>
    <t>J2O13_03G005499</t>
  </si>
  <si>
    <t>3.40E-06</t>
  </si>
  <si>
    <t>GDCSP</t>
  </si>
  <si>
    <t>Glycine dehydrogenase (decarboxylating), mitochondrial</t>
  </si>
  <si>
    <t>ko00630,ko00260</t>
  </si>
  <si>
    <t>Glyoxylate and dicarboxylate metabolism|Glycine, serine and threonine metabolism</t>
  </si>
  <si>
    <t>GO:0005960,GO:0005739,GO:0016594,GO:0004375,GO:0030170,GO:0019464,GO:1901566</t>
  </si>
  <si>
    <t>glycine cleavage complex|mitochondrion|glycine binding|glycine dehydrogenase (decarboxylating) activity|pyridoxal phosphate binding|glycine decarboxylation via glycine cleavage system|organonitrogen compound biosynthetic process</t>
  </si>
  <si>
    <t>J2O13_03G005500</t>
  </si>
  <si>
    <t>3.76E-18</t>
  </si>
  <si>
    <t>1.36E-16</t>
  </si>
  <si>
    <t>GATA21</t>
  </si>
  <si>
    <t>GATA transcription factor 21</t>
  </si>
  <si>
    <t>GO:0005634,GO:0003700,GO:0000976,GO:0008270,GO:0010151,GO:0009658,GO:0007623,GO:0009736,GO:0009740,GO:0010255,GO:0009910,GO:0009938,GO:0010187,GO:0090693,GO:1902326,GO:0043610,GO:0010380,GO:0006355,GO:0010468,GO:0051171,GO:2000028,GO:0080050,GO:0010029,GO:0009733,GO:0009735,GO:0009739,GO:0009416</t>
  </si>
  <si>
    <t>nucleus|DNA-binding transcription factor activity|transcription cis-regulatory region binding|zinc ion binding|chloroplast elongation|chloroplast organization|circadian rhythm|cytokinin-activated signaling pathway|gibberellic acid mediated signaling pathway|glucose mediated signaling pathway|negative regulation of flower development|negative regulation of gibberellic acid mediated signaling pathway|negative regulation of seed germination|plant organ senescence|positive regulation of chlorophyll biosynthetic process|regulation of carbohydrate utilization|regulation of chlorophyll biosynthetic process|regulation of DNA-templated transcription|regulation of gene expression|regulation of nitrogen compound metabolic process|regulation of photoperiodism, flowering|regulation of seed development|regulation of seed germination|response to auxin|response to cytokinin|response to gibberellin|response to light stimulus</t>
  </si>
  <si>
    <t>J2O13_03G005502</t>
  </si>
  <si>
    <t>J2O13_03G005504</t>
  </si>
  <si>
    <t>IRT3</t>
  </si>
  <si>
    <t>Fe(2+) transport protein 3, chloroplastic</t>
  </si>
  <si>
    <t>ko05010,ko05012</t>
  </si>
  <si>
    <t>Alzheimer disease|Parkinson disease</t>
  </si>
  <si>
    <t>GO:0009535,GO:0016020,GO:0000325,GO:0005886,GO:0005381,GO:0005385,GO:0055072,GO:0006826,GO:0009624,GO:0071577,GO:0006829</t>
  </si>
  <si>
    <t>chloroplast thylakoid membrane|membrane|plant-type vacuole|plasma membrane|iron ion transmembrane transporter activity|zinc ion transmembrane transporter activity|iron ion homeostasis|iron ion transport|response to nematode|zinc ion transmembrane transport|zinc ion transport</t>
  </si>
  <si>
    <t>J2O13_03G005505</t>
  </si>
  <si>
    <t>2.65E-13</t>
  </si>
  <si>
    <t>5.31E-12</t>
  </si>
  <si>
    <t>A70</t>
  </si>
  <si>
    <t>Pathogen-associated molecular patterns-induced protein A70</t>
  </si>
  <si>
    <t>GO:0016020,GO:0042742,GO:0009617,GO:0009753,GO:0009611</t>
  </si>
  <si>
    <t>membrane|defense response to bacterium|response to bacterium|response to jasmonic acid|response to wounding</t>
  </si>
  <si>
    <t>J2O13_03G005508</t>
  </si>
  <si>
    <t>2.68E-10</t>
  </si>
  <si>
    <t>3.52E-09</t>
  </si>
  <si>
    <t>J2O13_03G005511</t>
  </si>
  <si>
    <t>2.38E-27</t>
  </si>
  <si>
    <t>2.13E-25</t>
  </si>
  <si>
    <t>At1g68400</t>
  </si>
  <si>
    <t>Probable leucine-rich repeat receptor-like protein kinase At1g68400</t>
  </si>
  <si>
    <t>J2O13_03G005512</t>
  </si>
  <si>
    <t>2.10E-05</t>
  </si>
  <si>
    <t>LBD7</t>
  </si>
  <si>
    <t>LOB domain-containing protein 7</t>
  </si>
  <si>
    <t>J2O13_03G005513</t>
  </si>
  <si>
    <t>2.78E-05</t>
  </si>
  <si>
    <t>Acyl-lipid (9-3)-desaturase OS=Borago officinalis OX=13363 PE=1 SV=1</t>
  </si>
  <si>
    <t>GO:0005789,GO:0046872,GO:0016491,GO:0006636</t>
  </si>
  <si>
    <t>endoplasmic reticulum membrane|metal ion binding|oxidoreductase activity|unsaturated fatty acid biosynthetic process</t>
  </si>
  <si>
    <t>J2O13_03G005520</t>
  </si>
  <si>
    <t>1.56E-13</t>
  </si>
  <si>
    <t>3.23E-12</t>
  </si>
  <si>
    <t>CYP711A1</t>
  </si>
  <si>
    <t>Cytochrome P450 711A1</t>
  </si>
  <si>
    <t>GO:0016020,GO:0020037,GO:0005506,GO:0004497,GO:0016705,GO:0009926,GO:0016117,GO:0009963,GO:0009934,GO:0010223</t>
  </si>
  <si>
    <t>membrane|heme binding|iron ion binding|monooxygenase activity|oxidoreductase activity, acting on paired donors, with incorporation or reduction of molecular oxygen|auxin polar transport|carotenoid biosynthetic process|positive regulation of flavonoid biosynthetic process|regulation of meristem structural organization|secondary shoot formation</t>
  </si>
  <si>
    <t>J2O13_03G005522</t>
  </si>
  <si>
    <t>IQM4</t>
  </si>
  <si>
    <t>IQ domain-containing protein IQM4</t>
  </si>
  <si>
    <t>GO:0009507,GO:0005634,GO:0005516,GO:0071456,GO:0009737,GO:0009651</t>
  </si>
  <si>
    <t>chloroplast|nucleus|calmodulin binding|cellular response to hypoxia|response to abscisic acid|response to salt stress</t>
  </si>
  <si>
    <t>J2O13_03G005536</t>
  </si>
  <si>
    <t>4.20E-08</t>
  </si>
  <si>
    <t>3.93E-07</t>
  </si>
  <si>
    <t>At3g55350</t>
  </si>
  <si>
    <t>Protein ALP1-like</t>
  </si>
  <si>
    <t>GO:0000118,GO:0046872,GO:0004518</t>
  </si>
  <si>
    <t>histone deacetylase complex|metal ion binding|nuclease activity</t>
  </si>
  <si>
    <t>J2O13_03G005545</t>
  </si>
  <si>
    <t>8.89E-25</t>
  </si>
  <si>
    <t>6.02E-23</t>
  </si>
  <si>
    <t>HSP17.9-D</t>
  </si>
  <si>
    <t>17.9 kDa class II heat shock protein</t>
  </si>
  <si>
    <t>J2O13_03G005546</t>
  </si>
  <si>
    <t>HSP17.6</t>
  </si>
  <si>
    <t>17.6 kDa class II heat shock protein</t>
  </si>
  <si>
    <t>GO:0005737,GO:0043621,GO:0051082,GO:0071456,GO:0051259,GO:0006457,GO:0009408,GO:0042542,GO:0009651</t>
  </si>
  <si>
    <t>cytoplasm|protein self-association|unfolded protein binding|cellular response to hypoxia|protein complex oligomerization|protein folding|response to heat|response to hydrogen peroxide|response to salt stress</t>
  </si>
  <si>
    <t>J2O13_03G005549</t>
  </si>
  <si>
    <t>2.66E-15</t>
  </si>
  <si>
    <t>6.90E-14</t>
  </si>
  <si>
    <t>AL5</t>
  </si>
  <si>
    <t>PHD finger protein ALFIN-LIKE 5</t>
  </si>
  <si>
    <t>GO:0005634,GO:0003677,GO:0042393,GO:0046872,GO:0000976,GO:0003712,GO:0003714,GO:0006325,GO:0009651,GO:0009414</t>
  </si>
  <si>
    <t>nucleus|DNA binding|histone binding|metal ion binding|transcription cis-regulatory region binding|transcription coregulator activity|transcription corepressor activity|chromatin organization|response to salt stress|response to water deprivation</t>
  </si>
  <si>
    <t>J2O13_03G005555</t>
  </si>
  <si>
    <t>At3g13980</t>
  </si>
  <si>
    <t>Protein BIG GRAIN 1-like A</t>
  </si>
  <si>
    <t>J2O13_03G005563</t>
  </si>
  <si>
    <t>1.15E-28</t>
  </si>
  <si>
    <t>1.15E-26</t>
  </si>
  <si>
    <t>ndhU</t>
  </si>
  <si>
    <t>NAD(P)H-quinone oxidoreductase subunit U, chloroplastic</t>
  </si>
  <si>
    <t>GO:0009507,GO:0009535,GO:0010598,GO:0009536,GO:0048038</t>
  </si>
  <si>
    <t>chloroplast|chloroplast thylakoid membrane|NAD(P)H dehydrogenase complex (plastoquinone)|plastid|quinone binding</t>
  </si>
  <si>
    <t>J2O13_03G005565</t>
  </si>
  <si>
    <t>2.07E-08</t>
  </si>
  <si>
    <t>2.03E-07</t>
  </si>
  <si>
    <t>MYB123</t>
  </si>
  <si>
    <t>Transcription factor MYB123</t>
  </si>
  <si>
    <t>GO:0005634,GO:0003677,GO:0031542,GO:0045893</t>
  </si>
  <si>
    <t>nucleus|DNA binding|positive regulation of anthocyanin biosynthetic process|positive regulation of DNA-templated transcription</t>
  </si>
  <si>
    <t>J2O13_03G005569</t>
  </si>
  <si>
    <t>6.50E-05</t>
  </si>
  <si>
    <t>CYP72A616</t>
  </si>
  <si>
    <t>Cytochrome P450 CYP72A616</t>
  </si>
  <si>
    <t>GO:0016020,GO:0020037,GO:0005506,GO:0004497,GO:0016705,GO:0008203,GO:0016135,GO:0006694</t>
  </si>
  <si>
    <t>membrane|heme binding|iron ion binding|monooxygenase activity|oxidoreductase activity, acting on paired donors, with incorporation or reduction of molecular oxygen|cholesterol metabolic process|saponin biosynthetic process|steroid biosynthetic process</t>
  </si>
  <si>
    <t>J2O13_03G005572</t>
  </si>
  <si>
    <t>CKX7</t>
  </si>
  <si>
    <t>Cytokinin dehydrogenase 7</t>
  </si>
  <si>
    <t>GO:0019139,GO:0071949,GO:0016491,GO:0009823</t>
  </si>
  <si>
    <t>cytokinin dehydrogenase activity|FAD binding|oxidoreductase activity|cytokinin catabolic process</t>
  </si>
  <si>
    <t>J2O13_03G005578</t>
  </si>
  <si>
    <t>2.90E-31</t>
  </si>
  <si>
    <t>3.68E-29</t>
  </si>
  <si>
    <t>YLMG2</t>
  </si>
  <si>
    <t>YlmG homolog protein 2, chloroplastic</t>
  </si>
  <si>
    <t>GO:0009535,GO:0010020,GO:0090143</t>
  </si>
  <si>
    <t>chloroplast thylakoid membrane|chloroplast fission|nucleoid organization</t>
  </si>
  <si>
    <t>J2O13_03G005579</t>
  </si>
  <si>
    <t>J2O13_03G005582</t>
  </si>
  <si>
    <t>AGL65</t>
  </si>
  <si>
    <t>Agamous-like MADS-box protein AGL65</t>
  </si>
  <si>
    <t>GO:0005634,GO:0003700,GO:0000981,GO:0046983,GO:0000978,GO:0009555,GO:0010152,GO:0045944,GO:0080092,GO:0006357</t>
  </si>
  <si>
    <t>nucleus|DNA-binding transcription factor activity|DNA-binding transcription factor activity, RNA polymerase II-specific|protein dimerization activity|RNA polymerase II cis-regulatory region sequence-specific DNA binding|pollen development|pollen maturation|positive regulation of transcription by RNA polymerase II|regulation of pollen tube growth|regulation of transcription by RNA polymerase II</t>
  </si>
  <si>
    <t>J2O13_03G005585</t>
  </si>
  <si>
    <t>4.30E-06</t>
  </si>
  <si>
    <t>2.74E-05</t>
  </si>
  <si>
    <t>O3L2</t>
  </si>
  <si>
    <t>Protein OXIDATIVE STRESS 3 LIKE 2</t>
  </si>
  <si>
    <t>GO:0005634,GO:0000325</t>
  </si>
  <si>
    <t>nucleus|plant-type vacuole</t>
  </si>
  <si>
    <t>J2O13_03G005591</t>
  </si>
  <si>
    <t>COPT5.1</t>
  </si>
  <si>
    <t>Copper transporter 5.1</t>
  </si>
  <si>
    <t>ko04978,ko01524</t>
  </si>
  <si>
    <t>Mineral absorption|Platinum drug resistance</t>
  </si>
  <si>
    <t>GO:0005886,GO:0005375,GO:0006878</t>
  </si>
  <si>
    <t>plasma membrane|copper ion transmembrane transporter activity|cellular copper ion homeostasis</t>
  </si>
  <si>
    <t>J2O13_03G005600</t>
  </si>
  <si>
    <t>ERF016</t>
  </si>
  <si>
    <t>Ethylene-responsive transcription factor ERF016</t>
  </si>
  <si>
    <t>J2O13_03G005607</t>
  </si>
  <si>
    <t>J2O13_03G005611</t>
  </si>
  <si>
    <t>2.16E-19</t>
  </si>
  <si>
    <t>9.00E-18</t>
  </si>
  <si>
    <t>TIFY3B</t>
  </si>
  <si>
    <t>Protein TIFY 3B</t>
  </si>
  <si>
    <t>GO:0005634,GO:0006952,GO:0031347,GO:2000022,GO:0009611</t>
  </si>
  <si>
    <t>nucleus|defense response|regulation of defense response|regulation of jasmonic acid mediated signaling pathway|response to wounding</t>
  </si>
  <si>
    <t>J2O13_03G005621</t>
  </si>
  <si>
    <t>PMEU1</t>
  </si>
  <si>
    <t>Pectinesterase/pectinesterase inhibitor U1</t>
  </si>
  <si>
    <t>J2O13_03G005622</t>
  </si>
  <si>
    <t>3.49E-50</t>
  </si>
  <si>
    <t>1.64E-47</t>
  </si>
  <si>
    <t>PME12</t>
  </si>
  <si>
    <t>Probable pectinesterase/pectinesterase inhibitor 12</t>
  </si>
  <si>
    <t>GO:0005576,GO:0045330,GO:0030599,GO:0046910,GO:0042545,GO:0045490,GO:0009617</t>
  </si>
  <si>
    <t>extracellular region|aspartyl esterase activity|pectinesterase activity|pectinesterase inhibitor activity|cell wall modification|pectin catabolic process|response to bacterium</t>
  </si>
  <si>
    <t>J2O13_03G005623</t>
  </si>
  <si>
    <t>2.28E-07</t>
  </si>
  <si>
    <t>1.85E-06</t>
  </si>
  <si>
    <t>LKR/SDH</t>
  </si>
  <si>
    <t>Alpha-aminoadipic semialdehyde synthase</t>
  </si>
  <si>
    <t>GO:0005737,GO:0047131,GO:0047130,GO:0004753,GO:0033512,GO:0019878</t>
  </si>
  <si>
    <t>cytoplasm|saccharopine dehydrogenase (NAD+, L-glutamate-forming) activity|saccharopine dehydrogenase (NADP+, L-lysine-forming) activity|saccharopine dehydrogenase activity|L-lysine catabolic process to acetyl-CoA via saccharopine|lysine biosynthetic process via aminoadipic acid</t>
  </si>
  <si>
    <t>J2O13_03G005635</t>
  </si>
  <si>
    <t>4.42E-10</t>
  </si>
  <si>
    <t>5.63E-09</t>
  </si>
  <si>
    <t>SUS4</t>
  </si>
  <si>
    <t>Sucrose synthase 4</t>
  </si>
  <si>
    <t>GO:0005773,GO:0016157,GO:0071456,GO:0001666,GO:0005985</t>
  </si>
  <si>
    <t>vacuole|sucrose synthase activity|cellular response to hypoxia|response to hypoxia|sucrose metabolic process</t>
  </si>
  <si>
    <t>J2O13_03G005644</t>
  </si>
  <si>
    <t>8.17E-57</t>
  </si>
  <si>
    <t>6.33E-54</t>
  </si>
  <si>
    <t>PRXQ</t>
  </si>
  <si>
    <t>Peroxiredoxin Q, chloroplastic</t>
  </si>
  <si>
    <t>GO:0009543,GO:0140824</t>
  </si>
  <si>
    <t>chloroplast thylakoid lumen|thioredoxin-dependent peroxiredoxin activity</t>
  </si>
  <si>
    <t>J2O13_03G005656</t>
  </si>
  <si>
    <t>1.63E-07</t>
  </si>
  <si>
    <t>1.36E-06</t>
  </si>
  <si>
    <t>ERF017</t>
  </si>
  <si>
    <t>Ethylene-responsive transcription factor ERF017</t>
  </si>
  <si>
    <t>GO:0005634,GO:0003700,GO:0000976,GO:0009873</t>
  </si>
  <si>
    <t>nucleus|DNA-binding transcription factor activity|transcription cis-regulatory region binding|ethylene-activated signaling pathway</t>
  </si>
  <si>
    <t>J2O13_03G005657</t>
  </si>
  <si>
    <t>BGAL7</t>
  </si>
  <si>
    <t>Beta-galactosidase 7</t>
  </si>
  <si>
    <t>GO:0048046,GO:0005773,GO:0004565,GO:0030246,GO:0005975</t>
  </si>
  <si>
    <t>apoplast|vacuole|beta-galactosidase activity|carbohydrate binding|carbohydrate metabolic process</t>
  </si>
  <si>
    <t>J2O13_03G005661</t>
  </si>
  <si>
    <t>1.61E-20</t>
  </si>
  <si>
    <t>7.44E-19</t>
  </si>
  <si>
    <t>TIFY10A</t>
  </si>
  <si>
    <t>Protein TIFY 10A</t>
  </si>
  <si>
    <t>GO:0005634,GO:0005886,GO:0042802,GO:0042742,GO:0009908,GO:0009867,GO:0009555,GO:1900067,GO:0031347,GO:2000022,GO:0009753,GO:0009611</t>
  </si>
  <si>
    <t>nucleus|plasma membrane|identical protein binding|defense response to bacterium|flower development|jasmonic acid mediated signaling pathway|pollen development|regulation of cellular response to alkaline pH|regulation of defense response|regulation of jasmonic acid mediated signaling pathway|response to jasmonic acid|response to wounding</t>
  </si>
  <si>
    <t>J2O13_03G005674</t>
  </si>
  <si>
    <t>4.65E-14</t>
  </si>
  <si>
    <t>1.03E-12</t>
  </si>
  <si>
    <t>J2O13_03G005675</t>
  </si>
  <si>
    <t>CCX4</t>
  </si>
  <si>
    <t>Cation/calcium exchanger 4</t>
  </si>
  <si>
    <t>GO:0016020,GO:0015297,GO:0008324,GO:0006812,GO:0010150,GO:0006813,GO:0006814</t>
  </si>
  <si>
    <t>membrane|antiporter activity|cation transmembrane transporter activity|cation transport|leaf senescence|potassium ion transport|sodium ion transport</t>
  </si>
  <si>
    <t>J2O13_03G005681</t>
  </si>
  <si>
    <t>SBT1.8</t>
  </si>
  <si>
    <t>Subtilisin-like protease SBT1.8</t>
  </si>
  <si>
    <t>GO:0005576,GO:0005794,GO:0005739,GO:0009506,GO:0004252,GO:0006508</t>
  </si>
  <si>
    <t>extracellular region|Golgi apparatus|mitochondrion|plasmodesma|serine-type endopeptidase activity|proteolysis</t>
  </si>
  <si>
    <t>J2O13_03G005684</t>
  </si>
  <si>
    <t>1.70E-18</t>
  </si>
  <si>
    <t>6.45E-17</t>
  </si>
  <si>
    <t>CYP92C6</t>
  </si>
  <si>
    <t>Trimethyltridecatetraene synthase</t>
  </si>
  <si>
    <t>GO:0016020,GO:0097007,GO:0020037,GO:0005506,GO:0010333,GO:0080027,GO:0016114</t>
  </si>
  <si>
    <t>membrane|4,8,12-trimethyltrideca-1,3,7,11-tetraene synthase activity|heme binding|iron ion binding|terpene synthase activity|response to herbivore|terpenoid biosynthetic process</t>
  </si>
  <si>
    <t>J2O13_03G005685</t>
  </si>
  <si>
    <t>RIPK</t>
  </si>
  <si>
    <t>Serine/threonine-protein kinase RIPK</t>
  </si>
  <si>
    <t>GO:0005886,GO:0005524,GO:0106310,GO:0004674,GO:0042742,GO:0006468</t>
  </si>
  <si>
    <t>plasma membrane|ATP binding|protein serine kinase activity|protein serine/threonine kinase activity|defense response to bacterium|protein phosphorylation</t>
  </si>
  <si>
    <t>J2O13_03G005688</t>
  </si>
  <si>
    <t>3.72E-13</t>
  </si>
  <si>
    <t>7.35E-12</t>
  </si>
  <si>
    <t>J2O13_03G005692</t>
  </si>
  <si>
    <t>J2O13_03G005694</t>
  </si>
  <si>
    <t>J2O13_03G005698</t>
  </si>
  <si>
    <t>1.74E-10</t>
  </si>
  <si>
    <t>2.33E-09</t>
  </si>
  <si>
    <t>MOB1-A</t>
  </si>
  <si>
    <t>MOB kinase activator-like 1A</t>
  </si>
  <si>
    <t>ko04390,ko04391,ko04392,ko04111</t>
  </si>
  <si>
    <t>Hippo signaling pathway|Hippo signaling pathway - fly|Hippo signaling pathway - multiple species|Cell cycle - yeast</t>
  </si>
  <si>
    <t>GO:0005737,GO:0005856,GO:0009524,GO:0046872</t>
  </si>
  <si>
    <t>cytoplasm|cytoskeleton|phragmoplast|metal ion binding</t>
  </si>
  <si>
    <t>J2O13_03G005700</t>
  </si>
  <si>
    <t>4.55E-13</t>
  </si>
  <si>
    <t>8.87E-12</t>
  </si>
  <si>
    <t>OPR3</t>
  </si>
  <si>
    <t>12-oxophytodienoate reductase 3</t>
  </si>
  <si>
    <t>GO:0005777,GO:0016629,GO:0010181,GO:0042802,GO:0016491,GO:0006633,GO:0009695,GO:0031408</t>
  </si>
  <si>
    <t>peroxisome|12-oxophytodienoate reductase activity|FMN binding|identical protein binding|oxidoreductase activity|fatty acid biosynthetic process|jasmonic acid biosynthetic process|oxylipin biosynthetic process</t>
  </si>
  <si>
    <t>J2O13_03G005704</t>
  </si>
  <si>
    <t>ko03020,ko04623</t>
  </si>
  <si>
    <t>RNA polymerase|Cytosolic DNA-sensing pathway</t>
  </si>
  <si>
    <t>J2O13_03G005705</t>
  </si>
  <si>
    <t>1.59E-08</t>
  </si>
  <si>
    <t>1.59E-07</t>
  </si>
  <si>
    <t>J2O13_03G005709</t>
  </si>
  <si>
    <t>4.94E-14</t>
  </si>
  <si>
    <t>1.09E-12</t>
  </si>
  <si>
    <t>EFL4</t>
  </si>
  <si>
    <t>Protein ELF4-LIKE 4</t>
  </si>
  <si>
    <t>GO:0005634,GO:0042803,GO:0009649,GO:0009648,GO:0042753,GO:0048511</t>
  </si>
  <si>
    <t>nucleus|protein homodimerization activity|entrainment of circadian clock|photoperiodism|positive regulation of circadian rhythm|rhythmic process</t>
  </si>
  <si>
    <t>J2O13_03G005713</t>
  </si>
  <si>
    <t>YUC11</t>
  </si>
  <si>
    <t>Probable indole-3-pyruvate monooxygenase YUCCA11</t>
  </si>
  <si>
    <t>ko00380</t>
  </si>
  <si>
    <t>Tryptophan metabolism</t>
  </si>
  <si>
    <t>GO:0050660,GO:0103075,GO:0004497,GO:0004499,GO:0050661,GO:0009851,GO:0009723</t>
  </si>
  <si>
    <t>flavin adenine dinucleotide binding|indole-3-pyruvate monooxygenase activity|monooxygenase activity|N,N-dimethylaniline monooxygenase activity|NADP binding|auxin biosynthetic process|response to ethylene</t>
  </si>
  <si>
    <t>J2O13_03G005715</t>
  </si>
  <si>
    <t>At1g54200</t>
  </si>
  <si>
    <t>Protein BIG GRAIN 1-like B</t>
  </si>
  <si>
    <t>J2O13_03G005721</t>
  </si>
  <si>
    <t>2.34E-27</t>
  </si>
  <si>
    <t>2.10E-25</t>
  </si>
  <si>
    <t>PAL</t>
  </si>
  <si>
    <t>Phenylalanine ammonia-lyase</t>
  </si>
  <si>
    <t>ko00360,ko00940</t>
  </si>
  <si>
    <t>Phenylalanine metabolism|Phenylpropanoid biosynthesis</t>
  </si>
  <si>
    <t>GO:0005737,GO:0045548,GO:0009800,GO:0006559</t>
  </si>
  <si>
    <t>cytoplasm|phenylalanine ammonia-lyase activity|cinnamic acid biosynthetic process|L-phenylalanine catabolic process</t>
  </si>
  <si>
    <t>J2O13_03G005723</t>
  </si>
  <si>
    <t>3.25E-05</t>
  </si>
  <si>
    <t>NIFU3</t>
  </si>
  <si>
    <t>NifU-like protein 3, chloroplastic</t>
  </si>
  <si>
    <t>GO:0009507,GO:0009570,GO:0005739,GO:0051539,GO:0005506,GO:0060090,GO:0005198,GO:0016226,GO:0048564,GO:0097428</t>
  </si>
  <si>
    <t>chloroplast|chloroplast stroma|mitochondrion|4 iron, 4 sulfur cluster binding|iron ion binding|molecular adaptor activity|structural molecule activity|iron-sulfur cluster assembly|photosystem I assembly|protein maturation by iron-sulfur cluster transfer</t>
  </si>
  <si>
    <t>J2O13_03G005724</t>
  </si>
  <si>
    <t>1.06E-05</t>
  </si>
  <si>
    <t>6.23E-05</t>
  </si>
  <si>
    <t>J2O13_03G005737</t>
  </si>
  <si>
    <t>1.39E-19</t>
  </si>
  <si>
    <t>5.85E-18</t>
  </si>
  <si>
    <t>J2O13_03G005738</t>
  </si>
  <si>
    <t>4.39E-08</t>
  </si>
  <si>
    <t>GLYI4</t>
  </si>
  <si>
    <t>Glyoxylase I 4</t>
  </si>
  <si>
    <t>GO:0005737,GO:0005886,GO:0016829,GO:0140041,GO:0006952,GO:0009787,GO:2000022,GO:2000031,GO:0009409,GO:0009408,GO:0009753,GO:0051595,GO:0010045,GO:0006970,GO:0006979,GO:1902074,GO:0010224,GO:0009414,GO:0009611</t>
  </si>
  <si>
    <t>cytoplasm|plasma membrane|lyase activity|cellular detoxification of methylglyoxal|defense response|regulation of abscisic acid-activated signaling pathway|regulation of jasmonic acid mediated signaling pathway|regulation of salicylic acid mediated signaling pathway|response to cold|response to heat|response to jasmonic acid|response to methylglyoxal|response to nickel cation|response to osmotic stress|response to oxidative stress|response to salt|response to UV-B|response to water deprivation|response to wounding</t>
  </si>
  <si>
    <t>J2O13_03G005743</t>
  </si>
  <si>
    <t>1.20E-07</t>
  </si>
  <si>
    <t>1.02E-06</t>
  </si>
  <si>
    <t>J2O13_03G005747</t>
  </si>
  <si>
    <t>Beta-galactosidase OS=Solanum lycopersicum OX=4081 PE=1 SV=1</t>
  </si>
  <si>
    <t>GO:0005773,GO:0004565,GO:0030246,GO:0005975</t>
  </si>
  <si>
    <t>vacuole|beta-galactosidase activity|carbohydrate binding|carbohydrate metabolic process</t>
  </si>
  <si>
    <t>J2O13_03G005750</t>
  </si>
  <si>
    <t>6.89E-05</t>
  </si>
  <si>
    <t>J2O13_03G005754</t>
  </si>
  <si>
    <t>8.03E-09</t>
  </si>
  <si>
    <t>8.47E-08</t>
  </si>
  <si>
    <t>J2O13_03G005757</t>
  </si>
  <si>
    <t>CKX3</t>
  </si>
  <si>
    <t>Cytokinin dehydrogenase 3</t>
  </si>
  <si>
    <t>GO:0005783,GO:0005773,GO:0019139,GO:0071949,GO:0016491,GO:0008131,GO:0009823</t>
  </si>
  <si>
    <t>endoplasmic reticulum|vacuole|cytokinin dehydrogenase activity|FAD binding|oxidoreductase activity|primary amine oxidase activity|cytokinin catabolic process</t>
  </si>
  <si>
    <t>J2O13_03G005766</t>
  </si>
  <si>
    <t>2.33E-05</t>
  </si>
  <si>
    <t>NPR1</t>
  </si>
  <si>
    <t>BTB/POZ domain and ankyrin repeat-containing protein NPR1</t>
  </si>
  <si>
    <t>GO:0005737,GO:0005634,GO:2000022,GO:2000031,GO:0009862</t>
  </si>
  <si>
    <t>cytoplasm|nucleus|regulation of jasmonic acid mediated signaling pathway|regulation of salicylic acid mediated signaling pathway|systemic acquired resistance, salicylic acid mediated signaling pathway</t>
  </si>
  <si>
    <t>J2O13_03G005781</t>
  </si>
  <si>
    <t>3.60E-12</t>
  </si>
  <si>
    <t>6.19E-11</t>
  </si>
  <si>
    <t>J2O13_03G005782</t>
  </si>
  <si>
    <t>4.21E-10</t>
  </si>
  <si>
    <t>TET2</t>
  </si>
  <si>
    <t>Tetraspanin-2</t>
  </si>
  <si>
    <t>GO:0005886,GO:0009506,GO:0009734</t>
  </si>
  <si>
    <t>plasma membrane|plasmodesma|auxin-activated signaling pathway</t>
  </si>
  <si>
    <t>J2O13_03G005786</t>
  </si>
  <si>
    <t>2.90E-22</t>
  </si>
  <si>
    <t>1.59E-20</t>
  </si>
  <si>
    <t>MYBS3</t>
  </si>
  <si>
    <t>Transcription factor MYBS3</t>
  </si>
  <si>
    <t>GO:0005634,GO:0003677,GO:0003700,GO:0046872,GO:0045892,GO:0009733,GO:0009723,GO:0009739,GO:0009744</t>
  </si>
  <si>
    <t>nucleus|DNA binding|DNA-binding transcription factor activity|metal ion binding|negative regulation of DNA-templated transcription|response to auxin|response to ethylene|response to gibberellin|response to sucrose</t>
  </si>
  <si>
    <t>J2O13_03G005792</t>
  </si>
  <si>
    <t>5.41E-27</t>
  </si>
  <si>
    <t>4.61E-25</t>
  </si>
  <si>
    <t>At4g29530</t>
  </si>
  <si>
    <t>Thiamine phosphate phosphatase-like protein</t>
  </si>
  <si>
    <t>GO:0004427,GO:0046872,GO:0016791,GO:0052732,GO:0042131,GO:0006580,GO:0051262,GO:0009229</t>
  </si>
  <si>
    <t>inorganic diphosphate phosphatase activity|metal ion binding|phosphatase activity|phosphoethanolamine phosphatase activity|thiamine phosphate phosphatase activity|ethanolamine metabolic process|protein tetramerization|thiamine diphosphate biosynthetic process</t>
  </si>
  <si>
    <t>J2O13_03G005800</t>
  </si>
  <si>
    <t>6.11E-08</t>
  </si>
  <si>
    <t>5.53E-07</t>
  </si>
  <si>
    <t>PLA2-I</t>
  </si>
  <si>
    <t>Probable phospholipase A2 homolog 1</t>
  </si>
  <si>
    <t>GO:0005576,GO:0005509,GO:0047498,GO:0005543,GO:0050482,GO:0016042,GO:0006644,GO:0009555,GO:0009846,GO:0009860</t>
  </si>
  <si>
    <t>extracellular region|calcium ion binding|calcium-dependent phospholipase A2 activity|phospholipid binding|arachidonic acid secretion|lipid catabolic process|phospholipid metabolic process|pollen development|pollen germination|pollen tube growth</t>
  </si>
  <si>
    <t>J2O13_03G005819</t>
  </si>
  <si>
    <t>3.91E-10</t>
  </si>
  <si>
    <t>5.03E-09</t>
  </si>
  <si>
    <t>J2O13_03G005824</t>
  </si>
  <si>
    <t>NUDT8</t>
  </si>
  <si>
    <t>Nudix hydrolase 8</t>
  </si>
  <si>
    <t>GO:0005829,GO:0047631,GO:0046872,GO:0051287,GO:0035529,GO:0009611</t>
  </si>
  <si>
    <t>cytosol|ADP-ribose diphosphatase activity|metal ion binding|NAD binding|NADH pyrophosphatase activity|response to wounding</t>
  </si>
  <si>
    <t>J2O13_03G005830</t>
  </si>
  <si>
    <t>4.84E-08</t>
  </si>
  <si>
    <t>4.46E-07</t>
  </si>
  <si>
    <t>J2O13_03G005833</t>
  </si>
  <si>
    <t>Profilin-4 OS=Corylus avellana OX=13451 PE=1 SV=1</t>
  </si>
  <si>
    <t>ko04013,ko04015,ko04810,ko05132,ko05131,ko05014</t>
  </si>
  <si>
    <t>MAPK signaling pathway - fly|Rap1 signaling pathway|Regulation of actin cytoskeleton|Salmonella infection|Shigellosis|Amyotrophic lateral sclerosis</t>
  </si>
  <si>
    <t>GO:0005737,GO:0005856,GO:0003779</t>
  </si>
  <si>
    <t>cytoplasm|cytoskeleton|actin binding</t>
  </si>
  <si>
    <t>J2O13_03G005835</t>
  </si>
  <si>
    <t>At5g56590</t>
  </si>
  <si>
    <t>Glucan endo-1,3-beta-glucosidase 13</t>
  </si>
  <si>
    <t>GO:0005576,GO:0005886,GO:0009536,GO:0042973,GO:0005975,GO:0071555,GO:0006952</t>
  </si>
  <si>
    <t>extracellular region|plasma membrane|plastid|glucan endo-1,3-beta-D-glucosidase activity|carbohydrate metabolic process|cell wall organization|defense response</t>
  </si>
  <si>
    <t>J2O13_03G005838</t>
  </si>
  <si>
    <t>1.56E-05</t>
  </si>
  <si>
    <t>8.81E-05</t>
  </si>
  <si>
    <t>MKK6</t>
  </si>
  <si>
    <t>Mitogen-activated protein kinase kinase 6</t>
  </si>
  <si>
    <t>ko04010,ko04013,ko04012,ko04014,ko04015,ko04370,ko04371,ko04668,ko04066,ko04068,ko04072,ko04071,ko04024,ko04022,ko04151,ko04150,ko04140,ko04114,ko04210,ko04218,ko04510,ko04540,ko04550,ko04810,ko04613,ko04620,ko04650,ko04660,ko04662,ko04664,ko04666,ko04062,ko04910,ko04929,ko04912,ko04915,ko04914,ko04917,ko04921,ko04926,ko04935,ko04919,ko04928,ko04916,ko04270,ko04725,ko04726,ko04720,ko04730,ko04722,ko04320,ko04380,ko04626,ko05200,ko05206,ko05205,ko05207,ko05208,ko05230,ko05231,ko05235,ko05210,ko05212,ko05225,ko05226,ko05214,ko05216,ko05221,ko05220,ko05218,ko05211,ko05219,ko05215,ko05213,ko05224,ko05223,ko05166,ko05170,ko05161,ko05160,ko05164,ko05163,ko05167,ko05165,ko05132,ko05135,ko05010,ko05022,ko05034,ko04934,ko01521,ko01522</t>
  </si>
  <si>
    <t>MAPK signaling pathway|MAPK signaling pathway - fly|ErbB signaling pathway|Ras signaling pathway|Rap1 signaling pathway|VEGF signaling pathway|Apelin signaling pathway|TNF signaling pathway|HIF-1 signaling pathway|FoxO signaling pathway|Phospholipase D signaling pathway|Sphingolipid signaling pathway|cAMP signaling pathway|cGMP-PKG signaling pathway|PI3K-Akt signaling pathway|mTOR signaling pathway|Autophagy - animal|Oocyte meiosis|Apoptosis|Cellular senescence|Focal adhesion|Gap junction|Signaling pathways regulating pluripotency of stem cells|Regulation of actin cytoskeleton|Neutrophil extracellular trap formation|Toll-like receptor signaling pathway|Natural killer cell mediated cytotoxicity|T cell receptor signaling pathway|B cell receptor signaling pathway|Fc epsilon RI signaling pathway|Fc gamma R-mediated phagocytosis|Chemokine signaling pathway|Insulin signaling pathway|GnRH secretion|GnRH signaling pathway|Estrogen signaling pathway|Progesterone-mediated oocyte maturation|Prolactin signaling pathway|Oxytocin signaling pathway|Relaxin signaling pathway|Growth hormone synthesis, secretion and action|Thyroid hormone signaling pathway|Parathyroid hormone synthesis, secretion and action|Melanogenesis|Vascular smooth muscle contraction|Cholinergic synapse|Serotonergic synapse|Long-term potentiation|Long-term depression|Neurotrophin signaling pathway|Dorso-ventral axis formation|Osteoclast differentiation|Plant-pathogen interaction|Pathways in cancer|MicroRNAs in cancer|Proteoglycans in cancer|Chemical carcinogenesis - receptor activation|Chemical carcinogenesis - reactive oxygen species|Central carbon metabolism in cancer|Choline metabolism in cancer|PD-L1 expression and PD-1 checkpoint pathway in cancer|Colorectal cancer|Pancreatic cancer|Hepatocellular carcinoma|Gastric cancer|Glioma|Thyroid cancer|Acute myeloid leukemia|Chronic myeloid leukemia|Melanoma|Renal cell carcinoma|Bladder cancer|Prostate cancer|Endometrial cancer|Breast cancer|Non-small cell lung cancer|Human T-cell leukemia virus 1 infection|Human immunodeficiency virus 1 infection|Hepatitis B|Hepatitis C|Influenza A|Human cytomegalovirus infection|Kaposi sarcoma-associated herpesvirus infection|Human papillomavirus infection|Salmonella infection|Yersinia infection|Alzheimer disease|Pathways of neurodegeneration - multiple diseases|Alcoholism|Cushing syndrome|EGFR tyrosine kinase inhibitor resistance|Endocrine resistance</t>
  </si>
  <si>
    <t>GO:0005737,GO:0005856,GO:0009524,GO:0005524,GO:0004708,GO:0051019,GO:0031435,GO:0106310,GO:0004674,GO:0004713,GO:0002229,GO:0010311,GO:0007112</t>
  </si>
  <si>
    <t>cytoplasm|cytoskeleton|phragmoplast|ATP binding|MAP kinase kinase activity|mitogen-activated protein kinase binding|mitogen-activated protein kinase kinase kinase binding|protein serine kinase activity|protein serine/threonine kinase activity|protein tyrosine kinase activity|defense response to oomycetes|lateral root formation|male meiosis cytokinesis</t>
  </si>
  <si>
    <t>J2O13_03G005839</t>
  </si>
  <si>
    <t>J2O13_03G005840</t>
  </si>
  <si>
    <t>4.23E-06</t>
  </si>
  <si>
    <t>2.70E-05</t>
  </si>
  <si>
    <t>OXS3</t>
  </si>
  <si>
    <t>Protein OXIDATIVE STRESS 3</t>
  </si>
  <si>
    <t>GO:0016607,GO:0005634,GO:2000028,GO:2000070,GO:0046686,GO:0046688,GO:0010218,GO:0009416,GO:0006979,GO:0010114,GO:0009611,GO:0010043</t>
  </si>
  <si>
    <t>nuclear speck|nucleus|regulation of photoperiodism, flowering|regulation of response to water deprivation|response to cadmium ion|response to copper ion|response to far red light|response to light stimulus|response to oxidative stress|response to red light|response to wounding|response to zinc ion</t>
  </si>
  <si>
    <t>J2O13_03G005845</t>
  </si>
  <si>
    <t>3.20E-06</t>
  </si>
  <si>
    <t>PME53</t>
  </si>
  <si>
    <t>Probable pectinesterase 53</t>
  </si>
  <si>
    <t>GO:0005737,GO:0005576,GO:0045330,GO:0030599,GO:0042545,GO:0045490</t>
  </si>
  <si>
    <t>cytoplasm|extracellular region|aspartyl esterase activity|pectinesterase activity|cell wall modification|pectin catabolic process</t>
  </si>
  <si>
    <t>J2O13_03G005849</t>
  </si>
  <si>
    <t>2.33E-30</t>
  </si>
  <si>
    <t>2.71E-28</t>
  </si>
  <si>
    <t>J2O13_03G005850</t>
  </si>
  <si>
    <t>1.95E-11</t>
  </si>
  <si>
    <t>3.02E-10</t>
  </si>
  <si>
    <t>J2O13_03G005856</t>
  </si>
  <si>
    <t>RLK5</t>
  </si>
  <si>
    <t>Receptor-like protein kinase 5</t>
  </si>
  <si>
    <t>GO:0005886,GO:0005524,GO:0004672,GO:0106310,GO:0004674,GO:0004714,GO:0050829,GO:0010227,GO:0010102,GO:0060866,GO:0045490,GO:0046777,GO:0010468</t>
  </si>
  <si>
    <t>plasma membrane|ATP binding|protein kinase activity|protein serine kinase activity|protein serine/threonine kinase activity|transmembrane receptor protein tyrosine kinase activity|defense response to Gram-negative bacterium|floral organ abscission|lateral root morphogenesis|leaf abscission|pectin catabolic process|protein autophosphorylation|regulation of gene expression</t>
  </si>
  <si>
    <t>J2O13_03G005857</t>
  </si>
  <si>
    <t>2.31E-07</t>
  </si>
  <si>
    <t>HXK1</t>
  </si>
  <si>
    <t>Hexokinase-1</t>
  </si>
  <si>
    <t>ko00010,ko00051,ko00052,ko00500,ko00520,ko00521,ko00524,ko04066,ko04910,ko04973,ko05230,ko05131,ko04930</t>
  </si>
  <si>
    <t>Glycolysis / Gluconeogenesis|Fructose and mannose metabolism|Galactose metabolism|Starch and sucrose metabolism|Amino sugar and nucleotide sugar metabolism|Streptomycin biosynthesis|Neomycin, kanamycin and gentamicin biosynthesis|HIF-1 signaling pathway|Insulin signaling pathway|Carbohydrate digestion and absorption|Central carbon metabolism in cancer|Shigellosis|Type II diabetes mellitus</t>
  </si>
  <si>
    <t>GO:0005829,GO:0005741,GO:0005739,GO:0005634,GO:0000325,GO:0032991,GO:0005524,GO:0001046,GO:0008865,GO:0004340,GO:0005536,GO:0004396,GO:0008270,GO:0046835,GO:0001678,GO:0051156,GO:0010255,GO:0006006,GO:0006096,GO:0019320,GO:0012501,GO:2000032,GO:0006357,GO:0090332,GO:0010182,GO:0010148</t>
  </si>
  <si>
    <t>cytosol|mitochondrial outer membrane|mitochondrion|nucleus|plant-type vacuole|protein-containing complex|ATP binding|core promoter sequence-specific DNA binding|fructokinase activity|glucokinase activity|glucose binding|hexokinase activity|zinc ion binding|carbohydrate phosphorylation|cellular glucose homeostasis|glucose 6-phosphate metabolic process|glucose mediated signaling pathway|glucose metabolic process|glycolytic process|hexose catabolic process|programmed cell death|regulation of secondary shoot formation|regulation of transcription by RNA polymerase II|stomatal closure|sugar mediated signaling pathway|transpiration</t>
  </si>
  <si>
    <t>J2O13_03G005858</t>
  </si>
  <si>
    <t>4.30E-07</t>
  </si>
  <si>
    <t>3.34E-06</t>
  </si>
  <si>
    <t>J2O13_03G005859</t>
  </si>
  <si>
    <t>3.48E-44</t>
  </si>
  <si>
    <t>1.11E-41</t>
  </si>
  <si>
    <t>DTX51</t>
  </si>
  <si>
    <t>Protein DETOXIFICATION 51</t>
  </si>
  <si>
    <t>GO:0010008,GO:0005770,GO:0031902,GO:0016020,GO:0015297,GO:0022857,GO:0042910,GO:0010252,GO:0006952,GO:0031348,GO:0046620,GO:0010015,GO:1990961</t>
  </si>
  <si>
    <t>endosome membrane|late endosome|late endosome membrane|membrane|antiporter activity|transmembrane transporter activity|xenobiotic transmembrane transporter activity|auxin homeostasis|defense response|negative regulation of defense response|regulation of organ growth|root morphogenesis|xenobiotic detoxification by transmembrane export across the plasma membrane</t>
  </si>
  <si>
    <t>J2O13_03G005861</t>
  </si>
  <si>
    <t>2.83E-08</t>
  </si>
  <si>
    <t>2.74E-07</t>
  </si>
  <si>
    <t>IQD26</t>
  </si>
  <si>
    <t>Protein IQ-domain 26</t>
  </si>
  <si>
    <t>GO:0005737,GO:0005856,GO:0005886,GO:0005516</t>
  </si>
  <si>
    <t>cytoplasm|cytoskeleton|plasma membrane|calmodulin binding</t>
  </si>
  <si>
    <t>J2O13_03G005863</t>
  </si>
  <si>
    <t>3.65E-12</t>
  </si>
  <si>
    <t>6.26E-11</t>
  </si>
  <si>
    <t>PP2C06</t>
  </si>
  <si>
    <t>Probable protein phosphatase 2C 6</t>
  </si>
  <si>
    <t>ko04016,ko04075,ko04931</t>
  </si>
  <si>
    <t>MAPK signaling pathway - plant|Plant hormone signal transduction|Insulin resistance</t>
  </si>
  <si>
    <t>GO:0005829,GO:0005634,GO:0046872,GO:0017018,GO:0004722,GO:0009738,GO:0035970</t>
  </si>
  <si>
    <t>cytosol|nucleus|metal ion binding|myosin phosphatase activity|protein serine/threonine phosphatase activity|abscisic acid-activated signaling pathway|peptidyl-threonine dephosphorylation</t>
  </si>
  <si>
    <t>J2O13_03G005864</t>
  </si>
  <si>
    <t>8.44E-06</t>
  </si>
  <si>
    <t>5.06E-05</t>
  </si>
  <si>
    <t>RDUF1</t>
  </si>
  <si>
    <t>E3 ubiquitin-protein ligase RDUF1</t>
  </si>
  <si>
    <t>GO:0005737,GO:0005829,GO:0005634,GO:0046872,GO:0061630,GO:0004842,GO:0009738,GO:0051865,GO:0016567,GO:0009737,GO:0009414</t>
  </si>
  <si>
    <t>cytoplasm|cytosol|nucleus|metal ion binding|ubiquitin protein ligase activity|ubiquitin-protein transferase activity|abscisic acid-activated signaling pathway|protein autoubiquitination|protein ubiquitination|response to abscisic acid|response to water deprivation</t>
  </si>
  <si>
    <t>J2O13_03G005867</t>
  </si>
  <si>
    <t>3.09E-08</t>
  </si>
  <si>
    <t>2.96E-07</t>
  </si>
  <si>
    <t>RDR3</t>
  </si>
  <si>
    <t>Probable RNA-dependent RNA polymerase 3</t>
  </si>
  <si>
    <t>GO:0031380,GO:0003723,GO:0003968,GO:0030422</t>
  </si>
  <si>
    <t>nuclear RNA-directed RNA polymerase complex|RNA binding|RNA-dependent RNA polymerase activity|siRNA processing</t>
  </si>
  <si>
    <t>J2O13_03G005869</t>
  </si>
  <si>
    <t>AtMg00860</t>
  </si>
  <si>
    <t>Uncharacterized mitochondrial protein AtMg00860</t>
  </si>
  <si>
    <t>GO:0005739</t>
  </si>
  <si>
    <t>mitochondrion</t>
  </si>
  <si>
    <t>J2O13_03G005894</t>
  </si>
  <si>
    <t>3.94E-11</t>
  </si>
  <si>
    <t>5.83E-10</t>
  </si>
  <si>
    <t>J2O13_03G005901</t>
  </si>
  <si>
    <t>3.39E-16</t>
  </si>
  <si>
    <t>9.65E-15</t>
  </si>
  <si>
    <t>PETs</t>
  </si>
  <si>
    <t>Polyprotein of EF-Ts, chloroplastic</t>
  </si>
  <si>
    <t>GO:0009507,GO:0009941,GO:0043253,GO:0009570,GO:0005739,GO:0005886,GO:0003729,GO:1905538,GO:0003746,GO:0061770,GO:0006414</t>
  </si>
  <si>
    <t>chloroplast|chloroplast envelope|chloroplast ribosome|chloroplast stroma|mitochondrion|plasma membrane|mRNA binding|polysome binding|translation elongation factor activity|translation elongation factor binding|translational elongation</t>
  </si>
  <si>
    <t>J2O13_03G005911</t>
  </si>
  <si>
    <t>ARAC7</t>
  </si>
  <si>
    <t>Rac-like GTP-binding protein ARAC7</t>
  </si>
  <si>
    <t>ko04010,ko04013,ko04014,ko04015,ko04310,ko04370,ko04071,ko04024,ko04151,ko04145,ko04510,ko04520,ko04530,ko04810,ko04613,ko04620,ko04650,ko04662,ko04664,ko04666,ko04670,ko04062,ko04972,ko04722,ko04360,ko04361,ko04380,ko05200,ko05205,ko05208,ko05203,ko05231,ko05210,ko05212,ko05211,ko05170,ko05163,ko05167,ko05169,ko05120,ko05130,ko05132,ko05131,ko05135,ko05100,ko05014,ko05020,ko05022,ko05417,ko05418,ko05415,ko05416,ko04932,ko04933</t>
  </si>
  <si>
    <t>MAPK signaling pathway|MAPK signaling pathway - fly|Ras signaling pathway|Rap1 signaling pathway|Wnt signaling pathway|VEGF signaling pathway|Sphingolipid signaling pathway|cAMP signaling pathway|PI3K-Akt signaling pathway|Phagosome|Focal adhesion|Adherens junction|Tight junction|Regulation of actin cytoskeleton|Neutrophil extracellular trap formation|Toll-like receptor signaling pathway|Natural killer cell mediated cytotoxicity|B cell receptor signaling pathway|Fc epsilon RI signaling pathway|Fc gamma R-mediated phagocytosis|Leukocyte transendothelial migration|Chemokine signaling pathway|Pancreatic secretion|Neurotrophin signaling pathway|Axon guidance|Axon regeneration|Osteoclast differentiation|Pathways in cancer|Proteoglycans in cancer|Chemical carcinogenesis - reactive oxygen species|Viral carcinogenesis|Choline metabolism in cancer|Colorectal cancer|Pancreatic cancer|Renal cell carcinoma|Human immunodeficiency virus 1 infection|Human cytomegalovirus infection|Kaposi sarcoma-associated herpesvirus infection|Epstein-Barr virus infection|Epithelial cell signaling in Helicobacter pylori infection|Pathogenic Escherichia coli infection|Salmonella infection|Shigellosis|Yersinia infection|Bacterial invasion of epithelial cells|Amyotrophic lateral sclerosis|Prion disease|Pathways of neurodegeneration - multiple diseases|Lipid and atherosclerosis|Fluid shear stress and atherosclerosis|Diabetic cardiomyopathy|Viral myocarditis|Non-alcoholic fatty liver disease|AGE-RAGE signaling pathway in diabetic complications</t>
  </si>
  <si>
    <t>GO:0005938,GO:0042995,GO:0031410,GO:0005856,GO:0005634,GO:0005886,GO:0005525,GO:0003924,GO:0019901,GO:0009738,GO:0007015,GO:0030865,GO:0007163,GO:0032956,GO:0008360,GO:0007264</t>
  </si>
  <si>
    <t>cell cortex|cell projection|cytoplasmic vesicle|cytoskeleton|nucleus|plasma membrane|GTP binding|GTPase activity|protein kinase binding|abscisic acid-activated signaling pathway|actin filament organization|cortical cytoskeleton organization|establishment or maintenance of cell polarity|regulation of actin cytoskeleton organization|regulation of cell shape|small GTPase mediated signal transduction</t>
  </si>
  <si>
    <t>J2O13_03G005917</t>
  </si>
  <si>
    <t>2.66E-08</t>
  </si>
  <si>
    <t>2.58E-07</t>
  </si>
  <si>
    <t>AIM1</t>
  </si>
  <si>
    <t>Peroxisomal fatty acid beta-oxidation multifunctional protein AIM1</t>
  </si>
  <si>
    <t>ko00071,ko00592</t>
  </si>
  <si>
    <t>Fatty acid degradation|alpha-Linolenic acid metabolism</t>
  </si>
  <si>
    <t>GO:0005777,GO:0009505,GO:0005886,GO:0009506,GO:0003857,GO:0008692,GO:0004165,GO:0004300,GO:0070403,GO:0006635,GO:0009908,GO:0009695</t>
  </si>
  <si>
    <t>peroxisome|plant-type cell wall|plasma membrane|plasmodesma|3-hydroxyacyl-CoA dehydrogenase activity|3-hydroxybutyryl-CoA epimerase activity|delta(3)-delta(2)-enoyl-CoA isomerase activity|enoyl-CoA hydratase activity|NAD+ binding|fatty acid beta-oxidation|flower development|jasmonic acid biosynthetic process</t>
  </si>
  <si>
    <t>J2O13_03G005922</t>
  </si>
  <si>
    <t>Dynein 8 kDa light chain, flagellar outer arm OS=Chlamydomonas reinhardtii OX=3055 PE=1 SV=1</t>
  </si>
  <si>
    <t>GO:0005930,GO:0097014,GO:0030286,GO:0005874,GO:0031514,GO:0007017,GO:0044458</t>
  </si>
  <si>
    <t>axoneme|ciliary plasm|dynein complex|microtubule|motile cilium|microtubule-based process|motile cilium assembly</t>
  </si>
  <si>
    <t>J2O13_03G005928</t>
  </si>
  <si>
    <t>5.58E-17</t>
  </si>
  <si>
    <t>ATC401</t>
  </si>
  <si>
    <t>Pentatricopeptide repeat-containing protein At5g21222</t>
  </si>
  <si>
    <t>GO:0009536,GO:0005524,GO:0003729,GO:0004672,GO:0006468</t>
  </si>
  <si>
    <t>plastid|ATP binding|mRNA binding|protein kinase activity|protein phosphorylation</t>
  </si>
  <si>
    <t>J2O13_03G005933</t>
  </si>
  <si>
    <t>6.88E-05</t>
  </si>
  <si>
    <t>NYC1</t>
  </si>
  <si>
    <t>Probable chlorophyll(ide) b reductase NYC1, chloroplastic</t>
  </si>
  <si>
    <t>GO:0009507,GO:0009535,GO:0034256,GO:0015996,GO:0010304</t>
  </si>
  <si>
    <t>chloroplast|chloroplast thylakoid membrane|chlorophyll(ide) b reductase activity|chlorophyll catabolic process|PSII associated light-harvesting complex II catabolic process</t>
  </si>
  <si>
    <t>J2O13_03G005935</t>
  </si>
  <si>
    <t>RPL37A</t>
  </si>
  <si>
    <t>60S ribosomal protein L37-1</t>
  </si>
  <si>
    <t>ko03010,ko05171</t>
  </si>
  <si>
    <t>Ribosome|Coronavirus disease - COVID-19</t>
  </si>
  <si>
    <t>GO:0022625,GO:0005576,GO:0046872,GO:0003729,GO:0003723,GO:0019843,GO:0003735,GO:0006412</t>
  </si>
  <si>
    <t>cytosolic large ribosomal subunit|extracellular region|metal ion binding|mRNA binding|RNA binding|rRNA binding|structural constituent of ribosome|translation</t>
  </si>
  <si>
    <t>J2O13_03G005936</t>
  </si>
  <si>
    <t>1.90E-09</t>
  </si>
  <si>
    <t>2.19E-08</t>
  </si>
  <si>
    <t>PLT5</t>
  </si>
  <si>
    <t>Polyol transporter 5</t>
  </si>
  <si>
    <t>GO:0005886,GO:0005351,GO:0015591,GO:0015148,GO:0005354,GO:0005355,GO:0015168,GO:0015575,GO:0015145,GO:0005365,GO:0015576,GO:0010311</t>
  </si>
  <si>
    <t>plasma membrane|carbohydrate:proton symporter activity|D-ribose transmembrane transporter activity|D-xylose transmembrane transporter activity|galactose transmembrane transporter activity|glucose transmembrane transporter activity|glycerol transmembrane transporter activity|mannitol transmembrane transporter activity|monosaccharide transmembrane transporter activity|myo-inositol transmembrane transporter activity|sorbitol transmembrane transporter activity|lateral root formation</t>
  </si>
  <si>
    <t>J2O13_03G005953</t>
  </si>
  <si>
    <t>J2O13_03G005955</t>
  </si>
  <si>
    <t>9.61E-11</t>
  </si>
  <si>
    <t>1.34E-09</t>
  </si>
  <si>
    <t>J2O13_03G005958</t>
  </si>
  <si>
    <t>J2O13_03G005965</t>
  </si>
  <si>
    <t>J2O13_03G005967</t>
  </si>
  <si>
    <t>1.55E-06</t>
  </si>
  <si>
    <t>1.08E-05</t>
  </si>
  <si>
    <t>J2O13_03G005968</t>
  </si>
  <si>
    <t>J2O13_03G005974</t>
  </si>
  <si>
    <t>1.45E-07</t>
  </si>
  <si>
    <t>1.22E-06</t>
  </si>
  <si>
    <t>PDR1</t>
  </si>
  <si>
    <t>Pleiotropic drug resistance protein 1</t>
  </si>
  <si>
    <t>GO:0005886,GO:0140359,GO:0005524,GO:0009914,GO:2000032</t>
  </si>
  <si>
    <t>plasma membrane|ABC-type transporter activity|ATP binding|hormone transport|regulation of secondary shoot formation</t>
  </si>
  <si>
    <t>J2O13_03G005980</t>
  </si>
  <si>
    <t>J2O13_03G006000</t>
  </si>
  <si>
    <t>1.13E-07</t>
  </si>
  <si>
    <t>J2O13_03G006014</t>
  </si>
  <si>
    <t>1.55E-33</t>
  </si>
  <si>
    <t>2.27E-31</t>
  </si>
  <si>
    <t>J2O13_03G006015</t>
  </si>
  <si>
    <t>7.32E-12</t>
  </si>
  <si>
    <t>1.20E-10</t>
  </si>
  <si>
    <t>J2O13_03G006016</t>
  </si>
  <si>
    <t>2.97E-05</t>
  </si>
  <si>
    <t>J2O13_03G006017</t>
  </si>
  <si>
    <t>3.17E-12</t>
  </si>
  <si>
    <t>5.52E-11</t>
  </si>
  <si>
    <t>At3g10130</t>
  </si>
  <si>
    <t>Heme-binding-like protein At3g10130, chloroplastic</t>
  </si>
  <si>
    <t>GO:0009507,GO:0009535,GO:0010287,GO:0020037</t>
  </si>
  <si>
    <t>chloroplast|chloroplast thylakoid membrane|plastoglobule|heme binding</t>
  </si>
  <si>
    <t>J2O13_03G006020</t>
  </si>
  <si>
    <t>1.93E-29</t>
  </si>
  <si>
    <t>2.03E-27</t>
  </si>
  <si>
    <t>At1g52740</t>
  </si>
  <si>
    <t>Probable histone H2A variant 3</t>
  </si>
  <si>
    <t>ko04217,ko04613,ko05322,ko05034</t>
  </si>
  <si>
    <t>Necroptosis|Neutrophil extracellular trap formation|Systemic lupus erythematosus|Alcoholism</t>
  </si>
  <si>
    <t>GO:0000786,GO:0005634,GO:0000325,GO:0003677,GO:0046982,GO:0030527,GO:0044030,GO:0010468,GO:0009266</t>
  </si>
  <si>
    <t>nucleosome|nucleus|plant-type vacuole|DNA binding|protein heterodimerization activity|structural constituent of chromatin|regulation of DNA methylation|regulation of gene expression|response to temperature stimulus</t>
  </si>
  <si>
    <t>J2O13_03G006028</t>
  </si>
  <si>
    <t>9.14E-09</t>
  </si>
  <si>
    <t>9.53E-08</t>
  </si>
  <si>
    <t>J2O13_03G006036</t>
  </si>
  <si>
    <t>At5g20050</t>
  </si>
  <si>
    <t>Probable receptor-like protein kinase At5g20050</t>
  </si>
  <si>
    <t>GO:0016020,GO:0005524,GO:0106310,GO:0004674,GO:0006468</t>
  </si>
  <si>
    <t>membrane|ATP binding|protein serine kinase activity|protein serine/threonine kinase activity|protein phosphorylation</t>
  </si>
  <si>
    <t>J2O13_03G006046</t>
  </si>
  <si>
    <t>PID2</t>
  </si>
  <si>
    <t>Protein kinase PINOID 2</t>
  </si>
  <si>
    <t>GO:0005737,GO:0005634,GO:0005886,GO:0005524,GO:0106310,GO:0004674,GO:0009734,GO:0048825,GO:0006468</t>
  </si>
  <si>
    <t>cytoplasm|nucleus|plasma membrane|ATP binding|protein serine kinase activity|protein serine/threonine kinase activity|auxin-activated signaling pathway|cotyledon development|protein phosphorylation</t>
  </si>
  <si>
    <t>J2O13_03G006059</t>
  </si>
  <si>
    <t>J2O13_03G006064</t>
  </si>
  <si>
    <t>9.93E-11</t>
  </si>
  <si>
    <t>1.38E-09</t>
  </si>
  <si>
    <t>PL10A</t>
  </si>
  <si>
    <t>DEAD-box ATP-dependent RNA helicase 37</t>
  </si>
  <si>
    <t>ko04622,ko05203,ko05161</t>
  </si>
  <si>
    <t>RIG-I-like receptor signaling pathway|Viral carcinogenesis|Hepatitis B</t>
  </si>
  <si>
    <t>GO:0005634,GO:0005524,GO:0016887,GO:0003723,GO:0003724</t>
  </si>
  <si>
    <t>nucleus|ATP binding|ATP hydrolysis activity|RNA binding|RNA helicase activity</t>
  </si>
  <si>
    <t>J2O13_03G006073</t>
  </si>
  <si>
    <t>NPF6.2</t>
  </si>
  <si>
    <t>Protein NRT1/ PTR FAMILY 6.2</t>
  </si>
  <si>
    <t>GO:0016020,GO:0015293,GO:0022857,GO:0042128,GO:0006857,GO:0009753,GO:0009611,GO:0055085</t>
  </si>
  <si>
    <t>membrane|symporter activity|transmembrane transporter activity|nitrate assimilation|oligopeptide transport|response to jasmonic acid|response to wounding|transmembrane transport</t>
  </si>
  <si>
    <t>J2O13_03G006081</t>
  </si>
  <si>
    <t>3.24E-12</t>
  </si>
  <si>
    <t>5.61E-11</t>
  </si>
  <si>
    <t>J2O13_03G006084</t>
  </si>
  <si>
    <t>4.25E-07</t>
  </si>
  <si>
    <t>3.30E-06</t>
  </si>
  <si>
    <t>HO1</t>
  </si>
  <si>
    <t>Heme oxygenase 1, chloroplastic</t>
  </si>
  <si>
    <t>GO:0009507,GO:0020037,GO:0004392,GO:0046872,GO:0016117,GO:0071494,GO:0010019,GO:0009813,GO:0006788,GO:0015979,GO:0010024,GO:0010075,GO:0010119</t>
  </si>
  <si>
    <t>chloroplast|heme binding|heme oxygenase (decyclizing) activity|metal ion binding|carotenoid biosynthetic process|cellular response to UV-C|chloroplast-nucleus signaling pathway|flavonoid biosynthetic process|heme oxidation|photosynthesis|phytochromobilin biosynthetic process|regulation of meristem growth|regulation of stomatal movement</t>
  </si>
  <si>
    <t>J2O13_03G006086</t>
  </si>
  <si>
    <t>2.04E-05</t>
  </si>
  <si>
    <t>J2O13_03G006087</t>
  </si>
  <si>
    <t>2.12E-18</t>
  </si>
  <si>
    <t>7.97E-17</t>
  </si>
  <si>
    <t>PER25</t>
  </si>
  <si>
    <t>Peroxidase 25</t>
  </si>
  <si>
    <t>GO:0005576,GO:0009505,GO:0020037,GO:0140825,GO:0046872,GO:0004601,GO:0042744,GO:0006979</t>
  </si>
  <si>
    <t>extracellular region|plant-type cell wall|heme binding|lactoperoxidase activity|metal ion binding|peroxidase activity|hydrogen peroxide catabolic process|response to oxidative stress</t>
  </si>
  <si>
    <t>J2O13_03G006088</t>
  </si>
  <si>
    <t>4.24E-05</t>
  </si>
  <si>
    <t>J2O13_03G006089</t>
  </si>
  <si>
    <t>J2O13_03G006093</t>
  </si>
  <si>
    <t>5.99E-05</t>
  </si>
  <si>
    <t>PLD1</t>
  </si>
  <si>
    <t>Phospholipase D alpha 1</t>
  </si>
  <si>
    <t>ko00564,ko00565,ko04014,ko04072,ko04071,ko04024,ko04144,ko04666,ko04912,ko04928,ko04724,ko05200,ko05208,ko05231,ko05212</t>
  </si>
  <si>
    <t>Glycerophospholipid metabolism|Ether lipid metabolism|Ras signaling pathway|Phospholipase D signaling pathway|Sphingolipid signaling pathway|cAMP signaling pathway|Endocytosis|Fc gamma R-mediated phagocytosis|GnRH signaling pathway|Parathyroid hormone synthesis, secretion and action|Glutamatergic synapse|Pathways in cancer|Chemical carcinogenesis - reactive oxygen species|Choline metabolism in cancer|Pancreatic cancer</t>
  </si>
  <si>
    <t>GO:0005783,GO:0005886,GO:0009536,GO:0005773,GO:0005509,GO:0070290,GO:0004630,GO:0016042,GO:0046470</t>
  </si>
  <si>
    <t>endoplasmic reticulum|plasma membrane|plastid|vacuole|calcium ion binding|N-acylphosphatidylethanolamine-specific phospholipase D activity|phospholipase D activity|lipid catabolic process|phosphatidylcholine metabolic process</t>
  </si>
  <si>
    <t>J2O13_03G006094</t>
  </si>
  <si>
    <t>1.05E-12</t>
  </si>
  <si>
    <t>1.93E-11</t>
  </si>
  <si>
    <t>J2O13_03G006101</t>
  </si>
  <si>
    <t>6.81E-05</t>
  </si>
  <si>
    <t>J2O13_03G006107</t>
  </si>
  <si>
    <t>J2O13_03G006108</t>
  </si>
  <si>
    <t>1.30E-17</t>
  </si>
  <si>
    <t>4.50E-16</t>
  </si>
  <si>
    <t>At4g02530</t>
  </si>
  <si>
    <t>Thylakoid lumenal 16.5 kDa protein, chloroplastic</t>
  </si>
  <si>
    <t>GO:0009507,GO:0009941,GO:0009570,GO:0009534,GO:0009543,GO:0009535,GO:0005829,GO:0009579,GO:0031977,GO:0010206</t>
  </si>
  <si>
    <t>chloroplast|chloroplast envelope|chloroplast stroma|chloroplast thylakoid|chloroplast thylakoid lumen|chloroplast thylakoid membrane|cytosol|thylakoid|thylakoid lumen|photosystem II repair</t>
  </si>
  <si>
    <t>J2O13_03G006113</t>
  </si>
  <si>
    <t>1.98E-45</t>
  </si>
  <si>
    <t>6.91E-43</t>
  </si>
  <si>
    <t>At3g15810</t>
  </si>
  <si>
    <t>Protein LURP-one-related 12</t>
  </si>
  <si>
    <t>GO:0005829</t>
  </si>
  <si>
    <t>cytosol</t>
  </si>
  <si>
    <t>4.92E-17</t>
  </si>
  <si>
    <t>1.56E-15</t>
  </si>
  <si>
    <t>Auxin-responsive protein IAA29</t>
  </si>
  <si>
    <t>GO:0005634,GO:0003700,GO:0009734,GO:0009733,GO:0010583,GO:0010218,GO:0009635,GO:0010114</t>
  </si>
  <si>
    <t>nucleus|DNA-binding transcription factor activity|auxin-activated signaling pathway|response to auxin|response to cyclopentenone|response to far red light|response to herbicide|response to red light</t>
  </si>
  <si>
    <t>J2O13_03G006125</t>
  </si>
  <si>
    <t>MYB82</t>
  </si>
  <si>
    <t>Transcription factor MYB82</t>
  </si>
  <si>
    <t>GO:0005634,GO:0000976,GO:0030154,GO:0045893,GO:0010026</t>
  </si>
  <si>
    <t>nucleus|transcription cis-regulatory region binding|cell differentiation|positive regulation of DNA-templated transcription|trichome differentiation</t>
  </si>
  <si>
    <t>J2O13_03G006129</t>
  </si>
  <si>
    <t>3.98E-07</t>
  </si>
  <si>
    <t>3.11E-06</t>
  </si>
  <si>
    <t>PBL34</t>
  </si>
  <si>
    <t>Serine/threonine-protein kinase PBL34</t>
  </si>
  <si>
    <t>GO:0005886,GO:0005524,GO:0106310,GO:0004674,GO:0006952,GO:0031663,GO:0002221,GO:0006468</t>
  </si>
  <si>
    <t>plasma membrane|ATP binding|protein serine kinase activity|protein serine/threonine kinase activity|defense response|lipopolysaccharide-mediated signaling pathway|pattern recognition receptor signaling pathway|protein phosphorylation</t>
  </si>
  <si>
    <t>J2O13_03G006132</t>
  </si>
  <si>
    <t>7.80E-08</t>
  </si>
  <si>
    <t>6.94E-07</t>
  </si>
  <si>
    <t>CML2</t>
  </si>
  <si>
    <t>Calmodulin-like protein 2</t>
  </si>
  <si>
    <t>GO:0005737,GO:0005509,GO:0009567</t>
  </si>
  <si>
    <t>cytoplasm|calcium ion binding|double fertilization forming a zygote and endosperm</t>
  </si>
  <si>
    <t>J2O13_03G006134</t>
  </si>
  <si>
    <t>2.15E-23</t>
  </si>
  <si>
    <t>1.28E-21</t>
  </si>
  <si>
    <t>HAT</t>
  </si>
  <si>
    <t>Zinc finger BED domain-containing protein DAYSLEEPER</t>
  </si>
  <si>
    <t>GO:0005829,GO:0005634,GO:0003677,GO:0046872,GO:0046983,GO:0009791</t>
  </si>
  <si>
    <t>cytosol|nucleus|DNA binding|metal ion binding|protein dimerization activity|post-embryonic development</t>
  </si>
  <si>
    <t>J2O13_03G006137</t>
  </si>
  <si>
    <t>ko04550</t>
  </si>
  <si>
    <t>Signaling pathways regulating pluripotency of stem cells</t>
  </si>
  <si>
    <t>J2O13_03G006158</t>
  </si>
  <si>
    <t>J2O13_03G006162</t>
  </si>
  <si>
    <t>3.09E-05</t>
  </si>
  <si>
    <t>MGD2</t>
  </si>
  <si>
    <t>Monogalactosyldiacylglycerol synthase 2, chloroplastic</t>
  </si>
  <si>
    <t>ko00561</t>
  </si>
  <si>
    <t>Glycerolipid metabolism</t>
  </si>
  <si>
    <t>GO:0009707,GO:0046509,GO:0035250,GO:0016036,GO:0006631,GO:0019374,GO:0009247</t>
  </si>
  <si>
    <t>chloroplast outer membrane|1,2-diacylglycerol 3-beta-galactosyltransferase activity|UDP-galactosyltransferase activity|cellular response to phosphate starvation|fatty acid metabolic process|galactolipid metabolic process|glycolipid biosynthetic process</t>
  </si>
  <si>
    <t>J2O13_03G006171</t>
  </si>
  <si>
    <t>8.69E-08</t>
  </si>
  <si>
    <t>7.65E-07</t>
  </si>
  <si>
    <t>ANTR6</t>
  </si>
  <si>
    <t>Probable anion transporter 6, chloroplastic</t>
  </si>
  <si>
    <t>GO:0031969,GO:0009536,GO:0005315,GO:0006952</t>
  </si>
  <si>
    <t>chloroplast membrane|plastid|inorganic phosphate transmembrane transporter activity|defense response</t>
  </si>
  <si>
    <t>J2O13_03G006174</t>
  </si>
  <si>
    <t>2.76E-10</t>
  </si>
  <si>
    <t>3.61E-09</t>
  </si>
  <si>
    <t>FMO2</t>
  </si>
  <si>
    <t>Putative flavin-containing monooxygenase 2</t>
  </si>
  <si>
    <t>GO:0050660,GO:0004499,GO:0050661</t>
  </si>
  <si>
    <t>flavin adenine dinucleotide binding|N,N-dimethylaniline monooxygenase activity|NADP binding</t>
  </si>
  <si>
    <t>J2O13_03G006178</t>
  </si>
  <si>
    <t>J2O13_03G006181</t>
  </si>
  <si>
    <t>J2O13_03G006184</t>
  </si>
  <si>
    <t>1.95E-10</t>
  </si>
  <si>
    <t>2.60E-09</t>
  </si>
  <si>
    <t>J2O13_03G006198</t>
  </si>
  <si>
    <t>9.74E-14</t>
  </si>
  <si>
    <t>2.06E-12</t>
  </si>
  <si>
    <t>J2O13_03G006199</t>
  </si>
  <si>
    <t>5.76E-12</t>
  </si>
  <si>
    <t>9.58E-11</t>
  </si>
  <si>
    <t>RLP8</t>
  </si>
  <si>
    <t>Receptor-like protein 8</t>
  </si>
  <si>
    <t>J2O13_03G006203</t>
  </si>
  <si>
    <t>5.03E-35</t>
  </si>
  <si>
    <t>8.08E-33</t>
  </si>
  <si>
    <t>J2O13_03G006205</t>
  </si>
  <si>
    <t>J2O13_03G006208</t>
  </si>
  <si>
    <t>J2O13_03G006209</t>
  </si>
  <si>
    <t>1.76E-10</t>
  </si>
  <si>
    <t>2.36E-09</t>
  </si>
  <si>
    <t>At2g41040</t>
  </si>
  <si>
    <t>Uncharacterized methyltransferase At2g41040, chloroplastic</t>
  </si>
  <si>
    <t>GO:0009507,GO:0010287,GO:0008168,GO:0032259,GO:0006744</t>
  </si>
  <si>
    <t>chloroplast|plastoglobule|methyltransferase activity|methylation|ubiquinone biosynthetic process</t>
  </si>
  <si>
    <t>J2O13_03G006213</t>
  </si>
  <si>
    <t>7.80E-12</t>
  </si>
  <si>
    <t>CRR6</t>
  </si>
  <si>
    <t>Protein CHLORORESPIRATORY REDUCTION 6, chloroplastic</t>
  </si>
  <si>
    <t>GO:0009507,GO:0009570,GO:0009535,GO:0005829,GO:0010275</t>
  </si>
  <si>
    <t>chloroplast|chloroplast stroma|chloroplast thylakoid membrane|cytosol|NAD(P)H dehydrogenase complex assembly</t>
  </si>
  <si>
    <t>J2O13_03G006215</t>
  </si>
  <si>
    <t>4.39E-12</t>
  </si>
  <si>
    <t>7.46E-11</t>
  </si>
  <si>
    <t>J2O13_03G006222</t>
  </si>
  <si>
    <t>J2O13_03G006224</t>
  </si>
  <si>
    <t>1.19E-09</t>
  </si>
  <si>
    <t>1.42E-08</t>
  </si>
  <si>
    <t>J2O13_03G006230</t>
  </si>
  <si>
    <t>9.34E-25</t>
  </si>
  <si>
    <t>6.30E-23</t>
  </si>
  <si>
    <t>CYP28</t>
  </si>
  <si>
    <t>Peptidyl-prolyl cis-trans isomerase CYP28, chloroplastic</t>
  </si>
  <si>
    <t>GO:0009507,GO:0009536,GO:0031977,GO:0003755,GO:0000413</t>
  </si>
  <si>
    <t>chloroplast|plastid|thylakoid lumen|peptidyl-prolyl cis-trans isomerase activity|protein peptidyl-prolyl isomerization</t>
  </si>
  <si>
    <t>J2O13_03G006242</t>
  </si>
  <si>
    <t>STA</t>
  </si>
  <si>
    <t>Sugar carrier protein A</t>
  </si>
  <si>
    <t>GO:0016020,GO:0015145,GO:0015293</t>
  </si>
  <si>
    <t>membrane|monosaccharide transmembrane transporter activity|symporter activity</t>
  </si>
  <si>
    <t>J2O13_03G006249</t>
  </si>
  <si>
    <t>3.91E-19</t>
  </si>
  <si>
    <t>1.59E-17</t>
  </si>
  <si>
    <t>J2O13_03G006253</t>
  </si>
  <si>
    <t>3.28E-10</t>
  </si>
  <si>
    <t>4.27E-09</t>
  </si>
  <si>
    <t>CHIT5A</t>
  </si>
  <si>
    <t>Class V chitinase CHIT5a</t>
  </si>
  <si>
    <t>GO:0005576,GO:0008061,GO:0004568,GO:0006032,GO:0050832,GO:0000272</t>
  </si>
  <si>
    <t>extracellular region|chitin binding|chitinase activity|chitin catabolic process|defense response to fungus|polysaccharide catabolic process</t>
  </si>
  <si>
    <t>J2O13_03G006254</t>
  </si>
  <si>
    <t>2.54E-10</t>
  </si>
  <si>
    <t>3.35E-09</t>
  </si>
  <si>
    <t>ChiC</t>
  </si>
  <si>
    <t>Class V chitinase</t>
  </si>
  <si>
    <t>GO:0005576,GO:0099503,GO:0008061,GO:0004568,GO:0008843,GO:0035885,GO:0006032,GO:0000272,GO:0009737,GO:0009753,GO:0009651</t>
  </si>
  <si>
    <t>extracellular region|secretory vesicle|chitin binding|chitinase activity|endochitinase activity|exochitinase activity|chitin catabolic process|polysaccharide catabolic process|response to abscisic acid|response to jasmonic acid|response to salt stress</t>
  </si>
  <si>
    <t>J2O13_03G006262</t>
  </si>
  <si>
    <t>1.29E-05</t>
  </si>
  <si>
    <t>7.43E-05</t>
  </si>
  <si>
    <t>RNA-directed DNA polymerase homolog OS=Oenothera berteroana OX=3950 PE=4 SV=1</t>
  </si>
  <si>
    <t>GO:0005739,GO:0003968,GO:0003964</t>
  </si>
  <si>
    <t>mitochondrion|RNA-dependent RNA polymerase activity|RNA-directed DNA polymerase activity</t>
  </si>
  <si>
    <t>J2O13_03G006265</t>
  </si>
  <si>
    <t>9.67E-05</t>
  </si>
  <si>
    <t>TIL</t>
  </si>
  <si>
    <t>Temperature-induced lipocalin-1</t>
  </si>
  <si>
    <t>GO:0009941,GO:0031969,GO:0005737,GO:0009898,GO:0005829,GO:0005783,GO:0005794,GO:0005739,GO:0000325,GO:0005886,GO:0009506,GO:0009536,GO:0045735,GO:0030644,GO:0071456,GO:0006883,GO:0010286,GO:0042538,GO:0006629,GO:1902884,GO:1901002,GO:0009409,GO:0050826,GO:0009408,GO:0009644,GO:0009416,GO:1901562,GO:0000302,GO:0009414,GO:0010431</t>
  </si>
  <si>
    <t>chloroplast envelope|chloroplast membrane|cytoplasm|cytoplasmic side of plasma membrane|cytosol|endoplasmic reticulum|Golgi apparatus|mitochondrion|plant-type vacuole|plasma membrane|plasmodesma|plastid|nutrient reservoir activity|cellular chloride ion homeostasis|cellular response to hypoxia|cellular sodium ion homeostasis|heat acclimation|hyperosmotic salinity response|lipid metabolic process|positive regulation of response to oxidative stress|positive regulation of response to salt stress|response to cold|response to freezing|response to heat|response to high light intensity|response to light stimulus|response to paraquat|response to reactive oxygen species|response to water deprivation|seed maturation</t>
  </si>
  <si>
    <t>J2O13_03G006278</t>
  </si>
  <si>
    <t>1.15E-09</t>
  </si>
  <si>
    <t>1.37E-08</t>
  </si>
  <si>
    <t>J2O13_03G006280</t>
  </si>
  <si>
    <t>9.18E-11</t>
  </si>
  <si>
    <t>1.28E-09</t>
  </si>
  <si>
    <t>RHL1</t>
  </si>
  <si>
    <t>bHLH transcription factor RHL1</t>
  </si>
  <si>
    <t>GO:0005634,GO:0003677,GO:0046983</t>
  </si>
  <si>
    <t>nucleus|DNA binding|protein dimerization activity</t>
  </si>
  <si>
    <t>J2O13_03G006288</t>
  </si>
  <si>
    <t>9.88E-13</t>
  </si>
  <si>
    <t>FH13</t>
  </si>
  <si>
    <t>Formin-like protein 13</t>
  </si>
  <si>
    <t>GO:0004721</t>
  </si>
  <si>
    <t>phosphoprotein phosphatase activity</t>
  </si>
  <si>
    <t>J2O13_03G006290</t>
  </si>
  <si>
    <t>1.27E-11</t>
  </si>
  <si>
    <t>2.02E-10</t>
  </si>
  <si>
    <t>At2g24240</t>
  </si>
  <si>
    <t>BTB/POZ domain-containing protein At2g24240</t>
  </si>
  <si>
    <t>GO:0051260,GO:0016567</t>
  </si>
  <si>
    <t>protein homooligomerization|protein ubiquitination</t>
  </si>
  <si>
    <t>J2O13_03G006292</t>
  </si>
  <si>
    <t>1.69E-15</t>
  </si>
  <si>
    <t>4.51E-14</t>
  </si>
  <si>
    <t>UBP23</t>
  </si>
  <si>
    <t>Ubiquitin carboxyl-terminal hydrolase 23</t>
  </si>
  <si>
    <t>GO:0005829,GO:0005634,GO:0004843,GO:0004197,GO:0016579,GO:0006511</t>
  </si>
  <si>
    <t>cytosol|nucleus|cysteine-type deubiquitinase activity|cysteine-type endopeptidase activity|protein deubiquitination|ubiquitin-dependent protein catabolic process</t>
  </si>
  <si>
    <t>J2O13_03G006293</t>
  </si>
  <si>
    <t>At2g24230</t>
  </si>
  <si>
    <t>Probable LRR receptor-like serine/threonine-protein kinase At2g24230</t>
  </si>
  <si>
    <t>J2O13_03G006306</t>
  </si>
  <si>
    <t>APO2</t>
  </si>
  <si>
    <t>APO protein 2, chloroplastic</t>
  </si>
  <si>
    <t>GO:0009507,GO:0003723</t>
  </si>
  <si>
    <t>chloroplast|RNA binding</t>
  </si>
  <si>
    <t>J2O13_03G006313</t>
  </si>
  <si>
    <t>2.28E-14</t>
  </si>
  <si>
    <t>5.27E-13</t>
  </si>
  <si>
    <t>ko04361</t>
  </si>
  <si>
    <t>Axon regeneration</t>
  </si>
  <si>
    <t>J2O13_03G006328</t>
  </si>
  <si>
    <t>6.46E-09</t>
  </si>
  <si>
    <t>J2O13_03G006331</t>
  </si>
  <si>
    <t>J2O13_03G006356</t>
  </si>
  <si>
    <t>3.91E-26</t>
  </si>
  <si>
    <t>3.08E-24</t>
  </si>
  <si>
    <t>J2O13_03G006357</t>
  </si>
  <si>
    <t>J2O13_03G006360</t>
  </si>
  <si>
    <t>3.57E-45</t>
  </si>
  <si>
    <t>1.22E-42</t>
  </si>
  <si>
    <t>RPL35</t>
  </si>
  <si>
    <t>50S ribosomal protein L35, chloroplastic</t>
  </si>
  <si>
    <t>GO:0009507,GO:0015934,GO:0003729,GO:0003735,GO:0006412</t>
  </si>
  <si>
    <t>chloroplast|large ribosomal subunit|mRNA binding|structural constituent of ribosome|translation</t>
  </si>
  <si>
    <t>J2O13_03G006371</t>
  </si>
  <si>
    <t>J2O13_03G006373</t>
  </si>
  <si>
    <t>8.82E-08</t>
  </si>
  <si>
    <t>SAMDC</t>
  </si>
  <si>
    <t>S-adenosylmethionine decarboxylase proenzyme</t>
  </si>
  <si>
    <t>ko00270,ko00330</t>
  </si>
  <si>
    <t>Cysteine and methionine metabolism|Arginine and proline metabolism</t>
  </si>
  <si>
    <t>GO:0005829,GO:0004014,GO:0008295,GO:0006597</t>
  </si>
  <si>
    <t>cytosol|adenosylmethionine decarboxylase activity|spermidine biosynthetic process|spermine biosynthetic process</t>
  </si>
  <si>
    <t>J2O13_03G006379</t>
  </si>
  <si>
    <t>2.30E-24</t>
  </si>
  <si>
    <t>1.49E-22</t>
  </si>
  <si>
    <t>J2O13_03G006383</t>
  </si>
  <si>
    <t>9.07E-27</t>
  </si>
  <si>
    <t>7.42E-25</t>
  </si>
  <si>
    <t>At5g35200</t>
  </si>
  <si>
    <t>Putative clathrin assembly protein At5g35200</t>
  </si>
  <si>
    <t>GO:0005905,GO:0030136,GO:0005794,GO:0005545,GO:0032050,GO:0005546,GO:0000149,GO:0048268,GO:0072583,GO:0006900</t>
  </si>
  <si>
    <t>clathrin-coated pit|clathrin-coated vesicle|Golgi apparatus|1-phosphatidylinositol binding|clathrin heavy chain binding|phosphatidylinositol-4,5-bisphosphate binding|SNARE binding|clathrin coat assembly|clathrin-dependent endocytosis|vesicle budding from membrane</t>
  </si>
  <si>
    <t>J2O13_03G006386</t>
  </si>
  <si>
    <t>4.64E-06</t>
  </si>
  <si>
    <t>2.93E-05</t>
  </si>
  <si>
    <t>GO:0005737,GO:0016621,GO:0000166,GO:0007623,GO:0010597,GO:0009809,GO:0009699</t>
  </si>
  <si>
    <t>cytoplasm|cinnamoyl-CoA reductase activity|nucleotide binding|circadian rhythm|green leaf volatile biosynthetic process|lignin biosynthetic process|phenylpropanoid biosynthetic process</t>
  </si>
  <si>
    <t>J2O13_03G006387</t>
  </si>
  <si>
    <t>KS</t>
  </si>
  <si>
    <t>Ent-kaur-16-ene synthase, chloroplastic</t>
  </si>
  <si>
    <t>GO:0009507,GO:0009899,GO:0000287,GO:0009686</t>
  </si>
  <si>
    <t>chloroplast|ent-kaurene synthase activity|magnesium ion binding|gibberellin biosynthetic process</t>
  </si>
  <si>
    <t>J2O13_03G006392</t>
  </si>
  <si>
    <t>4.58E-24</t>
  </si>
  <si>
    <t>2.86E-22</t>
  </si>
  <si>
    <t>J2O13_03G006393</t>
  </si>
  <si>
    <t>1.58E-17</t>
  </si>
  <si>
    <t>5.36E-16</t>
  </si>
  <si>
    <t>J2O13_03G006404</t>
  </si>
  <si>
    <t>4.21E-11</t>
  </si>
  <si>
    <t>6.21E-10</t>
  </si>
  <si>
    <t>At4g30420</t>
  </si>
  <si>
    <t>WAT1-related protein At4g30420</t>
  </si>
  <si>
    <t>J2O13_03G006405</t>
  </si>
  <si>
    <t>7.55E-06</t>
  </si>
  <si>
    <t>4.58E-05</t>
  </si>
  <si>
    <t>J2O13_03G006411</t>
  </si>
  <si>
    <t>IBL1</t>
  </si>
  <si>
    <t>Transcription factor IBH1-like 1</t>
  </si>
  <si>
    <t>GO:0005634,GO:0003700,GO:0046983,GO:0000976,GO:0009742,GO:0009740,GO:0040008</t>
  </si>
  <si>
    <t>nucleus|DNA-binding transcription factor activity|protein dimerization activity|transcription cis-regulatory region binding|brassinosteroid mediated signaling pathway|gibberellic acid mediated signaling pathway|regulation of growth</t>
  </si>
  <si>
    <t>J2O13_03G006425</t>
  </si>
  <si>
    <t>3.81E-47</t>
  </si>
  <si>
    <t>1.47E-44</t>
  </si>
  <si>
    <t>J2O13_03G006437</t>
  </si>
  <si>
    <t>8.41E-05</t>
  </si>
  <si>
    <t>GDU3</t>
  </si>
  <si>
    <t>Protein GLUTAMINE DUMPER 3</t>
  </si>
  <si>
    <t>GO:0016020,GO:0006865,GO:0019048,GO:0080143,GO:0009615,GO:0032940</t>
  </si>
  <si>
    <t>membrane|amino acid transport|modulation by virus of host process|regulation of amino acid export|response to virus|secretion by cell</t>
  </si>
  <si>
    <t>J2O13_03G006442</t>
  </si>
  <si>
    <t>Os07g0190000</t>
  </si>
  <si>
    <t>Probable 1-deoxy-D-xylulose-5-phosphate synthase 2, chloroplastic</t>
  </si>
  <si>
    <t>ko00730,ko00900</t>
  </si>
  <si>
    <t>Thiamine metabolism|Terpenoid backbone biosynthesis</t>
  </si>
  <si>
    <t>GO:0009507,GO:0008661,GO:0046872,GO:0016744,GO:0052865,GO:0016114,GO:0009228</t>
  </si>
  <si>
    <t>chloroplast|1-deoxy-D-xylulose-5-phosphate synthase activity|metal ion binding|transketolase or transaldolase activity|1-deoxy-D-xylulose 5-phosphate biosynthetic process|terpenoid biosynthetic process|thiamine biosynthetic process</t>
  </si>
  <si>
    <t>J2O13_03G006446</t>
  </si>
  <si>
    <t>4.65E-20</t>
  </si>
  <si>
    <t>2.05E-18</t>
  </si>
  <si>
    <t>At4g14100</t>
  </si>
  <si>
    <t>Uncharacterized protein At4g14100</t>
  </si>
  <si>
    <t>GO:0000325,GO:0099503</t>
  </si>
  <si>
    <t>plant-type vacuole|secretory vesicle</t>
  </si>
  <si>
    <t>J2O13_03G006449</t>
  </si>
  <si>
    <t>CIPK21</t>
  </si>
  <si>
    <t>CBL-interacting serine/threonine-protein kinase 21</t>
  </si>
  <si>
    <t>GO:0005829,GO:0009705,GO:0005524,GO:0106310,GO:0004674,GO:0071470,GO:0071472,GO:0035556,GO:0006468</t>
  </si>
  <si>
    <t>cytosol|plant-type vacuole membrane|ATP binding|protein serine kinase activity|protein serine/threonine kinase activity|cellular response to osmotic stress|cellular response to salt stress|intracellular signal transduction|protein phosphorylation</t>
  </si>
  <si>
    <t>J2O13_03G006455</t>
  </si>
  <si>
    <t>DTX16</t>
  </si>
  <si>
    <t>Protein DETOXIFICATION 16</t>
  </si>
  <si>
    <t>GO:0016020,GO:0000325,GO:0009536,GO:0015297,GO:0022857,GO:0042910,GO:0009624,GO:1990961</t>
  </si>
  <si>
    <t>membrane|plant-type vacuole|plastid|antiporter activity|transmembrane transporter activity|xenobiotic transmembrane transporter activity|response to nematode|xenobiotic detoxification by transmembrane export across the plasma membrane</t>
  </si>
  <si>
    <t>J2O13_03G006459</t>
  </si>
  <si>
    <t>J2O13_03G006464</t>
  </si>
  <si>
    <t>2.95E-08</t>
  </si>
  <si>
    <t>EDR1</t>
  </si>
  <si>
    <t>Serine/threonine-protein kinase EDR1</t>
  </si>
  <si>
    <t>GO:0005737,GO:0005829,GO:0005769,GO:0005783,GO:0005768,GO:0005634,GO:0005886,GO:0005802,GO:0012510,GO:0005524,GO:0016301,GO:0004709,GO:0004672,GO:0106310,GO:0004712,GO:0009738,GO:0008219,GO:0002229,GO:0009873,GO:0000165,GO:0009788,GO:0046777,GO:1900424,GO:1900150,GO:2000031,GO:0009617,GO:0009723,GO:0009620,GO:0009414,GO:0007165</t>
  </si>
  <si>
    <t>cytoplasm|cytosol|early endosome|endoplasmic reticulum|endosome|nucleus|plasma membrane|trans-Golgi network|trans-Golgi network transport vesicle membrane|ATP binding|kinase activity|MAP kinase kinase kinase activity|protein kinase activity|protein serine kinase activity|protein serine/threonine/tyrosine kinase activity|abscisic acid-activated signaling pathway|cell death|defense response to oomycetes|ethylene-activated signaling pathway|MAPK cascade|negative regulation of abscisic acid-activated signaling pathway|protein autophosphorylation|regulation of defense response to bacterium|regulation of defense response to fungus|regulation of salicylic acid mediated signaling pathway|response to bacterium|response to ethylene|response to fungus|response to water deprivation|signal transduction</t>
  </si>
  <si>
    <t>J2O13_03G006470</t>
  </si>
  <si>
    <t>XTH25</t>
  </si>
  <si>
    <t>Probable xyloglucan endotransglucosylase/hydrolase protein 25</t>
  </si>
  <si>
    <t>GO:0048046,GO:0004553,GO:0030247,GO:0016762,GO:0071555,GO:0009832,GO:0010411</t>
  </si>
  <si>
    <t>apoplast|hydrolase activity, hydrolyzing O-glycosyl compounds|polysaccharide binding|xyloglucan:xyloglucosyl transferase activity|cell wall organization|plant-type cell wall biogenesis|xyloglucan metabolic process</t>
  </si>
  <si>
    <t>J2O13_03G006473</t>
  </si>
  <si>
    <t>XTH23</t>
  </si>
  <si>
    <t>Probable xyloglucan endotransglucosylase/hydrolase protein 23</t>
  </si>
  <si>
    <t>GO:0048046,GO:0005794,GO:0004553,GO:0030247,GO:0016762,GO:0042546,GO:0071555,GO:0010411</t>
  </si>
  <si>
    <t>apoplast|Golgi apparatus|hydrolase activity, hydrolyzing O-glycosyl compounds|polysaccharide binding|xyloglucan:xyloglucosyl transferase activity|cell wall biogenesis|cell wall organization|xyloglucan metabolic process</t>
  </si>
  <si>
    <t>J2O13_03G006520</t>
  </si>
  <si>
    <t>1.23E-10</t>
  </si>
  <si>
    <t>1.69E-09</t>
  </si>
  <si>
    <t>DUF7</t>
  </si>
  <si>
    <t>DUF724 domain-containing protein 7</t>
  </si>
  <si>
    <t>GO:0005634,GO:0042803,GO:0009908</t>
  </si>
  <si>
    <t>nucleus|protein homodimerization activity|flower development</t>
  </si>
  <si>
    <t>J2O13_03G006604</t>
  </si>
  <si>
    <t>1.12E-17</t>
  </si>
  <si>
    <t>3.89E-16</t>
  </si>
  <si>
    <t>At5g57480</t>
  </si>
  <si>
    <t>AAA-ATPase At5g57480</t>
  </si>
  <si>
    <t>GO:0005524,GO:0016887,GO:0006950</t>
  </si>
  <si>
    <t>ATP binding|ATP hydrolysis activity|response to stress</t>
  </si>
  <si>
    <t>J2O13_03G006618</t>
  </si>
  <si>
    <t>1.65E-14</t>
  </si>
  <si>
    <t>3.85E-13</t>
  </si>
  <si>
    <t>DUF6</t>
  </si>
  <si>
    <t>DUF724 domain-containing protein 6</t>
  </si>
  <si>
    <t>J2O13_03G006621</t>
  </si>
  <si>
    <t>2.59E-06</t>
  </si>
  <si>
    <t>J2O13_03G006624</t>
  </si>
  <si>
    <t>1.34E-10</t>
  </si>
  <si>
    <t>1.83E-09</t>
  </si>
  <si>
    <t>REM19</t>
  </si>
  <si>
    <t>B3 domain-containing protein REM19</t>
  </si>
  <si>
    <t>GO:0005634,GO:0005886,GO:0003677,GO:0009409</t>
  </si>
  <si>
    <t>nucleus|plasma membrane|DNA binding|response to cold</t>
  </si>
  <si>
    <t>J2O13_03G006640</t>
  </si>
  <si>
    <t>7.44E-09</t>
  </si>
  <si>
    <t>IDM1</t>
  </si>
  <si>
    <t>Increased DNA methylation 1</t>
  </si>
  <si>
    <t>GO:0005634,GO:0009506,GO:0010385,GO:0004402,GO:0042393,GO:0046872,GO:0080188,GO:0044154,GO:0043971,GO:0043972,GO:0044030</t>
  </si>
  <si>
    <t>nucleus|plasmodesma|double-stranded methylated DNA binding|histone acetyltransferase activity|histone binding|metal ion binding|gene silencing by RNA-directed DNA methylation|histone H3-K14 acetylation|histone H3-K18 acetylation|histone H3-K23 acetylation|regulation of DNA methylation</t>
  </si>
  <si>
    <t>J2O13_03G006648</t>
  </si>
  <si>
    <t>J2O13_03G006663</t>
  </si>
  <si>
    <t>J2O13_03G006664</t>
  </si>
  <si>
    <t>9.17E-08</t>
  </si>
  <si>
    <t>8.04E-07</t>
  </si>
  <si>
    <t>J2O13_03G006666</t>
  </si>
  <si>
    <t>8.32E-21</t>
  </si>
  <si>
    <t>4.00E-19</t>
  </si>
  <si>
    <t>DJA6</t>
  </si>
  <si>
    <t>Chaperone protein dnaJ A6, chloroplastic</t>
  </si>
  <si>
    <t>GO:0009507,GO:0009941,GO:0009535,GO:0005737,GO:0005773,GO:0005524,GO:0031072,GO:0005506,GO:0051082,GO:0051085,GO:0042026,GO:0009408</t>
  </si>
  <si>
    <t>chloroplast|chloroplast envelope|chloroplast thylakoid membrane|cytoplasm|vacuole|ATP binding|heat shock protein binding|iron ion binding|unfolded protein binding|chaperone cofactor-dependent protein refolding|protein refolding|response to heat</t>
  </si>
  <si>
    <t>J2O13_03G006675</t>
  </si>
  <si>
    <t>J2O13_03G006683</t>
  </si>
  <si>
    <t>J2O13_03G006692</t>
  </si>
  <si>
    <t>3.46E-12</t>
  </si>
  <si>
    <t>5.97E-11</t>
  </si>
  <si>
    <t>STR</t>
  </si>
  <si>
    <t>ABC transporter G family member STR</t>
  </si>
  <si>
    <t>ko02010,ko04976,ko01523</t>
  </si>
  <si>
    <t>ABC transporters|Bile secretion|Antifolate resistance</t>
  </si>
  <si>
    <t>GO:0005886,GO:0140359,GO:0005524,GO:0016887,GO:0009610</t>
  </si>
  <si>
    <t>plasma membrane|ABC-type transporter activity|ATP binding|ATP hydrolysis activity|response to symbiotic fungus</t>
  </si>
  <si>
    <t>J2O13_03G006693</t>
  </si>
  <si>
    <t>J2O13_03G006703</t>
  </si>
  <si>
    <t>8.61E-13</t>
  </si>
  <si>
    <t>1.61E-11</t>
  </si>
  <si>
    <t>J2O13_03G006707</t>
  </si>
  <si>
    <t>1.97E-08</t>
  </si>
  <si>
    <t>1.94E-07</t>
  </si>
  <si>
    <t>At4g20930</t>
  </si>
  <si>
    <t>Probable 3-hydroxyisobutyrate dehydrogenase, mitochondrial</t>
  </si>
  <si>
    <t>GO:0005739,GO:0008442,GO:0051287,GO:0050661,GO:0016616,GO:0043621,GO:0006551,GO:0006574,GO:0006573</t>
  </si>
  <si>
    <t>mitochondrion|3-hydroxyisobutyrate dehydrogenase activity|NAD binding|NADP binding|oxidoreductase activity, acting on the CH-OH group of donors, NAD or NADP as acceptor|protein self-association|leucine metabolic process|valine catabolic process|valine metabolic process</t>
  </si>
  <si>
    <t>J2O13_03G006732</t>
  </si>
  <si>
    <t>J2O13_03G006733</t>
  </si>
  <si>
    <t>5.58E-06</t>
  </si>
  <si>
    <t>3.47E-05</t>
  </si>
  <si>
    <t>9DC3</t>
  </si>
  <si>
    <t>Receptor-like protein 9DC3</t>
  </si>
  <si>
    <t>J2O13_03G006740</t>
  </si>
  <si>
    <t>2.15E-08</t>
  </si>
  <si>
    <t>SIS8</t>
  </si>
  <si>
    <t>Probable serine/threonine-protein kinase SIS8</t>
  </si>
  <si>
    <t>GO:0005739,GO:0005634,GO:0005524,GO:0106310,GO:0004674,GO:0004712,GO:0006468,GO:0009651,GO:0010182</t>
  </si>
  <si>
    <t>mitochondrion|nucleus|ATP binding|protein serine kinase activity|protein serine/threonine kinase activity|protein serine/threonine/tyrosine kinase activity|protein phosphorylation|response to salt stress|sugar mediated signaling pathway</t>
  </si>
  <si>
    <t>J2O13_03G006749</t>
  </si>
  <si>
    <t>5.41E-06</t>
  </si>
  <si>
    <t>3.38E-05</t>
  </si>
  <si>
    <t>BGLU44</t>
  </si>
  <si>
    <t>Beta-glucosidase 44</t>
  </si>
  <si>
    <t>ko00500,ko00460,ko00946,ko00999</t>
  </si>
  <si>
    <t>Starch and sucrose metabolism|Cyanoamino acid metabolism|Degradation of flavonoids|Biosynthesis of various plant secondary metabolites</t>
  </si>
  <si>
    <t>GO:0022626,GO:0005576,GO:0009505,GO:0080081,GO:0047668,GO:0080083,GO:0008422,GO:0004567,GO:0080079,GO:0080082,GO:0046872,GO:0102483,GO:0005975</t>
  </si>
  <si>
    <t>cytosolic ribosome|extracellular region|plant-type cell wall|4-methylumbelliferyl-beta-D-glucopyranoside beta-glucosidase activity|amygdalin beta-glucosidase activity|beta-gentiobiose beta-glucosidase activity|beta-glucosidase activity|beta-mannosidase activity|cellobiose glucosidase activity|esculin beta-glucosidase activity|metal ion binding|scopolin beta-glucosidase activity|carbohydrate metabolic process</t>
  </si>
  <si>
    <t>J2O13_03G006752</t>
  </si>
  <si>
    <t>CYP96A15</t>
  </si>
  <si>
    <t>Alkane hydroxylase MAH1</t>
  </si>
  <si>
    <t>GO:0005783,GO:0005789,GO:0020037,GO:0005506,GO:0080133,GO:0010025</t>
  </si>
  <si>
    <t>endoplasmic reticulum|endoplasmic reticulum membrane|heme binding|iron ion binding|midchain alkane hydroxylase activity|wax biosynthetic process</t>
  </si>
  <si>
    <t>J2O13_03G006764</t>
  </si>
  <si>
    <t>At4g15970</t>
  </si>
  <si>
    <t>Uncharacterized protein At4g15970</t>
  </si>
  <si>
    <t>J2O13_03G006767</t>
  </si>
  <si>
    <t>PUB21</t>
  </si>
  <si>
    <t>U-box domain-containing protein 21</t>
  </si>
  <si>
    <t>GO:0061630</t>
  </si>
  <si>
    <t>ubiquitin protein ligase activity</t>
  </si>
  <si>
    <t>J2O13_03G006768</t>
  </si>
  <si>
    <t>9.42E-23</t>
  </si>
  <si>
    <t>5.35E-21</t>
  </si>
  <si>
    <t>PAP17</t>
  </si>
  <si>
    <t>Purple acid phosphatase 17</t>
  </si>
  <si>
    <t>ko00740,ko04142,ko04380,ko05323</t>
  </si>
  <si>
    <t>Riboflavin metabolism|Lysosome|Osteoclast differentiation|Rheumatoid arthritis</t>
  </si>
  <si>
    <t>GO:0009986,GO:0005576,GO:0003993,GO:0008199,GO:0008198,GO:0140825,GO:0016791,GO:0030643,GO:0042542</t>
  </si>
  <si>
    <t>cell surface|extracellular region|acid phosphatase activity|ferric iron binding|ferrous iron binding|lactoperoxidase activity|phosphatase activity|cellular phosphate ion homeostasis|response to hydrogen peroxide</t>
  </si>
  <si>
    <t>J2O13_03G006777</t>
  </si>
  <si>
    <t>1.95E-22</t>
  </si>
  <si>
    <t>1.09E-20</t>
  </si>
  <si>
    <t>Glutamate decarboxylase OS=Solanum lycopersicum OX=4081 PE=2 SV=1</t>
  </si>
  <si>
    <t>ko00650,ko00250,ko00410,ko00430,ko02024,ko04727,ko04940</t>
  </si>
  <si>
    <t>Butanoate metabolism|Alanine, aspartate and glutamate metabolism|beta-Alanine metabolism|Taurine and hypotaurine metabolism|Quorum sensing|GABAergic synapse|Type I diabetes mellitus</t>
  </si>
  <si>
    <t>GO:0005829,GO:0005516,GO:0004351,GO:0030170,GO:0006538</t>
  </si>
  <si>
    <t>cytosol|calmodulin binding|glutamate decarboxylase activity|pyridoxal phosphate binding|glutamate catabolic process</t>
  </si>
  <si>
    <t>J2O13_03G006800</t>
  </si>
  <si>
    <t>J2O13_03G006809</t>
  </si>
  <si>
    <t>4.04E-09</t>
  </si>
  <si>
    <t>4.46E-08</t>
  </si>
  <si>
    <t>LTPG31</t>
  </si>
  <si>
    <t>Non-specific lipid transfer protein GPI-anchored 31</t>
  </si>
  <si>
    <t>GO:0005886,GO:0009536,GO:0008289,GO:0006869,GO:0010089</t>
  </si>
  <si>
    <t>plasma membrane|plastid|lipid binding|lipid transport|xylem development</t>
  </si>
  <si>
    <t>J2O13_03G006832</t>
  </si>
  <si>
    <t>1.46E-37</t>
  </si>
  <si>
    <t>PAA1</t>
  </si>
  <si>
    <t>Copper-transporting ATPase PAA1, chloroplastic</t>
  </si>
  <si>
    <t>ko04016,ko04978,ko01524</t>
  </si>
  <si>
    <t>MAPK signaling pathway - plant|Mineral absorption|Platinum drug resistance</t>
  </si>
  <si>
    <t>GO:0009507,GO:0009941,GO:0031969,GO:0009570,GO:0016020,GO:0005886,GO:0009536,GO:0005524,GO:0016887,GO:0016531,GO:0005507,GO:0005375,GO:0043682,GO:0140581,GO:0055070,GO:0035434,GO:0009767</t>
  </si>
  <si>
    <t>chloroplast|chloroplast envelope|chloroplast membrane|chloroplast stroma|membrane|plasma membrane|plastid|ATP binding|ATP hydrolysis activity|copper chaperone activity|copper ion binding|copper ion transmembrane transporter activity|P-type divalent copper transporter activity|P-type monovalent copper transporter activity|copper ion homeostasis|copper ion transmembrane transport|photosynthetic electron transport chain</t>
  </si>
  <si>
    <t>J2O13_03G006846</t>
  </si>
  <si>
    <t>4.09E-15</t>
  </si>
  <si>
    <t>ISPD</t>
  </si>
  <si>
    <t>2-C-methyl-D-erythritol 4-phosphate cytidylyltransferase, chloroplastic</t>
  </si>
  <si>
    <t>GO:0009507,GO:0009570,GO:0050518,GO:0019288</t>
  </si>
  <si>
    <t>chloroplast|chloroplast stroma|2-C-methyl-D-erythritol 4-phosphate cytidylyltransferase activity|isopentenyl diphosphate biosynthetic process, methylerythritol 4-phosphate pathway</t>
  </si>
  <si>
    <t>J2O13_03G006853</t>
  </si>
  <si>
    <t>5.69E-06</t>
  </si>
  <si>
    <t>3.54E-05</t>
  </si>
  <si>
    <t>J2O13_03G006868</t>
  </si>
  <si>
    <t>3.91E-06</t>
  </si>
  <si>
    <t>2.51E-05</t>
  </si>
  <si>
    <t>FRO7</t>
  </si>
  <si>
    <t>Ferric reduction oxidase 7, chloroplastic</t>
  </si>
  <si>
    <t>GO:0009507,GO:0031969,GO:0005886,GO:0009536,GO:0140618,GO:0000293,GO:0046872,GO:0006811,GO:0009767</t>
  </si>
  <si>
    <t>chloroplast|chloroplast membrane|plasma membrane|plastid|ferric-chelate reductase (NADH) activity|ferric-chelate reductase activity|metal ion binding|ion transport|photosynthetic electron transport chain</t>
  </si>
  <si>
    <t>J2O13_03G006874</t>
  </si>
  <si>
    <t>1.04E-24</t>
  </si>
  <si>
    <t>6.89E-23</t>
  </si>
  <si>
    <t>PCMP-H12</t>
  </si>
  <si>
    <t>Pentatricopeptide repeat-containing protein At1g08070, chloroplastic</t>
  </si>
  <si>
    <t>GO:0009507,GO:0003723,GO:0008270,GO:0031425,GO:0006397,GO:0009451</t>
  </si>
  <si>
    <t>chloroplast|RNA binding|zinc ion binding|chloroplast RNA processing|mRNA processing|RNA modification</t>
  </si>
  <si>
    <t>J2O13_03G006883</t>
  </si>
  <si>
    <t>rbcL</t>
  </si>
  <si>
    <t>Ribulose bisphosphate carboxylase large chain</t>
  </si>
  <si>
    <t>GO:0009507,GO:0000287,GO:0004497,GO:0016984,GO:0009853,GO:0019253</t>
  </si>
  <si>
    <t>chloroplast|magnesium ion binding|monooxygenase activity|ribulose-bisphosphate carboxylase activity|photorespiration|reductive pentose-phosphate cycle</t>
  </si>
  <si>
    <t>J2O13_03G006890</t>
  </si>
  <si>
    <t>9.73E-13</t>
  </si>
  <si>
    <t>1.80E-11</t>
  </si>
  <si>
    <t>J2O13_03G006895</t>
  </si>
  <si>
    <t>cemA</t>
  </si>
  <si>
    <t>Chloroplast envelope membrane protein</t>
  </si>
  <si>
    <t>GO:0009706,GO:0015078</t>
  </si>
  <si>
    <t>chloroplast inner membrane|proton transmembrane transporter activity</t>
  </si>
  <si>
    <t>J2O13_03G006898</t>
  </si>
  <si>
    <t>5.89E-06</t>
  </si>
  <si>
    <t>3.64E-05</t>
  </si>
  <si>
    <t>J2O13_03G006915</t>
  </si>
  <si>
    <t>At4g29890</t>
  </si>
  <si>
    <t>Choline monooxygenase, chloroplastic</t>
  </si>
  <si>
    <t>ko00260</t>
  </si>
  <si>
    <t>Glycine, serine and threonine metabolism</t>
  </si>
  <si>
    <t>GO:0009570,GO:0051537,GO:0019133,GO:0005506,GO:0019285</t>
  </si>
  <si>
    <t>chloroplast stroma|2 iron, 2 sulfur cluster binding|choline monooxygenase activity|iron ion binding|glycine betaine biosynthetic process from choline</t>
  </si>
  <si>
    <t>J2O13_03G006918</t>
  </si>
  <si>
    <t>2.63E-06</t>
  </si>
  <si>
    <t>BHLH35</t>
  </si>
  <si>
    <t>Transcription factor bHLH35</t>
  </si>
  <si>
    <t>GO:0005634,GO:0003700,GO:0046983,GO:0043565,GO:0006355</t>
  </si>
  <si>
    <t>nucleus|DNA-binding transcription factor activity|protein dimerization activity|sequence-specific DNA binding|regulation of DNA-templated transcription</t>
  </si>
  <si>
    <t>J2O13_03G006929</t>
  </si>
  <si>
    <t>PIRL6</t>
  </si>
  <si>
    <t>Plant intracellular Ras-group-related LRR protein 6</t>
  </si>
  <si>
    <t>J2O13_03G006946</t>
  </si>
  <si>
    <t>ORP4B</t>
  </si>
  <si>
    <t>Oxysterol-binding protein-related protein 4B</t>
  </si>
  <si>
    <t>GO:0005829,GO:0043231,GO:0016020,GO:0032934,GO:0015248</t>
  </si>
  <si>
    <t>cytosol|intracellular membrane-bounded organelle|membrane|sterol binding|sterol transporter activity</t>
  </si>
  <si>
    <t>J2O13_03G006971</t>
  </si>
  <si>
    <t>1.33E-40</t>
  </si>
  <si>
    <t>3.20E-38</t>
  </si>
  <si>
    <t>ko00350,ko00360</t>
  </si>
  <si>
    <t>Tyrosine metabolism|Phenylalanine metabolism</t>
  </si>
  <si>
    <t>J2O13_03G006983</t>
  </si>
  <si>
    <t>3.21E-05</t>
  </si>
  <si>
    <t>APSR1</t>
  </si>
  <si>
    <t>Protein ALTERED PHOSPHATE STARVATION RESPONSE 1</t>
  </si>
  <si>
    <t>J2O13_03G006990</t>
  </si>
  <si>
    <t>2.77E-06</t>
  </si>
  <si>
    <t>1.84E-05</t>
  </si>
  <si>
    <t>HMA2</t>
  </si>
  <si>
    <t>Cadmium/zinc-transporting ATPase HMA2</t>
  </si>
  <si>
    <t>GO:0005886,GO:0005524,GO:0016887,GO:0015086,GO:0046872,GO:0008551,GO:0016463,GO:0005385,GO:0055069</t>
  </si>
  <si>
    <t>plasma membrane|ATP binding|ATP hydrolysis activity|cadmium ion transmembrane transporter activity|metal ion binding|P-type cadmium transporter activity|P-type zinc transporter activity|zinc ion transmembrane transporter activity|zinc ion homeostasis</t>
  </si>
  <si>
    <t>J2O13_03G006992</t>
  </si>
  <si>
    <t>5.42E-08</t>
  </si>
  <si>
    <t>GPP1</t>
  </si>
  <si>
    <t>(DL)-glycerol-3-phosphatase 1, mitochondrial</t>
  </si>
  <si>
    <t>GO:0005739,GO:0043726,GO:0000121,GO:0043136,GO:0046872,GO:0016791,GO:0016311,GO:0006114,GO:0009231</t>
  </si>
  <si>
    <t>mitochondrion|5-amino-6-(5-phosphoribitylamino)uracil phosphatase activity|glycerol-1-phosphatase activity|glycerol-3-phosphatase activity|metal ion binding|phosphatase activity|dephosphorylation|glycerol biosynthetic process|riboflavin biosynthetic process</t>
  </si>
  <si>
    <t>J2O13_03G007001</t>
  </si>
  <si>
    <t>ko04520</t>
  </si>
  <si>
    <t>Adherens junction</t>
  </si>
  <si>
    <t>J2O13_03G007008</t>
  </si>
  <si>
    <t>8.20E-15</t>
  </si>
  <si>
    <t>2.01E-13</t>
  </si>
  <si>
    <t>AIL5</t>
  </si>
  <si>
    <t>AP2-like ethylene-responsive transcription factor AIL5</t>
  </si>
  <si>
    <t>GO:0005634,GO:0003700,GO:0000976,GO:0060774,GO:1990110,GO:0009873,GO:0010311,GO:0060772,GO:0060771,GO:0040019,GO:0009791,GO:0048364,GO:0009845</t>
  </si>
  <si>
    <t>nucleus|DNA-binding transcription factor activity|transcription cis-regulatory region binding|auxin mediated signaling pathway involved in phyllotactic patterning|callus formation|ethylene-activated signaling pathway|lateral root formation|leaf phyllotactic patterning|phyllotactic patterning|positive regulation of embryonic development|post-embryonic development|root development|seed germination</t>
  </si>
  <si>
    <t>J2O13_03G007018</t>
  </si>
  <si>
    <t>SCPL18</t>
  </si>
  <si>
    <t>Serine carboxypeptidase-like 18</t>
  </si>
  <si>
    <t>GO:0005576,GO:0016747,GO:0004185,GO:0006508,GO:0019748</t>
  </si>
  <si>
    <t>extracellular region|acyltransferase activity, transferring groups other than amino-acyl groups|serine-type carboxypeptidase activity|proteolysis|secondary metabolic process</t>
  </si>
  <si>
    <t>J2O13_03G007021</t>
  </si>
  <si>
    <t>5.67E-05</t>
  </si>
  <si>
    <t>J2O13_03G007028</t>
  </si>
  <si>
    <t>9.18E-06</t>
  </si>
  <si>
    <t>5.48E-05</t>
  </si>
  <si>
    <t>At2g18940</t>
  </si>
  <si>
    <t>Pentatricopeptide repeat-containing protein At2g18940, chloroplastic</t>
  </si>
  <si>
    <t>GO:0009507,GO:0003729</t>
  </si>
  <si>
    <t>chloroplast|mRNA binding</t>
  </si>
  <si>
    <t>J2O13_03G007040</t>
  </si>
  <si>
    <t>1.87E-38</t>
  </si>
  <si>
    <t>3.78E-36</t>
  </si>
  <si>
    <t>J2O13_03G007046</t>
  </si>
  <si>
    <t>J2O13_03G007058</t>
  </si>
  <si>
    <t>2.52E-05</t>
  </si>
  <si>
    <t>ZFP2</t>
  </si>
  <si>
    <t>Zinc finger protein 2</t>
  </si>
  <si>
    <t>GO:0005634,GO:0003700,GO:0046872,GO:0009788,GO:0060862,GO:0006355</t>
  </si>
  <si>
    <t>nucleus|DNA-binding transcription factor activity|metal ion binding|negative regulation of abscisic acid-activated signaling pathway|negative regulation of floral organ abscission|regulation of DNA-templated transcription</t>
  </si>
  <si>
    <t>J2O13_04G007068</t>
  </si>
  <si>
    <t>PPCC</t>
  </si>
  <si>
    <t>Phosphoenolpyruvate carboxylase 2</t>
  </si>
  <si>
    <t>ko00620,ko00710,ko00720,ko00680</t>
  </si>
  <si>
    <t>Pyruvate metabolism|Carbon fixation in photosynthetic organisms|Carbon fixation pathways in prokaryotes|Methane metabolism</t>
  </si>
  <si>
    <t>GO:0005737,GO:0008964,GO:0015977,GO:0006099</t>
  </si>
  <si>
    <t>cytoplasm|phosphoenolpyruvate carboxylase activity|carbon fixation|tricarboxylic acid cycle</t>
  </si>
  <si>
    <t>J2O13_04G007071</t>
  </si>
  <si>
    <t>3.26E-12</t>
  </si>
  <si>
    <t>HCF173</t>
  </si>
  <si>
    <t>Protein HIGH CHLOROPHYLL FLUORESCENCE PHENOTYPE 173, chloroplastic</t>
  </si>
  <si>
    <t>GO:0009507,GO:0009941,GO:0031969,GO:0009570,GO:0009535,GO:0009523,GO:0042651,GO:0003729,GO:0003723,GO:0010207,GO:0006413</t>
  </si>
  <si>
    <t>chloroplast|chloroplast envelope|chloroplast membrane|chloroplast stroma|chloroplast thylakoid membrane|photosystem II|thylakoid membrane|mRNA binding|RNA binding|photosystem II assembly|translational initiation</t>
  </si>
  <si>
    <t>J2O13_04G007115</t>
  </si>
  <si>
    <t>CYP726A27</t>
  </si>
  <si>
    <t>Cytochrome P450 726A27</t>
  </si>
  <si>
    <t>GO:0016020,GO:0020037,GO:0005506,GO:0004497,GO:0016705,GO:0016114</t>
  </si>
  <si>
    <t>membrane|heme binding|iron ion binding|monooxygenase activity|oxidoreductase activity, acting on paired donors, with incorporation or reduction of molecular oxygen|terpenoid biosynthetic process</t>
  </si>
  <si>
    <t>J2O13_04G007116</t>
  </si>
  <si>
    <t>RCOM_1574350</t>
  </si>
  <si>
    <t>Casbene synthase, chloroplastic</t>
  </si>
  <si>
    <t>GO:0009507,GO:0050449,GO:0000287,GO:0006952,GO:0016102,GO:0120251</t>
  </si>
  <si>
    <t>chloroplast|casbene synthase activity|magnesium ion binding|defense response|diterpenoid biosynthetic process|hydrocarbon biosynthetic process</t>
  </si>
  <si>
    <t>J2O13_04G007123</t>
  </si>
  <si>
    <t>1.65E-51</t>
  </si>
  <si>
    <t>7.96E-49</t>
  </si>
  <si>
    <t>Phosphoglycerate kinase, chloroplastic OS=Nicotiana tabacum OX=4097 PE=2 SV=1</t>
  </si>
  <si>
    <t>ko00010,ko00710,ko04066</t>
  </si>
  <si>
    <t>Glycolysis / Gluconeogenesis|Carbon fixation in photosynthetic organisms|HIF-1 signaling pathway</t>
  </si>
  <si>
    <t>GO:0009507,GO:0005829,GO:0043531,GO:0005524,GO:0004618,GO:0006094,GO:0006096,GO:0019253</t>
  </si>
  <si>
    <t>chloroplast|cytosol|ADP binding|ATP binding|phosphoglycerate kinase activity|gluconeogenesis|glycolytic process|reductive pentose-phosphate cycle</t>
  </si>
  <si>
    <t>J2O13_04G007124</t>
  </si>
  <si>
    <t>6.75E-11</t>
  </si>
  <si>
    <t>9.66E-10</t>
  </si>
  <si>
    <t>PGK1</t>
  </si>
  <si>
    <t>Phosphoglycerate kinase 1, chloroplastic</t>
  </si>
  <si>
    <t>GO:0048046,GO:0009507,GO:0009941,GO:0009570,GO:0005737,GO:0005829,GO:0005739,GO:0005634,GO:0009505,GO:0010319,GO:0009579,GO:0043531,GO:0005524,GO:0003729,GO:0004618,GO:0004672,GO:0019375,GO:0006094,GO:0006096,GO:0019253,GO:0009409,GO:0010027</t>
  </si>
  <si>
    <t>apoplast|chloroplast|chloroplast envelope|chloroplast stroma|cytoplasm|cytosol|mitochondrion|nucleus|plant-type cell wall|stromule|thylakoid|ADP binding|ATP binding|mRNA binding|phosphoglycerate kinase activity|protein kinase activity|galactolipid biosynthetic process|gluconeogenesis|glycolytic process|reductive pentose-phosphate cycle|response to cold|thylakoid membrane organization</t>
  </si>
  <si>
    <t>J2O13_04G007136</t>
  </si>
  <si>
    <t>4.17E-06</t>
  </si>
  <si>
    <t>2.66E-05</t>
  </si>
  <si>
    <t>TPS6</t>
  </si>
  <si>
    <t>Probable terpene synthase 6</t>
  </si>
  <si>
    <t>J2O13_04G007161</t>
  </si>
  <si>
    <t>LBD4</t>
  </si>
  <si>
    <t>LOB domain-containing protein 4</t>
  </si>
  <si>
    <t>GO:0000976,GO:0010087</t>
  </si>
  <si>
    <t>transcription cis-regulatory region binding|phloem or xylem histogenesis</t>
  </si>
  <si>
    <t>J2O13_04G007162</t>
  </si>
  <si>
    <t>3.12E-06</t>
  </si>
  <si>
    <t>2.05E-05</t>
  </si>
  <si>
    <t>S8H</t>
  </si>
  <si>
    <t>Scopoletin 8-hydroxylase</t>
  </si>
  <si>
    <t>ko00999</t>
  </si>
  <si>
    <t>Biosynthesis of various plant secondary metabolites</t>
  </si>
  <si>
    <t>GO:0016706,GO:0051213,GO:0046872,GO:0106145,GO:0009805,GO:0106147,GO:0010039</t>
  </si>
  <si>
    <t>2-oxoglutarate-dependent dioxygenase activity|dioxygenase activity|metal ion binding|scopoletin 8-hydroxylase activity|coumarin biosynthetic process|fraxetin biosynthesis|response to iron ion</t>
  </si>
  <si>
    <t>J2O13_04G007163</t>
  </si>
  <si>
    <t>J2O13_04G007167</t>
  </si>
  <si>
    <t>7.76E-09</t>
  </si>
  <si>
    <t>8.19E-08</t>
  </si>
  <si>
    <t>J2O13_04G007178</t>
  </si>
  <si>
    <t>3.51E-08</t>
  </si>
  <si>
    <t>3.33E-07</t>
  </si>
  <si>
    <t>NAL1</t>
  </si>
  <si>
    <t>Protein NARROW LEAF 1</t>
  </si>
  <si>
    <t>GO:0005737,GO:0005654,GO:0080006,GO:0010305,GO:2000024,GO:0010222</t>
  </si>
  <si>
    <t>cytoplasm|nucleoplasm|internode patterning|leaf vascular tissue pattern formation|regulation of leaf development|stem vascular tissue pattern formation</t>
  </si>
  <si>
    <t>J2O13_04G007190</t>
  </si>
  <si>
    <t>1.08E-06</t>
  </si>
  <si>
    <t>7.78E-06</t>
  </si>
  <si>
    <t>At1g79080</t>
  </si>
  <si>
    <t>Pentatricopeptide repeat-containing protein At1g79080, chloroplastic</t>
  </si>
  <si>
    <t>J2O13_04G007199</t>
  </si>
  <si>
    <t>1.47E-05</t>
  </si>
  <si>
    <t>8.38E-05</t>
  </si>
  <si>
    <t>LECRK3</t>
  </si>
  <si>
    <t>G-type lectin S-receptor-like serine/threonine-protein kinase LECRK3</t>
  </si>
  <si>
    <t>GO:0016020,GO:0005524,GO:0030246,GO:0106310,GO:0004674,GO:0006952,GO:0006468</t>
  </si>
  <si>
    <t>membrane|ATP binding|carbohydrate binding|protein serine kinase activity|protein serine/threonine kinase activity|defense response|protein phosphorylation</t>
  </si>
  <si>
    <t>J2O13_04G007203</t>
  </si>
  <si>
    <t>LOX2.1</t>
  </si>
  <si>
    <t>Linoleate 13S-lipoxygenase 2-1, chloroplastic</t>
  </si>
  <si>
    <t>ko00591,ko00592</t>
  </si>
  <si>
    <t>Linoleic acid metabolism|alpha-Linolenic acid metabolism</t>
  </si>
  <si>
    <t>GO:0009570,GO:0009534,GO:0016165,GO:0046872,GO:0016702,GO:0006633,GO:0010597,GO:0034440,GO:0031408</t>
  </si>
  <si>
    <t>chloroplast stroma|chloroplast thylakoid|linoleate 13S-lipoxygenase activity|metal ion binding|oxidoreductase activity, acting on single donors with incorporation of molecular oxygen, incorporation of two atoms of oxygen|fatty acid biosynthetic process|green leaf volatile biosynthetic process|lipid oxidation|oxylipin biosynthetic process</t>
  </si>
  <si>
    <t>J2O13_04G007209</t>
  </si>
  <si>
    <t>1.73E-62</t>
  </si>
  <si>
    <t>1.62E-59</t>
  </si>
  <si>
    <t>JMJ30</t>
  </si>
  <si>
    <t>Lysine-specific demethylase JMJ30</t>
  </si>
  <si>
    <t>GO:0005737,GO:0005783,GO:0000791,GO:0005634,GO:0016706,GO:0003700,GO:0061628,GO:0071558,GO:0046975,GO:0140680,GO:0140681,GO:0140684,GO:0046872,GO:0043565,GO:0009738,GO:0009742,GO:1990110,GO:0007623,GO:0040029,GO:0009908,GO:0070544,GO:0045814,GO:0080022,GO:0009787,GO:1900457,GO:0042752,GO:0010468,GO:2000028,GO:1900140,GO:0009737,GO:0009741,GO:0009266,GO:0010378</t>
  </si>
  <si>
    <t>cytoplasm|endoplasmic reticulum|euchromatin|nucleus|2-oxoglutarate-dependent dioxygenase activity|DNA-binding transcription factor activity|H3K27me3 modified histone binding|histone H3K27me2/H3K27me3 demethylase activity|histone H3K36 methyltransferase activity|histone H3K36me/H3K36me2 demethylase activity|histone H3K36me2/H3K36me3 demethylase activity|histone H3K9me2/H3K9me3 demethylase activity|metal ion binding|sequence-specific DNA binding|abscisic acid-activated signaling pathway|brassinosteroid mediated signaling pathway|callus formation|circadian rhythm|epigenetic regulation of gene expression|flower development|histone H3-K36 demethylation|negative regulation of gene expression, epigenetic|primary root development|regulation of abscisic acid-activated signaling pathway|regulation of brassinosteroid mediated signaling pathway|regulation of circadian rhythm|regulation of gene expression|regulation of photoperiodism, flowering|regulation of seedling development|response to abscisic acid|response to brassinosteroid|response to temperature stimulus|temperature compensation of the circadian clock</t>
  </si>
  <si>
    <t>J2O13_04G007210</t>
  </si>
  <si>
    <t>2.81E-12</t>
  </si>
  <si>
    <t>4.92E-11</t>
  </si>
  <si>
    <t>UGT92A1</t>
  </si>
  <si>
    <t>UDP-glycosyltransferase 92A1</t>
  </si>
  <si>
    <t>J2O13_04G007232</t>
  </si>
  <si>
    <t>2.71E-21</t>
  </si>
  <si>
    <t>1.37E-19</t>
  </si>
  <si>
    <t>PCMP-E28</t>
  </si>
  <si>
    <t>Pentatricopeptide repeat-containing protein At2g22410, mitochondrial</t>
  </si>
  <si>
    <t>GO:0009507,GO:0005739,GO:0003723,GO:1900865</t>
  </si>
  <si>
    <t>chloroplast|mitochondrion|RNA binding|chloroplast RNA modification</t>
  </si>
  <si>
    <t>J2O13_04G007234</t>
  </si>
  <si>
    <t>5.20E-10</t>
  </si>
  <si>
    <t>6.53E-09</t>
  </si>
  <si>
    <t>J2O13_04G007247</t>
  </si>
  <si>
    <t>J2O13_04G007251</t>
  </si>
  <si>
    <t>J2O13_04G007255</t>
  </si>
  <si>
    <t>7.38E-06</t>
  </si>
  <si>
    <t>4.48E-05</t>
  </si>
  <si>
    <t>RBCX2</t>
  </si>
  <si>
    <t>Chaperonin-like RbcX protein 2, chloroplastic</t>
  </si>
  <si>
    <t>GO:0009570,GO:0044183,GO:0015977,GO:0061077,GO:0015979,GO:0110102</t>
  </si>
  <si>
    <t>chloroplast stroma|protein folding chaperone|carbon fixation|chaperone-mediated protein folding|photosynthesis|ribulose bisphosphate carboxylase complex assembly</t>
  </si>
  <si>
    <t>J2O13_04G007259</t>
  </si>
  <si>
    <t>5.77E-17</t>
  </si>
  <si>
    <t>1.81E-15</t>
  </si>
  <si>
    <t>DIT1</t>
  </si>
  <si>
    <t>Dicarboxylate transporter 1, chloroplastic</t>
  </si>
  <si>
    <t>GO:0009507,GO:0009941,GO:0009706,GO:0009534,GO:0009536,GO:0015139,GO:0015140,GO:0015131,GO:0015742,GO:0019676,GO:0071423,GO:0015729,GO:0009624</t>
  </si>
  <si>
    <t>chloroplast|chloroplast envelope|chloroplast inner membrane|chloroplast thylakoid|plastid|alpha-ketoglutarate transmembrane transporter activity|malate transmembrane transporter activity|oxaloacetate transmembrane transporter activity|alpha-ketoglutarate transport|ammonia assimilation cycle|malate transmembrane transport|oxaloacetate transport|response to nematode</t>
  </si>
  <si>
    <t>J2O13_04G007265</t>
  </si>
  <si>
    <t>4.98E-06</t>
  </si>
  <si>
    <t>3.13E-05</t>
  </si>
  <si>
    <t>DALL2</t>
  </si>
  <si>
    <t>Phospholipase A1-Igamma3, chloroplastic</t>
  </si>
  <si>
    <t>J2O13_04G007281</t>
  </si>
  <si>
    <t>VIT_06s0061g00120</t>
  </si>
  <si>
    <t>Glucan endo-1,3-beta-glucosidase</t>
  </si>
  <si>
    <t>GO:0005886,GO:0042973,GO:0005975,GO:0006952,GO:0009607</t>
  </si>
  <si>
    <t>plasma membrane|glucan endo-1,3-beta-D-glucosidase activity|carbohydrate metabolic process|defense response|response to biotic stimulus</t>
  </si>
  <si>
    <t>J2O13_04G007283</t>
  </si>
  <si>
    <t>1.27E-05</t>
  </si>
  <si>
    <t>J2O13_04G007289</t>
  </si>
  <si>
    <t>4.44E-08</t>
  </si>
  <si>
    <t>4.13E-07</t>
  </si>
  <si>
    <t>J2O13_04G007293</t>
  </si>
  <si>
    <t>RD22</t>
  </si>
  <si>
    <t>BURP domain protein RD22</t>
  </si>
  <si>
    <t>GO:0005768,GO:0005794,GO:0005802,GO:0003729,GO:0009651</t>
  </si>
  <si>
    <t>endosome|Golgi apparatus|trans-Golgi network|mRNA binding|response to salt stress</t>
  </si>
  <si>
    <t>J2O13_04G007305</t>
  </si>
  <si>
    <t>8.06E-05</t>
  </si>
  <si>
    <t>ATL21A</t>
  </si>
  <si>
    <t>Putative RING-H2 finger protein ATL21A</t>
  </si>
  <si>
    <t>GO:0016020,GO:0046872,GO:0030247,GO:0016740,GO:0016567</t>
  </si>
  <si>
    <t>membrane|metal ion binding|polysaccharide binding|transferase activity|protein ubiquitination</t>
  </si>
  <si>
    <t>J2O13_04G007308</t>
  </si>
  <si>
    <t>LRK10</t>
  </si>
  <si>
    <t>Rust resistance kinase Lr10</t>
  </si>
  <si>
    <t>J2O13_04G007324</t>
  </si>
  <si>
    <t>6.08E-05</t>
  </si>
  <si>
    <t>SWEET3</t>
  </si>
  <si>
    <t>Bidirectional sugar transporter SWEET3</t>
  </si>
  <si>
    <t>GO:0016020,GO:0005886,GO:0051119,GO:0008643</t>
  </si>
  <si>
    <t>membrane|plasma membrane|sugar transmembrane transporter activity|carbohydrate transport</t>
  </si>
  <si>
    <t>J2O13_04G007327</t>
  </si>
  <si>
    <t>SIGE</t>
  </si>
  <si>
    <t>RNA polymerase sigma factor sigE, chloroplastic/mitochondrial</t>
  </si>
  <si>
    <t>GO:0009507,GO:0005739,GO:0003677,GO:0016987,GO:0071483,GO:0071472,GO:0009658,GO:0006352,GO:0009553,GO:0010207,GO:0045893,GO:2001141,GO:0010218,GO:0010114</t>
  </si>
  <si>
    <t>chloroplast|mitochondrion|DNA binding|sigma factor activity|cellular response to blue light|cellular response to salt stress|chloroplast organization|DNA-templated transcription initiation|embryo sac development|photosystem II assembly|positive regulation of DNA-templated transcription|regulation of RNA biosynthetic process|response to far red light|response to red light</t>
  </si>
  <si>
    <t>J2O13_04G007338</t>
  </si>
  <si>
    <t>CRF4</t>
  </si>
  <si>
    <t>Ethylene-responsive transcription factor CRF4</t>
  </si>
  <si>
    <t>GO:0005737,GO:0005634,GO:0003677,GO:0003700,GO:0009736,GO:0009873,GO:0048366</t>
  </si>
  <si>
    <t>cytoplasm|nucleus|DNA binding|DNA-binding transcription factor activity|cytokinin-activated signaling pathway|ethylene-activated signaling pathway|leaf development</t>
  </si>
  <si>
    <t>J2O13_04G007340</t>
  </si>
  <si>
    <t>J2O13_04G007343</t>
  </si>
  <si>
    <t>At4g23740</t>
  </si>
  <si>
    <t>Probable inactive receptor kinase At4g23740</t>
  </si>
  <si>
    <t>GO:0016020,GO:0005524,GO:0004672,GO:0006468</t>
  </si>
  <si>
    <t>membrane|ATP binding|protein kinase activity|protein phosphorylation</t>
  </si>
  <si>
    <t>J2O13_04G007347</t>
  </si>
  <si>
    <t>2.20E-28</t>
  </si>
  <si>
    <t>2.14E-26</t>
  </si>
  <si>
    <t>ABCC10</t>
  </si>
  <si>
    <t>ABC transporter C family member 10</t>
  </si>
  <si>
    <t>ko02010,ko04976,ko01524,ko01523</t>
  </si>
  <si>
    <t>ABC transporters|Bile secretion|Platinum drug resistance|Antifolate resistance</t>
  </si>
  <si>
    <t>GO:0005829,GO:0016020,GO:0000325,GO:0008559,GO:0005524,GO:0016887,GO:0042626,GO:0055085</t>
  </si>
  <si>
    <t>cytosol|membrane|plant-type vacuole|ABC-type xenobiotic transporter activity|ATP binding|ATP hydrolysis activity|ATPase-coupled transmembrane transporter activity|transmembrane transport</t>
  </si>
  <si>
    <t>J2O13_04G007351</t>
  </si>
  <si>
    <t>PKP2</t>
  </si>
  <si>
    <t>Plastidial pyruvate kinase 2</t>
  </si>
  <si>
    <t>ko00010,ko00620,ko04922,ko05203,ko05230,ko05165,ko04930</t>
  </si>
  <si>
    <t>Glycolysis / Gluconeogenesis|Pyruvate metabolism|Glucagon signaling pathway|Viral carcinogenesis|Central carbon metabolism in cancer|Human papillomavirus infection|Type II diabetes mellitus</t>
  </si>
  <si>
    <t>GO:0009507,GO:0009570,GO:0005737,GO:0005739,GO:0005524,GO:0016301,GO:0000287,GO:0030955,GO:0004743,GO:0006633,GO:0006096,GO:0006629,GO:0048316,GO:0010431</t>
  </si>
  <si>
    <t>chloroplast|chloroplast stroma|cytoplasm|mitochondrion|ATP binding|kinase activity|magnesium ion binding|potassium ion binding|pyruvate kinase activity|fatty acid biosynthetic process|glycolytic process|lipid metabolic process|seed development|seed maturation</t>
  </si>
  <si>
    <t>J2O13_04G007355</t>
  </si>
  <si>
    <t>J2O13_04G007363</t>
  </si>
  <si>
    <t>MAKR5</t>
  </si>
  <si>
    <t>Membrane-associated kinase regulator 5</t>
  </si>
  <si>
    <t>GO:0005829,GO:0016020,GO:0005886,GO:0045595,GO:2000280</t>
  </si>
  <si>
    <t>cytosol|membrane|plasma membrane|regulation of cell differentiation|regulation of root development</t>
  </si>
  <si>
    <t>J2O13_04G007364</t>
  </si>
  <si>
    <t>J2O13_04G007376</t>
  </si>
  <si>
    <t>CBSDUF5</t>
  </si>
  <si>
    <t>DUF21 domain-containing protein At5g52790</t>
  </si>
  <si>
    <t>GO:0043231,GO:0016020,GO:0010960</t>
  </si>
  <si>
    <t>intracellular membrane-bounded organelle|membrane|magnesium ion homeostasis</t>
  </si>
  <si>
    <t>J2O13_04G007377</t>
  </si>
  <si>
    <t>J2O13_04G007381</t>
  </si>
  <si>
    <t>J2O13_04G007383</t>
  </si>
  <si>
    <t>5.59E-07</t>
  </si>
  <si>
    <t>4.22E-06</t>
  </si>
  <si>
    <t>J2O13_04G007388</t>
  </si>
  <si>
    <t>7.45E-54</t>
  </si>
  <si>
    <t>4.74E-51</t>
  </si>
  <si>
    <t>CA2</t>
  </si>
  <si>
    <t>Beta-carotene hydroxylase 2, chloroplastic</t>
  </si>
  <si>
    <t>GO:0031969,GO:0052611,GO:0052610,GO:0016787,GO:0005506,GO:0016117</t>
  </si>
  <si>
    <t>chloroplast membrane|beta-carotene 3-hydroxylase activity|beta-cryptoxanthin hydroxylase activity|hydrolase activity|iron ion binding|carotenoid biosynthetic process</t>
  </si>
  <si>
    <t>J2O13_04G007394</t>
  </si>
  <si>
    <t>4.54E-06</t>
  </si>
  <si>
    <t>FRO4</t>
  </si>
  <si>
    <t>Ferric reduction oxidase 4</t>
  </si>
  <si>
    <t>GO:0005886,GO:0140618,GO:0000293,GO:0046872,GO:0006811</t>
  </si>
  <si>
    <t>plasma membrane|ferric-chelate reductase (NADH) activity|ferric-chelate reductase activity|metal ion binding|ion transport</t>
  </si>
  <si>
    <t>J2O13_04G007407</t>
  </si>
  <si>
    <t>2.54E-08</t>
  </si>
  <si>
    <t>2.47E-07</t>
  </si>
  <si>
    <t>J2O13_04G007411</t>
  </si>
  <si>
    <t>2.13E-24</t>
  </si>
  <si>
    <t>1.39E-22</t>
  </si>
  <si>
    <t>J2O13_04G007424</t>
  </si>
  <si>
    <t>3.66E-06</t>
  </si>
  <si>
    <t>2.36E-05</t>
  </si>
  <si>
    <t>J2O13_04G007425</t>
  </si>
  <si>
    <t>CCL9</t>
  </si>
  <si>
    <t>Probable CoA ligase CCL9</t>
  </si>
  <si>
    <t>ko00630</t>
  </si>
  <si>
    <t>Glyoxylate and dicarboxylate metabolism</t>
  </si>
  <si>
    <t>GO:0005829,GO:0005524,GO:0016405</t>
  </si>
  <si>
    <t>cytosol|ATP binding|CoA-ligase activity</t>
  </si>
  <si>
    <t>J2O13_04G007428</t>
  </si>
  <si>
    <t>1.65E-10</t>
  </si>
  <si>
    <t>J2O13_04G007432</t>
  </si>
  <si>
    <t>4.01E-05</t>
  </si>
  <si>
    <t>LTI65</t>
  </si>
  <si>
    <t>Low-temperature-induced 65 kDa protein</t>
  </si>
  <si>
    <t>GO:0009738,GO:0010150,GO:0009737,GO:0009409,GO:0009651,GO:0009414</t>
  </si>
  <si>
    <t>abscisic acid-activated signaling pathway|leaf senescence|response to abscisic acid|response to cold|response to salt stress|response to water deprivation</t>
  </si>
  <si>
    <t>J2O13_04G007437</t>
  </si>
  <si>
    <t>MYB17</t>
  </si>
  <si>
    <t>Transcription factor MYB17</t>
  </si>
  <si>
    <t>GO:0005634,GO:0003677,GO:0003700,GO:0009908,GO:0009909</t>
  </si>
  <si>
    <t>nucleus|DNA binding|DNA-binding transcription factor activity|flower development|regulation of flower development</t>
  </si>
  <si>
    <t>J2O13_04G007448</t>
  </si>
  <si>
    <t>2.11E-43</t>
  </si>
  <si>
    <t>6.25E-41</t>
  </si>
  <si>
    <t>MBD13</t>
  </si>
  <si>
    <t>Methyl-CpG-binding domain-containing protein 13</t>
  </si>
  <si>
    <t>GO:0005634,GO:0008327</t>
  </si>
  <si>
    <t>nucleus|methyl-CpG binding</t>
  </si>
  <si>
    <t>J2O13_04G007454</t>
  </si>
  <si>
    <t>8.28E-09</t>
  </si>
  <si>
    <t>8.71E-08</t>
  </si>
  <si>
    <t>EMS1</t>
  </si>
  <si>
    <t>Leucine-rich repeat receptor protein kinase EMS1</t>
  </si>
  <si>
    <t>GO:0016020,GO:0005886,GO:0005524,GO:0106310,GO:0004674,GO:0019199,GO:0010234,GO:0009556,GO:0046777</t>
  </si>
  <si>
    <t>membrane|plasma membrane|ATP binding|protein serine kinase activity|protein serine/threonine kinase activity|transmembrane receptor protein kinase activity|anther wall tapetum cell fate specification|microsporogenesis|protein autophosphorylation</t>
  </si>
  <si>
    <t>J2O13_04G007468</t>
  </si>
  <si>
    <t>CYP80B2</t>
  </si>
  <si>
    <t>Probable (S)-N-methylcoclaurine 3'-hydroxylase isozyme 2</t>
  </si>
  <si>
    <t>GO:0005789,GO:0020037,GO:0005506,GO:0050593,GO:0044550</t>
  </si>
  <si>
    <t>endoplasmic reticulum membrane|heme binding|iron ion binding|N-methylcoclaurine 3'-monooxygenase activity|secondary metabolite biosynthetic process</t>
  </si>
  <si>
    <t>J2O13_04G007473</t>
  </si>
  <si>
    <t>3.45E-13</t>
  </si>
  <si>
    <t>6.83E-12</t>
  </si>
  <si>
    <t>NRPB6A</t>
  </si>
  <si>
    <t>DNA-directed RNA polymerases II, IV and V subunit 6A</t>
  </si>
  <si>
    <t>ko03020,ko03420,ko04623,ko05016</t>
  </si>
  <si>
    <t>RNA polymerase|Nucleotide excision repair|Cytosolic DNA-sensing pathway|Huntington disease</t>
  </si>
  <si>
    <t>GO:0005736,GO:0005665,GO:0005666,GO:0000418,GO:0000419,GO:0003677,GO:0003899,GO:0006351</t>
  </si>
  <si>
    <t>RNA polymerase I complex|RNA polymerase II, core complex|RNA polymerase III complex|RNA polymerase IV complex|RNA polymerase V complex|DNA binding|DNA-directed 5'-3' RNA polymerase activity|DNA-templated transcription</t>
  </si>
  <si>
    <t>J2O13_04G007475</t>
  </si>
  <si>
    <t>J2O13_04G007478</t>
  </si>
  <si>
    <t>7.15E-07</t>
  </si>
  <si>
    <t>5.29E-06</t>
  </si>
  <si>
    <t>DAPB3</t>
  </si>
  <si>
    <t>Dihydrodipicolinate reductase-like protein CRR1, chloroplastic</t>
  </si>
  <si>
    <t>GO:0009507,GO:0009570,GO:0008839,GO:0019877,GO:0009089,GO:0019684</t>
  </si>
  <si>
    <t>chloroplast|chloroplast stroma|4-hydroxy-tetrahydrodipicolinate reductase|diaminopimelate biosynthetic process|lysine biosynthetic process via diaminopimelate|photosynthesis, light reaction</t>
  </si>
  <si>
    <t>J2O13_04G007483</t>
  </si>
  <si>
    <t>1.63E-18</t>
  </si>
  <si>
    <t>6.19E-17</t>
  </si>
  <si>
    <t>J2O13_04G007495</t>
  </si>
  <si>
    <t>2.28E-52</t>
  </si>
  <si>
    <t>1.27E-49</t>
  </si>
  <si>
    <t>J2O13_04G007501</t>
  </si>
  <si>
    <t>PER66</t>
  </si>
  <si>
    <t>Peroxidase 66</t>
  </si>
  <si>
    <t>J2O13_04G007505</t>
  </si>
  <si>
    <t>1.35E-14</t>
  </si>
  <si>
    <t>3.19E-13</t>
  </si>
  <si>
    <t>MADS3</t>
  </si>
  <si>
    <t>Agamous-like MADS-box protein MADS3</t>
  </si>
  <si>
    <t>GO:0005634,GO:0000981,GO:0046983,GO:0000978,GO:0009908,GO:0045944,GO:0006357</t>
  </si>
  <si>
    <t>nucleus|DNA-binding transcription factor activity, RNA polymerase II-specific|protein dimerization activity|RNA polymerase II cis-regulatory region sequence-specific DNA binding|flower development|positive regulation of transcription by RNA polymerase II|regulation of transcription by RNA polymerase II</t>
  </si>
  <si>
    <t>J2O13_04G007509</t>
  </si>
  <si>
    <t>4.66E-19</t>
  </si>
  <si>
    <t>1.88E-17</t>
  </si>
  <si>
    <t>GA20OX1</t>
  </si>
  <si>
    <t>Gibberellin 20 oxidase 1</t>
  </si>
  <si>
    <t>GO:0005737,GO:0051213,GO:0103055,GO:0045544,GO:0103054,GO:0103056,GO:0046872,GO:0009908,GO:0009740,GO:0009686,GO:0048366,GO:0009739,GO:0009416,GO:0048575,GO:0009826</t>
  </si>
  <si>
    <t>cytoplasm|dioxygenase activity|gibberelli A15, 2-oxoglutarate:oxygen oxidoreductase activity|gibberellin 20-oxidase activity|gibberellin A12, 2-oxoglutarate:oxygen oxidoreductase activity (gibberellin A15-forming)|gibberellin A53, 2-oxoglutarate:oxygen oxidoreductase activity|metal ion binding|flower development|gibberellic acid mediated signaling pathway|gibberellin biosynthetic process|leaf development|response to gibberellin|response to light stimulus|short-day photoperiodism, flowering|unidimensional cell growth</t>
  </si>
  <si>
    <t>J2O13_04G007514</t>
  </si>
  <si>
    <t>3.39E-05</t>
  </si>
  <si>
    <t>BHLH126</t>
  </si>
  <si>
    <t>Transcription factor bHLH126</t>
  </si>
  <si>
    <t>GO:0090575,GO:0000981,GO:0046983,GO:0000977,GO:0006357</t>
  </si>
  <si>
    <t>RNA polymerase II transcription regulator complex|DNA-binding transcription factor activity, RNA polymerase II-specific|protein dimerization activity|RNA polymerase II transcription regulatory region sequence-specific DNA binding|regulation of transcription by RNA polymerase II</t>
  </si>
  <si>
    <t>J2O13_04G007516</t>
  </si>
  <si>
    <t>AHG1</t>
  </si>
  <si>
    <t>Probable protein phosphatase 2C 75</t>
  </si>
  <si>
    <t>GO:0005634,GO:0046872,GO:0017018,GO:0004722,GO:0035970,GO:0009737</t>
  </si>
  <si>
    <t>nucleus|metal ion binding|myosin phosphatase activity|protein serine/threonine phosphatase activity|peptidyl-threonine dephosphorylation|response to abscisic acid</t>
  </si>
  <si>
    <t>J2O13_04G007519</t>
  </si>
  <si>
    <t>CUT1</t>
  </si>
  <si>
    <t>3-ketoacyl-CoA synthase 6</t>
  </si>
  <si>
    <t>ko00062,ko04626</t>
  </si>
  <si>
    <t>Fatty acid elongation|Plant-pathogen interaction</t>
  </si>
  <si>
    <t>GO:0005783,GO:0005789,GO:0005739,GO:0102756,GO:0006633,GO:0009409,GO:0009416,GO:0009826,GO:0010025</t>
  </si>
  <si>
    <t>endoplasmic reticulum|endoplasmic reticulum membrane|mitochondrion|very-long-chain 3-ketoacyl-CoA synthase activity|fatty acid biosynthetic process|response to cold|response to light stimulus|unidimensional cell growth|wax biosynthetic process</t>
  </si>
  <si>
    <t>J2O13_04G007541</t>
  </si>
  <si>
    <t>EBP2</t>
  </si>
  <si>
    <t>Probable rRNA-processing protein EBP2 homolog</t>
  </si>
  <si>
    <t>GO:0034399,GO:0005730,GO:0030687,GO:0003924,GO:0003723,GO:0042273,GO:0006364</t>
  </si>
  <si>
    <t>nuclear periphery|nucleolus|preribosome, large subunit precursor|GTPase activity|RNA binding|ribosomal large subunit biogenesis|rRNA processing</t>
  </si>
  <si>
    <t>J2O13_04G007543</t>
  </si>
  <si>
    <t>J2O13_04G007553</t>
  </si>
  <si>
    <t>7.23E-11</t>
  </si>
  <si>
    <t>1.03E-09</t>
  </si>
  <si>
    <t>LPA2</t>
  </si>
  <si>
    <t>Protein LPA2</t>
  </si>
  <si>
    <t>GO:0009507,GO:0031969,GO:0009534,GO:0009536</t>
  </si>
  <si>
    <t>chloroplast|chloroplast membrane|chloroplast thylakoid|plastid</t>
  </si>
  <si>
    <t>J2O13_04G007554</t>
  </si>
  <si>
    <t>7.60E-05</t>
  </si>
  <si>
    <t>PPH</t>
  </si>
  <si>
    <t>Pheophytinase, chloroplastic</t>
  </si>
  <si>
    <t>GO:0009507,GO:0009570,GO:0009535,GO:0080124,GO:0015996</t>
  </si>
  <si>
    <t>chloroplast|chloroplast stroma|chloroplast thylakoid membrane|pheophytinase activity|chlorophyll catabolic process</t>
  </si>
  <si>
    <t>J2O13_04G007559</t>
  </si>
  <si>
    <t>2.45E-16</t>
  </si>
  <si>
    <t>7.09E-15</t>
  </si>
  <si>
    <t>21 kDa protein OS=Daucus carota OX=4039 PE=2 SV=1</t>
  </si>
  <si>
    <t>GO:0004857</t>
  </si>
  <si>
    <t>enzyme inhibitor activity</t>
  </si>
  <si>
    <t>J2O13_04G007560</t>
  </si>
  <si>
    <t>J2O13_04G007569</t>
  </si>
  <si>
    <t>1.81E-05</t>
  </si>
  <si>
    <t>SKS1</t>
  </si>
  <si>
    <t>Monocopper oxidase-like protein SKS1</t>
  </si>
  <si>
    <t>GO:0005829,GO:0005886,GO:0009506,GO:0005507,GO:0016491</t>
  </si>
  <si>
    <t>cytosol|plasma membrane|plasmodesma|copper ion binding|oxidoreductase activity</t>
  </si>
  <si>
    <t>J2O13_04G007571</t>
  </si>
  <si>
    <t>TPPA</t>
  </si>
  <si>
    <t>Trehalose-phosphate phosphatase A</t>
  </si>
  <si>
    <t>GO:0004805,GO:0005992</t>
  </si>
  <si>
    <t>trehalose-phosphatase activity|trehalose biosynthetic process</t>
  </si>
  <si>
    <t>J2O13_04G007590</t>
  </si>
  <si>
    <t>J2O13_04G007592</t>
  </si>
  <si>
    <t>J2O13_04G007598</t>
  </si>
  <si>
    <t>TDR</t>
  </si>
  <si>
    <t>Leucine-rich repeat receptor-like protein kinase TDR</t>
  </si>
  <si>
    <t>GO:0005886,GO:0005524,GO:0106310,GO:0004674,GO:0051301,GO:0010087,GO:0010067,GO:0006468,GO:0010223,GO:0010089</t>
  </si>
  <si>
    <t>plasma membrane|ATP binding|protein serine kinase activity|protein serine/threonine kinase activity|cell division|phloem or xylem histogenesis|procambium histogenesis|protein phosphorylation|secondary shoot formation|xylem development</t>
  </si>
  <si>
    <t>J2O13_04G007604</t>
  </si>
  <si>
    <t>PLAT1</t>
  </si>
  <si>
    <t>PLAT domain-containing protein 1</t>
  </si>
  <si>
    <t>GO:0009535,GO:0005783,GO:0000325,GO:0005886,GO:0010287,GO:0099503,GO:0009579,GO:0009409,GO:0009651,GO:0009414</t>
  </si>
  <si>
    <t>chloroplast thylakoid membrane|endoplasmic reticulum|plant-type vacuole|plasma membrane|plastoglobule|secretory vesicle|thylakoid|response to cold|response to salt stress|response to water deprivation</t>
  </si>
  <si>
    <t>J2O13_04G007615</t>
  </si>
  <si>
    <t>6.73E-05</t>
  </si>
  <si>
    <t>TMKL1</t>
  </si>
  <si>
    <t>Putative kinase-like protein TMKL1</t>
  </si>
  <si>
    <t>GO:0005886,GO:0009506,GO:0005524,GO:0004672,GO:0006468</t>
  </si>
  <si>
    <t>plasma membrane|plasmodesma|ATP binding|protein kinase activity|protein phosphorylation</t>
  </si>
  <si>
    <t>J2O13_04G007618</t>
  </si>
  <si>
    <t>7.11E-08</t>
  </si>
  <si>
    <t>6.37E-07</t>
  </si>
  <si>
    <t>J2O13_04G007627</t>
  </si>
  <si>
    <t>ERF106</t>
  </si>
  <si>
    <t>Ethylene-responsive transcription factor ERF106</t>
  </si>
  <si>
    <t>J2O13_04G007634</t>
  </si>
  <si>
    <t>At5g61620</t>
  </si>
  <si>
    <t>Probable transcription factor At5g61620</t>
  </si>
  <si>
    <t>GO:0005634,GO:0003677,GO:0003700,GO:0008270,GO:0006355</t>
  </si>
  <si>
    <t>nucleus|DNA binding|DNA-binding transcription factor activity|zinc ion binding|regulation of DNA-templated transcription</t>
  </si>
  <si>
    <t>J2O13_04G007644</t>
  </si>
  <si>
    <t>J2O13_04G007649</t>
  </si>
  <si>
    <t>LIL3.1</t>
  </si>
  <si>
    <t>Light-harvesting complex-like protein 3 isotype 1, chloroplastic</t>
  </si>
  <si>
    <t>GO:0009507,GO:0009535,GO:0005829,GO:0009523,GO:0009503,GO:0042651,GO:0016168,GO:0003700,GO:0019899,GO:0042802,GO:0043495,GO:0015979,GO:1902326,GO:1904964,GO:1904966,GO:0006355</t>
  </si>
  <si>
    <t>chloroplast|chloroplast thylakoid membrane|cytosol|photosystem II|thylakoid light-harvesting complex|thylakoid membrane|chlorophyll binding|DNA-binding transcription factor activity|enzyme binding|identical protein binding|protein-membrane adaptor activity|photosynthesis|positive regulation of chlorophyll biosynthetic process|positive regulation of phytol biosynthetic process|positive regulation of vitamin E biosynthetic process|regulation of DNA-templated transcription</t>
  </si>
  <si>
    <t>J2O13_04G007652</t>
  </si>
  <si>
    <t>PME63</t>
  </si>
  <si>
    <t>Putative pectinesterase 63</t>
  </si>
  <si>
    <t>GO:0005576,GO:0045330,GO:0030599,GO:0042545,GO:0045490</t>
  </si>
  <si>
    <t>extracellular region|aspartyl esterase activity|pectinesterase activity|cell wall modification|pectin catabolic process</t>
  </si>
  <si>
    <t>J2O13_04G007674</t>
  </si>
  <si>
    <t>9.15E-09</t>
  </si>
  <si>
    <t>APC2</t>
  </si>
  <si>
    <t>Calcium-dependent mitochondrial ATP-magnesium/phosphate carrier protein 2</t>
  </si>
  <si>
    <t>GO:0005743,GO:0005739,GO:0015217,GO:0080122,GO:0005347,GO:0005509,GO:0015085,GO:0015114,GO:0015866,GO:0080121,GO:0015867,GO:0070588,GO:0035435</t>
  </si>
  <si>
    <t>mitochondrial inner membrane|mitochondrion|ADP transmembrane transporter activity|AMP transmembrane transporter activity|ATP transmembrane transporter activity|calcium ion binding|calcium ion transmembrane transporter activity|phosphate ion transmembrane transporter activity|ADP transport|AMP transport|ATP transport|calcium ion transmembrane transport|phosphate ion transmembrane transport</t>
  </si>
  <si>
    <t>J2O13_04G007675</t>
  </si>
  <si>
    <t>SDR2b</t>
  </si>
  <si>
    <t>Short-chain dehydrogenase/reductase 2b</t>
  </si>
  <si>
    <t>GO:0005829,GO:0008106</t>
  </si>
  <si>
    <t>cytosol|alcohol dehydrogenase (NADP+) activity</t>
  </si>
  <si>
    <t>J2O13_04G007677</t>
  </si>
  <si>
    <t>4.26E-57</t>
  </si>
  <si>
    <t>3.45E-54</t>
  </si>
  <si>
    <t>J2O13_04G007679</t>
  </si>
  <si>
    <t>5.13E-05</t>
  </si>
  <si>
    <t>SFH2</t>
  </si>
  <si>
    <t>Phosphatidylinositol/phosphatidylcholine transfer protein SFH2</t>
  </si>
  <si>
    <t>GO:0000139,GO:0005886,GO:0006656,GO:0015031</t>
  </si>
  <si>
    <t>Golgi membrane|plasma membrane|phosphatidylcholine biosynthetic process|protein transport</t>
  </si>
  <si>
    <t>J2O13_04G007683</t>
  </si>
  <si>
    <t>J2O13_04G007684</t>
  </si>
  <si>
    <t>2.71E-08</t>
  </si>
  <si>
    <t>2.62E-07</t>
  </si>
  <si>
    <t>ERF114</t>
  </si>
  <si>
    <t>Ethylene-responsive transcription factor ERF114</t>
  </si>
  <si>
    <t>GO:0005634,GO:0003700,GO:0000976,GO:0050832,GO:0009873</t>
  </si>
  <si>
    <t>nucleus|DNA-binding transcription factor activity|transcription cis-regulatory region binding|defense response to fungus|ethylene-activated signaling pathway</t>
  </si>
  <si>
    <t>J2O13_04G007690</t>
  </si>
  <si>
    <t>At5g13980</t>
  </si>
  <si>
    <t>Probable alpha-mannosidase At5g13980</t>
  </si>
  <si>
    <t>GO:0048046,GO:0000325,GO:0099503,GO:0005773,GO:0004559,GO:0030246,GO:0046872,GO:0006013</t>
  </si>
  <si>
    <t>apoplast|plant-type vacuole|secretory vesicle|vacuole|alpha-mannosidase activity|carbohydrate binding|metal ion binding|mannose metabolic process</t>
  </si>
  <si>
    <t>J2O13_04G007692</t>
  </si>
  <si>
    <t>AGD1</t>
  </si>
  <si>
    <t>ADP-ribosylation factor GTPase-activating protein AGD1</t>
  </si>
  <si>
    <t>ko04144</t>
  </si>
  <si>
    <t>Endocytosis</t>
  </si>
  <si>
    <t>GO:0030139,GO:0005768,GO:0005886,GO:0035618,GO:0005096,GO:0046872,GO:0007010,GO:0048768</t>
  </si>
  <si>
    <t>endocytic vesicle|endosome|plasma membrane|root hair|GTPase activator activity|metal ion binding|cytoskeleton organization|root hair cell tip growth</t>
  </si>
  <si>
    <t>J2O13_04G007698</t>
  </si>
  <si>
    <t>PHS1</t>
  </si>
  <si>
    <t>Dual specificity protein phosphatase PHS1</t>
  </si>
  <si>
    <t>GO:0005737,GO:0016301,GO:0017018,GO:0004721,GO:0004725,GO:0008138,GO:0009738,GO:0043622,GO:0006470,GO:0010468,GO:0010119,GO:0009737</t>
  </si>
  <si>
    <t>cytoplasm|kinase activity|myosin phosphatase activity|phosphoprotein phosphatase activity|protein tyrosine phosphatase activity|protein tyrosine/serine/threonine phosphatase activity|abscisic acid-activated signaling pathway|cortical microtubule organization|protein dephosphorylation|regulation of gene expression|regulation of stomatal movement|response to abscisic acid</t>
  </si>
  <si>
    <t>J2O13_04G007699</t>
  </si>
  <si>
    <t>J2O13_04G007700</t>
  </si>
  <si>
    <t>3.21E-09</t>
  </si>
  <si>
    <t>3.60E-08</t>
  </si>
  <si>
    <t>SCPL45</t>
  </si>
  <si>
    <t>Serine carboxypeptidase-like 45</t>
  </si>
  <si>
    <t>GO:0005576,GO:0009505,GO:0009506,GO:0004185,GO:0006508</t>
  </si>
  <si>
    <t>extracellular region|plant-type cell wall|plasmodesma|serine-type carboxypeptidase activity|proteolysis</t>
  </si>
  <si>
    <t>J2O13_04G007706</t>
  </si>
  <si>
    <t>BCL1</t>
  </si>
  <si>
    <t>Basic helix-loop-helix protein 80</t>
  </si>
  <si>
    <t>GO:0005634,GO:0046983,GO:0009740,GO:0006355</t>
  </si>
  <si>
    <t>nucleus|protein dimerization activity|gibberellic acid mediated signaling pathway|regulation of DNA-templated transcription</t>
  </si>
  <si>
    <t>J2O13_04G007711</t>
  </si>
  <si>
    <t>RCOM_1504680</t>
  </si>
  <si>
    <t>CASP-like protein 1F1</t>
  </si>
  <si>
    <t>GO:0005886,GO:0051539</t>
  </si>
  <si>
    <t>plasma membrane|4 iron, 4 sulfur cluster binding</t>
  </si>
  <si>
    <t>J2O13_04G007712</t>
  </si>
  <si>
    <t>2.75E-06</t>
  </si>
  <si>
    <t>1.83E-05</t>
  </si>
  <si>
    <t>J2O13_04G007717</t>
  </si>
  <si>
    <t>NAC083</t>
  </si>
  <si>
    <t>NAC domain-containing protein 83</t>
  </si>
  <si>
    <t>GO:0005634,GO:0003677,GO:0003700,GO:0010150,GO:0045892,GO:0009737,GO:0009651,GO:0010089</t>
  </si>
  <si>
    <t>nucleus|DNA binding|DNA-binding transcription factor activity|leaf senescence|negative regulation of DNA-templated transcription|response to abscisic acid|response to salt stress|xylem development</t>
  </si>
  <si>
    <t>J2O13_04G007729</t>
  </si>
  <si>
    <t>HHT1</t>
  </si>
  <si>
    <t>Omega-hydroxypalmitate O-feruloyl transferase</t>
  </si>
  <si>
    <t>ko00073</t>
  </si>
  <si>
    <t>Cutin, suberine and wax biosynthesis</t>
  </si>
  <si>
    <t>GO:0016747,GO:0050734,GO:0102406,GO:0052325,GO:0010345</t>
  </si>
  <si>
    <t>acyltransferase activity, transferring groups other than amino-acyl groups|hydroxycinnamoyltransferase activity|omega-hydroxypalmitate O-sinapoyl transferase activity|cell wall pectin biosynthetic process|suberin biosynthetic process</t>
  </si>
  <si>
    <t>J2O13_04G007733</t>
  </si>
  <si>
    <t>ACR4</t>
  </si>
  <si>
    <t>ACT domain-containing protein ACR4</t>
  </si>
  <si>
    <t>GO:0009506</t>
  </si>
  <si>
    <t>plasmodesma</t>
  </si>
  <si>
    <t>J2O13_04G007738</t>
  </si>
  <si>
    <t>2.08E-06</t>
  </si>
  <si>
    <t>J2O13_04G007742</t>
  </si>
  <si>
    <t>3.79E-14</t>
  </si>
  <si>
    <t>8.49E-13</t>
  </si>
  <si>
    <t>J2O13_04G007744</t>
  </si>
  <si>
    <t>WRKY75</t>
  </si>
  <si>
    <t>Probable WRKY transcription factor 75</t>
  </si>
  <si>
    <t>GO:0005634,GO:0003700,GO:0000978,GO:0000976,GO:0010055,GO:0048527,GO:0000122,GO:0043620,GO:0032107</t>
  </si>
  <si>
    <t>nucleus|DNA-binding transcription factor activity|RNA polymerase II cis-regulatory region sequence-specific DNA binding|transcription cis-regulatory region binding|atrichoblast differentiation|lateral root development|negative regulation of transcription by RNA polymerase II|regulation of DNA-templated transcription in response to stress|regulation of response to nutrient levels</t>
  </si>
  <si>
    <t>J2O13_04G007747</t>
  </si>
  <si>
    <t>5.01E-06</t>
  </si>
  <si>
    <t>3.14E-05</t>
  </si>
  <si>
    <t>SPL13A</t>
  </si>
  <si>
    <t>Squamosa promoter-binding-like protein 13A</t>
  </si>
  <si>
    <t>GO:0005634,GO:0003677,GO:0003700,GO:0046872,GO:0048653,GO:0006355</t>
  </si>
  <si>
    <t>nucleus|DNA binding|DNA-binding transcription factor activity|metal ion binding|anther development|regulation of DNA-templated transcription</t>
  </si>
  <si>
    <t>J2O13_04G007754</t>
  </si>
  <si>
    <t>8.46E-14</t>
  </si>
  <si>
    <t>1.80E-12</t>
  </si>
  <si>
    <t>J2O13_04G007758</t>
  </si>
  <si>
    <t>6.88E-19</t>
  </si>
  <si>
    <t>2.71E-17</t>
  </si>
  <si>
    <t>At4g24930</t>
  </si>
  <si>
    <t>Thylakoid lumenal 17.9 kDa protein, chloroplastic</t>
  </si>
  <si>
    <t>GO:0009507,GO:0009543,GO:0005829,GO:0009579,GO:0031977</t>
  </si>
  <si>
    <t>chloroplast|chloroplast thylakoid lumen|cytosol|thylakoid|thylakoid lumen</t>
  </si>
  <si>
    <t>J2O13_04G007773</t>
  </si>
  <si>
    <t>7.47E-09</t>
  </si>
  <si>
    <t>7.90E-08</t>
  </si>
  <si>
    <t>At1g67340</t>
  </si>
  <si>
    <t>F-box protein At1g67340</t>
  </si>
  <si>
    <t>GO:0005634,GO:0046872,GO:0016567</t>
  </si>
  <si>
    <t>nucleus|metal ion binding|protein ubiquitination</t>
  </si>
  <si>
    <t>J2O13_04G007780</t>
  </si>
  <si>
    <t>8.21E-22</t>
  </si>
  <si>
    <t>4.26E-20</t>
  </si>
  <si>
    <t>KING1</t>
  </si>
  <si>
    <t>SNF1-related protein kinase regulatory subunit gamma-1</t>
  </si>
  <si>
    <t>GO:0005524,GO:0019887,GO:0005975,GO:0006633,GO:0042128</t>
  </si>
  <si>
    <t>ATP binding|protein kinase regulator activity|carbohydrate metabolic process|fatty acid biosynthetic process|nitrate assimilation</t>
  </si>
  <si>
    <t>J2O13_04G007782</t>
  </si>
  <si>
    <t>CYP94B1</t>
  </si>
  <si>
    <t>Cytochrome P450 94B1</t>
  </si>
  <si>
    <t>GO:0016020,GO:0020037,GO:0005506,GO:0052694,GO:0016705,GO:0009694,GO:0009611</t>
  </si>
  <si>
    <t>membrane|heme binding|iron ion binding|jasmonoyl-isoleucine-12-hydroxylase activity|oxidoreductase activity, acting on paired donors, with incorporation or reduction of molecular oxygen|jasmonic acid metabolic process|response to wounding</t>
  </si>
  <si>
    <t>J2O13_04G007793</t>
  </si>
  <si>
    <t>J2O13_04G007810</t>
  </si>
  <si>
    <t>J2O13_04G007816</t>
  </si>
  <si>
    <t>J2O13_04G007817</t>
  </si>
  <si>
    <t>4.20E-06</t>
  </si>
  <si>
    <t>2.68E-05</t>
  </si>
  <si>
    <t>SAT</t>
  </si>
  <si>
    <t>Stemmadenine O-acetyltransferase</t>
  </si>
  <si>
    <t>GO:0016746,GO:0016491,GO:0009820</t>
  </si>
  <si>
    <t>acyltransferase activity|oxidoreductase activity|alkaloid metabolic process</t>
  </si>
  <si>
    <t>J2O13_04G007820</t>
  </si>
  <si>
    <t>8.09E-14</t>
  </si>
  <si>
    <t>ko00940,ko00945,ko00941</t>
  </si>
  <si>
    <t>Phenylpropanoid biosynthesis|Stilbenoid, diarylheptanoid and gingerol biosynthesis|Flavonoid biosynthesis</t>
  </si>
  <si>
    <t>J2O13_04G007842</t>
  </si>
  <si>
    <t>2.48E-10</t>
  </si>
  <si>
    <t>3.27E-09</t>
  </si>
  <si>
    <t>CBBY</t>
  </si>
  <si>
    <t>CBBY-like protein</t>
  </si>
  <si>
    <t>GO:0009507,GO:0009941,GO:0009570,GO:0005829,GO:0016787,GO:0046872</t>
  </si>
  <si>
    <t>chloroplast|chloroplast envelope|chloroplast stroma|cytosol|hydrolase activity|metal ion binding</t>
  </si>
  <si>
    <t>J2O13_04G007847</t>
  </si>
  <si>
    <t>3.45E-29</t>
  </si>
  <si>
    <t>3.59E-27</t>
  </si>
  <si>
    <t>At5g63180</t>
  </si>
  <si>
    <t>Probable pectate lyase 22</t>
  </si>
  <si>
    <t>ko00040,ko02024</t>
  </si>
  <si>
    <t>Pentose and glucuronate interconversions|Quorum sensing</t>
  </si>
  <si>
    <t>GO:0009536,GO:0046872,GO:0030570,GO:0045490</t>
  </si>
  <si>
    <t>plastid|metal ion binding|pectate lyase activity|pectin catabolic process</t>
  </si>
  <si>
    <t>J2O13_04G007848</t>
  </si>
  <si>
    <t>7.25E-06</t>
  </si>
  <si>
    <t>4.41E-05</t>
  </si>
  <si>
    <t>BT1</t>
  </si>
  <si>
    <t>BTB/POZ and TAZ domain-containing protein 1</t>
  </si>
  <si>
    <t>GO:0005737,GO:0005634,GO:0005516,GO:0046872,GO:0009553,GO:0009555,GO:0016567,GO:0006355,GO:0009733,GO:0042542,GO:0009751</t>
  </si>
  <si>
    <t>cytoplasm|nucleus|calmodulin binding|metal ion binding|embryo sac development|pollen development|protein ubiquitination|regulation of DNA-templated transcription|response to auxin|response to hydrogen peroxide|response to salicylic acid</t>
  </si>
  <si>
    <t>J2O13_04G007856</t>
  </si>
  <si>
    <t>SOBIR1</t>
  </si>
  <si>
    <t>Leucine-rich repeat receptor-like serine/threonine/tyrosine-protein kinase SOBIR1</t>
  </si>
  <si>
    <t>GO:0005777,GO:0005886,GO:0005524,GO:0106310,GO:0004674,GO:0004713,GO:0004714,GO:0006952,GO:0060862,GO:0010942,GO:0031349</t>
  </si>
  <si>
    <t>peroxisome|plasma membrane|ATP binding|protein serine kinase activity|protein serine/threonine kinase activity|protein tyrosine kinase activity|transmembrane receptor protein tyrosine kinase activity|defense response|negative regulation of floral organ abscission|positive regulation of cell death|positive regulation of defense response</t>
  </si>
  <si>
    <t>J2O13_04G007859</t>
  </si>
  <si>
    <t>9.26E-28</t>
  </si>
  <si>
    <t>8.64E-26</t>
  </si>
  <si>
    <t>PIMT1</t>
  </si>
  <si>
    <t>Protein-L-isoaspartate O-methyltransferase 1</t>
  </si>
  <si>
    <t>GO:0005737,GO:0004719,GO:0007568,GO:0030091,GO:0009737,GO:0009651,GO:0009845</t>
  </si>
  <si>
    <t>cytoplasm|protein-L-isoaspartate (D-aspartate) O-methyltransferase activity|aging|protein repair|response to abscisic acid|response to salt stress|seed germination</t>
  </si>
  <si>
    <t>J2O13_04G007867</t>
  </si>
  <si>
    <t>5.92E-34</t>
  </si>
  <si>
    <t>9.01E-32</t>
  </si>
  <si>
    <t>QS</t>
  </si>
  <si>
    <t>Quinolinate synthase, chloroplastic</t>
  </si>
  <si>
    <t>GO:0009507,GO:0051539,GO:0008047,GO:0046872,GO:0042803,GO:0008987,GO:0034628,GO:0009060,GO:0016226,GO:0009435,GO:0051176</t>
  </si>
  <si>
    <t>chloroplast|4 iron, 4 sulfur cluster binding|enzyme activator activity|metal ion binding|protein homodimerization activity|quinolinate synthetase A activity|'de novo' NAD biosynthetic process from aspartate|aerobic respiration|iron-sulfur cluster assembly|NAD biosynthetic process|positive regulation of sulfur metabolic process</t>
  </si>
  <si>
    <t>J2O13_04G007868</t>
  </si>
  <si>
    <t>2.25E-08</t>
  </si>
  <si>
    <t>NRT3.1</t>
  </si>
  <si>
    <t>High-affinity nitrate transporter 3.1</t>
  </si>
  <si>
    <t>GO:0005886,GO:0015112,GO:0042128,GO:0015706,GO:0010167,GO:0009611</t>
  </si>
  <si>
    <t>plasma membrane|nitrate transmembrane transporter activity|nitrate assimilation|nitrate transmembrane transport|response to nitrate|response to wounding</t>
  </si>
  <si>
    <t>J2O13_04G007872</t>
  </si>
  <si>
    <t>1.43E-21</t>
  </si>
  <si>
    <t>7.30E-20</t>
  </si>
  <si>
    <t>J2O13_04G007873</t>
  </si>
  <si>
    <t>2.00E-20</t>
  </si>
  <si>
    <t>9.16E-19</t>
  </si>
  <si>
    <t>J2O13_04G007888</t>
  </si>
  <si>
    <t>1.50E-12</t>
  </si>
  <si>
    <t>2.71E-11</t>
  </si>
  <si>
    <t>LECRKS1</t>
  </si>
  <si>
    <t>L-type lectin-domain containing receptor kinase S.1</t>
  </si>
  <si>
    <t>GO:0000325,GO:0005886,GO:0005524,GO:0030246,GO:0106310,GO:0004675,GO:0042742,GO:0002229,GO:0006468</t>
  </si>
  <si>
    <t>plant-type vacuole|plasma membrane|ATP binding|carbohydrate binding|protein serine kinase activity|transmembrane receptor protein serine/threonine kinase activity|defense response to bacterium|defense response to oomycetes|protein phosphorylation</t>
  </si>
  <si>
    <t>J2O13_04G007894</t>
  </si>
  <si>
    <t>8.50E-19</t>
  </si>
  <si>
    <t>3.31E-17</t>
  </si>
  <si>
    <t>CuAOzeta</t>
  </si>
  <si>
    <t>Amine oxidase [copper-containing] zeta, peroxisomal</t>
  </si>
  <si>
    <t>ko00260,ko00350,ko00360,ko00410,ko00950,ko00960</t>
  </si>
  <si>
    <t>Glycine, serine and threonine metabolism|Tyrosine metabolism|Phenylalanine metabolism|beta-Alanine metabolism|Isoquinoline alkaloid biosynthesis|Tropane, piperidine and pyridine alkaloid biosynthesis</t>
  </si>
  <si>
    <t>GO:0005829,GO:0005777,GO:0052595,GO:0052594,GO:0005507,GO:0052596,GO:0008131,GO:0048038,GO:0052593,GO:0009308,GO:0010311,GO:0009447,GO:0009737,GO:0009753,GO:0002237,GO:0009751,GO:0009611</t>
  </si>
  <si>
    <t>cytosol|peroxisome|aliphatic amine oxidase activity|aminoacetone:oxygen oxidoreductase(deaminating) activity|copper ion binding|phenethylamine:oxygen oxidoreductase (deaminating) activity|primary amine oxidase activity|quinone binding|tryptamine:oxygen oxidoreductase (deaminating) activity|amine metabolic process|lateral root formation|putrescine catabolic process|response to abscisic acid|response to jasmonic acid|response to molecule of bacterial origin|response to salicylic acid|response to wounding</t>
  </si>
  <si>
    <t>J2O13_04G007901</t>
  </si>
  <si>
    <t>Oleosin H2 OS=Sesamum indicum OX=4182 PE=1 SV=1</t>
  </si>
  <si>
    <t>GO:0016020,GO:0012511,GO:0034389,GO:0019915,GO:0010431</t>
  </si>
  <si>
    <t>membrane|monolayer-surrounded lipid storage body|lipid droplet organization|lipid storage|seed maturation</t>
  </si>
  <si>
    <t>J2O13_04G007904</t>
  </si>
  <si>
    <t>3.21E-18</t>
  </si>
  <si>
    <t>1.18E-16</t>
  </si>
  <si>
    <t>TAR2</t>
  </si>
  <si>
    <t>Tryptophan aminotransferase-related protein 2</t>
  </si>
  <si>
    <t>GO:0005789,GO:0016846,GO:0050362,GO:0080097,GO:0008483,GO:0006520,GO:0043562,GO:0048825,GO:0010588,GO:0042742,GO:0009793,GO:0009908,GO:0048467,GO:0009684,GO:0048527,GO:0010078,GO:0010087,GO:0009958,GO:0080022,GO:0009723,GO:0048367</t>
  </si>
  <si>
    <t>endoplasmic reticulum membrane|carbon-sulfur lyase activity|L-tryptophan:2-oxoglutarate aminotransferase activity|L-tryptophan:pyruvate aminotransferase activity|transaminase activity|amino acid metabolic process|cellular response to nitrogen levels|cotyledon development|cotyledon vascular tissue pattern formation|defense response to bacterium|embryo development ending in seed dormancy|flower development|gynoecium development|indoleacetic acid biosynthetic process|lateral root development|maintenance of root meristem identity|phloem or xylem histogenesis|positive gravitropism|primary root development|response to ethylene|shoot system development</t>
  </si>
  <si>
    <t>J2O13_04G007924</t>
  </si>
  <si>
    <t>7.77E-34</t>
  </si>
  <si>
    <t>1.15E-31</t>
  </si>
  <si>
    <t>BAM2</t>
  </si>
  <si>
    <t>Leucine-rich repeat receptor-like serine/threonine-protein kinase BAM2</t>
  </si>
  <si>
    <t>GO:0005886,GO:0005524,GO:0106310,GO:0004674,GO:0033612,GO:0030154,GO:0048437,GO:0048229,GO:0009755,GO:0006468,GO:0010075,GO:0009934</t>
  </si>
  <si>
    <t>plasma membrane|ATP binding|protein serine kinase activity|protein serine/threonine kinase activity|receptor serine/threonine kinase binding|cell differentiation|floral organ development|gametophyte development|hormone-mediated signaling pathway|protein phosphorylation|regulation of meristem growth|regulation of meristem structural organization</t>
  </si>
  <si>
    <t>J2O13_04G007931</t>
  </si>
  <si>
    <t>8.73E-12</t>
  </si>
  <si>
    <t>1.41E-10</t>
  </si>
  <si>
    <t>J2O13_04G007933</t>
  </si>
  <si>
    <t>GRXC1</t>
  </si>
  <si>
    <t>Glutaredoxin-C1</t>
  </si>
  <si>
    <t>GO:0005737,GO:0005783,GO:0005777,GO:0015038,GO:0034599</t>
  </si>
  <si>
    <t>cytoplasm|endoplasmic reticulum|peroxisome|glutathione disulfide oxidoreductase activity|cellular response to oxidative stress</t>
  </si>
  <si>
    <t>J2O13_04G007951</t>
  </si>
  <si>
    <t>DOF5.6</t>
  </si>
  <si>
    <t>Dof zinc finger protein DOF5.6</t>
  </si>
  <si>
    <t>GO:0005634,GO:0003700,GO:0046872,GO:0000976,GO:0010087,GO:0045893,GO:0010067,GO:0006355,GO:0090057</t>
  </si>
  <si>
    <t>nucleus|DNA-binding transcription factor activity|metal ion binding|transcription cis-regulatory region binding|phloem or xylem histogenesis|positive regulation of DNA-templated transcription|procambium histogenesis|regulation of DNA-templated transcription|root radial pattern formation</t>
  </si>
  <si>
    <t>J2O13_04G007954</t>
  </si>
  <si>
    <t>J2O13_04G007957</t>
  </si>
  <si>
    <t>Carbonic anhydrase, chloroplastic OS=Nicotiana tabacum OX=4097 PE=2 SV=1</t>
  </si>
  <si>
    <t>ko00910</t>
  </si>
  <si>
    <t>Nitrogen metabolism</t>
  </si>
  <si>
    <t>GO:0009570,GO:0004089,GO:0008270,GO:0015976</t>
  </si>
  <si>
    <t>chloroplast stroma|carbonate dehydratase activity|zinc ion binding|carbon utilization</t>
  </si>
  <si>
    <t>J2O13_04G007960</t>
  </si>
  <si>
    <t>J2O13_04G007963</t>
  </si>
  <si>
    <t>HT1</t>
  </si>
  <si>
    <t>Serine/threonine/tyrosine-protein kinase HT1</t>
  </si>
  <si>
    <t>GO:0005737,GO:0005886,GO:0005524,GO:0004672,GO:0106310,GO:0004674,GO:0004714,GO:0071244,GO:0046777,GO:2000030,GO:0090333,GO:0010119,GO:0007165</t>
  </si>
  <si>
    <t>cytoplasm|plasma membrane|ATP binding|protein kinase activity|protein serine kinase activity|protein serine/threonine kinase activity|transmembrane receptor protein tyrosine kinase activity|cellular response to carbon dioxide|protein autophosphorylation|regulation of response to red or far red light|regulation of stomatal closure|regulation of stomatal movement|signal transduction</t>
  </si>
  <si>
    <t>J2O13_04G007969</t>
  </si>
  <si>
    <t>MPAO1</t>
  </si>
  <si>
    <t>Polyamine oxidase 1</t>
  </si>
  <si>
    <t>ko00330,ko00410</t>
  </si>
  <si>
    <t>Arginine and proline metabolism|beta-Alanine metabolism</t>
  </si>
  <si>
    <t>GO:0048046,GO:0009505,GO:0050660,GO:0052893,GO:0052897,GO:0016491,GO:0046592,GO:0052896,GO:0052900,GO:0006598,GO:0046208</t>
  </si>
  <si>
    <t>apoplast|plant-type cell wall|flavin adenine dinucleotide binding|N1-acetylspermine:oxygen oxidoreductase (propane-1,3-diamine-forming) activity|N8-acetylspermidine:oxygen oxidoreductase (propane-1,3-diamine-forming) activity|oxidoreductase activity|polyamine oxidase activity|spermidine oxidase (propane-1,3-diamine-forming) activity|spermine oxidase (propane-1,3-diamine-forming) activity|polyamine catabolic process|spermine catabolic process</t>
  </si>
  <si>
    <t>J2O13_04G007971</t>
  </si>
  <si>
    <t>BHLH162</t>
  </si>
  <si>
    <t>Transcription factor bHLH162</t>
  </si>
  <si>
    <t>GO:0090575,GO:0003700,GO:0000981,GO:0046983,GO:0000977,GO:0050832,GO:0006355,GO:0006357</t>
  </si>
  <si>
    <t>RNA polymerase II transcription regulator complex|DNA-binding transcription factor activity|DNA-binding transcription factor activity, RNA polymerase II-specific|protein dimerization activity|RNA polymerase II transcription regulatory region sequence-specific DNA binding|defense response to fungus|regulation of DNA-templated transcription|regulation of transcription by RNA polymerase II</t>
  </si>
  <si>
    <t>J2O13_04G007973</t>
  </si>
  <si>
    <t>SWEET5</t>
  </si>
  <si>
    <t>Bidirectional sugar transporter SWEET5</t>
  </si>
  <si>
    <t>GO:0016020,GO:0005886,GO:0051119,GO:0008643,GO:0051260</t>
  </si>
  <si>
    <t>membrane|plasma membrane|sugar transmembrane transporter activity|carbohydrate transport|protein homooligomerization</t>
  </si>
  <si>
    <t>J2O13_04G008038</t>
  </si>
  <si>
    <t>2.32E-05</t>
  </si>
  <si>
    <t>MYB35</t>
  </si>
  <si>
    <t>Transcription factor MYB35</t>
  </si>
  <si>
    <t>GO:0005634,GO:0003677,GO:0003700,GO:0048658,GO:0052545,GO:0055046</t>
  </si>
  <si>
    <t>nucleus|DNA binding|DNA-binding transcription factor activity|anther wall tapetum development|callose localization|microgametogenesis</t>
  </si>
  <si>
    <t>J2O13_04G008041</t>
  </si>
  <si>
    <t>1.49E-08</t>
  </si>
  <si>
    <t>1.50E-07</t>
  </si>
  <si>
    <t>AATP1</t>
  </si>
  <si>
    <t>AAA-ATPase ASD, mitochondrial</t>
  </si>
  <si>
    <t>GO:0005783,GO:0031966,GO:0005739,GO:0005524,GO:0016887,GO:0010154,GO:0009737,GO:0009409,GO:0009651,GO:0009414,GO:0010431</t>
  </si>
  <si>
    <t>endoplasmic reticulum|mitochondrial membrane|mitochondrion|ATP binding|ATP hydrolysis activity|fruit development|response to abscisic acid|response to cold|response to salt stress|response to water deprivation|seed maturation</t>
  </si>
  <si>
    <t>J2O13_04G008043</t>
  </si>
  <si>
    <t>4.88E-13</t>
  </si>
  <si>
    <t>9.48E-12</t>
  </si>
  <si>
    <t>HIPL1</t>
  </si>
  <si>
    <t>HIPL1 protein</t>
  </si>
  <si>
    <t>GO:0005739,GO:0005886,GO:0016491</t>
  </si>
  <si>
    <t>mitochondrion|plasma membrane|oxidoreductase activity</t>
  </si>
  <si>
    <t>J2O13_04G008045</t>
  </si>
  <si>
    <t>3.04E-21</t>
  </si>
  <si>
    <t>1.52E-19</t>
  </si>
  <si>
    <t>At1g18910</t>
  </si>
  <si>
    <t>Zinc finger protein BRUTUS-like At1g18910</t>
  </si>
  <si>
    <t>GO:0016020,GO:0005634,GO:0016874,GO:0061630,GO:0008270,GO:0006879,GO:0010106,GO:0033212,GO:0098711,GO:0016567,GO:0034756,GO:0010039,GO:0006511</t>
  </si>
  <si>
    <t>membrane|nucleus|ligase activity|ubiquitin protein ligase activity|zinc ion binding|cellular iron ion homeostasis|cellular response to iron ion starvation|iron import into cell|iron ion import across plasma membrane|protein ubiquitination|regulation of iron ion transport|response to iron ion|ubiquitin-dependent protein catabolic process</t>
  </si>
  <si>
    <t>J2O13_04G008057</t>
  </si>
  <si>
    <t>CPL4</t>
  </si>
  <si>
    <t>RNA polymerase II C-terminal domain phosphatase-like 4</t>
  </si>
  <si>
    <t>GO:0005634,GO:0046872,GO:0017018,GO:0008022,GO:0003723,GO:0008420,GO:0070940,GO:0009651</t>
  </si>
  <si>
    <t>nucleus|metal ion binding|myosin phosphatase activity|protein C-terminus binding|RNA binding|RNA polymerase II CTD heptapeptide repeat phosphatase activity|dephosphorylation of RNA polymerase II C-terminal domain|response to salt stress</t>
  </si>
  <si>
    <t>J2O13_04G008059</t>
  </si>
  <si>
    <t>5.30E-15</t>
  </si>
  <si>
    <t>1.33E-13</t>
  </si>
  <si>
    <t>NEPS3</t>
  </si>
  <si>
    <t>(+)-cis,cis-nepetalactol synthase NEPS3</t>
  </si>
  <si>
    <t>GO:0016853</t>
  </si>
  <si>
    <t>isomerase activity</t>
  </si>
  <si>
    <t>J2O13_04G008060</t>
  </si>
  <si>
    <t>7.92E-07</t>
  </si>
  <si>
    <t>5.82E-06</t>
  </si>
  <si>
    <t>J2O13_04G008062</t>
  </si>
  <si>
    <t>2.75E-18</t>
  </si>
  <si>
    <t>J2O13_04G008063</t>
  </si>
  <si>
    <t>1.11E-16</t>
  </si>
  <si>
    <t>3.35E-15</t>
  </si>
  <si>
    <t>J2O13_04G008076</t>
  </si>
  <si>
    <t>At4g15060</t>
  </si>
  <si>
    <t>Putative F-box/LRR-repeat protein At4g15060</t>
  </si>
  <si>
    <t>J2O13_04G008088</t>
  </si>
  <si>
    <t>ABCA7</t>
  </si>
  <si>
    <t>ABC transporter A family member 7</t>
  </si>
  <si>
    <t>GO:0043231,GO:0016020,GO:0009506,GO:0140359,GO:0005524,GO:0016887,GO:0042626,GO:0005319,GO:0006869</t>
  </si>
  <si>
    <t>intracellular membrane-bounded organelle|membrane|plasmodesma|ABC-type transporter activity|ATP binding|ATP hydrolysis activity|ATPase-coupled transmembrane transporter activity|lipid transporter activity|lipid transport</t>
  </si>
  <si>
    <t>J2O13_04G008103</t>
  </si>
  <si>
    <t>HVA22A</t>
  </si>
  <si>
    <t>HVA22-like protein a</t>
  </si>
  <si>
    <t>GO:0016020,GO:0042538,GO:0009737,GO:0009409,GO:0009414</t>
  </si>
  <si>
    <t>membrane|hyperosmotic salinity response|response to abscisic acid|response to cold|response to water deprivation</t>
  </si>
  <si>
    <t>J2O13_04G008105</t>
  </si>
  <si>
    <t>8.38E-25</t>
  </si>
  <si>
    <t>5.69E-23</t>
  </si>
  <si>
    <t>TCP14</t>
  </si>
  <si>
    <t>Transcription factor TCP14</t>
  </si>
  <si>
    <t>GO:0005634,GO:0003700,GO:0043565,GO:0000976,GO:0010229,GO:0031347,GO:0006355,GO:0010029,GO:0009737,GO:0009735,GO:0009739</t>
  </si>
  <si>
    <t>nucleus|DNA-binding transcription factor activity|sequence-specific DNA binding|transcription cis-regulatory region binding|inflorescence development|regulation of defense response|regulation of DNA-templated transcription|regulation of seed germination|response to abscisic acid|response to cytokinin|response to gibberellin</t>
  </si>
  <si>
    <t>J2O13_04G008108</t>
  </si>
  <si>
    <t>6.42E-05</t>
  </si>
  <si>
    <t>Flavonol synthase/flavanone 3-hydroxylase (Fragment) OS=Matthiola incana OX=3724 PE=2 SV=1</t>
  </si>
  <si>
    <t>GO:0005737,GO:0045431,GO:0031418,GO:0046872,GO:0045486</t>
  </si>
  <si>
    <t>cytoplasm|flavonol synthase activity|L-ascorbic acid binding|metal ion binding|naringenin 3-dioxygenase activity</t>
  </si>
  <si>
    <t>J2O13_04G008109</t>
  </si>
  <si>
    <t>8.59E-27</t>
  </si>
  <si>
    <t>7.12E-25</t>
  </si>
  <si>
    <t>NRP2</t>
  </si>
  <si>
    <t>NAP1-related protein 2</t>
  </si>
  <si>
    <t>GO:0000785,GO:0005737,GO:0005829,GO:0005634,GO:0003682,GO:0042393,GO:0000724,GO:0006334,GO:0016444</t>
  </si>
  <si>
    <t>chromatin|cytoplasm|cytosol|nucleus|chromatin binding|histone binding|double-strand break repair via homologous recombination|nucleosome assembly|somatic cell DNA recombination</t>
  </si>
  <si>
    <t>J2O13_04G008118</t>
  </si>
  <si>
    <t>2.77E-19</t>
  </si>
  <si>
    <t>1.15E-17</t>
  </si>
  <si>
    <t>J2O13_04G008125</t>
  </si>
  <si>
    <t>J2O13_04G008127</t>
  </si>
  <si>
    <t>4.86E-05</t>
  </si>
  <si>
    <t>J2O13_04G008133</t>
  </si>
  <si>
    <t>6.75E-10</t>
  </si>
  <si>
    <t>8.35E-09</t>
  </si>
  <si>
    <t>At3g47520</t>
  </si>
  <si>
    <t>Malate dehydrogenase, chloroplastic</t>
  </si>
  <si>
    <t>ko00020,ko00620,ko00630,ko00710,ko00270</t>
  </si>
  <si>
    <t>Citrate cycle (TCA cycle)|Pyruvate metabolism|Glyoxylate and dicarboxylate metabolism|Carbon fixation in photosynthetic organisms|Cysteine and methionine metabolism</t>
  </si>
  <si>
    <t>GO:0048046,GO:0009507,GO:0009941,GO:0009706,GO:0009570,GO:0005737,GO:0005829,GO:0005739,GO:0000325,GO:0009536,GO:0009532,GO:0010319,GO:0062091,GO:0016464,GO:0030060,GO:0008746,GO:0009658,GO:0042742,GO:0009793,GO:0006108,GO:0045037,GO:0009409,GO:0006099</t>
  </si>
  <si>
    <t>apoplast|chloroplast|chloroplast envelope|chloroplast inner membrane|chloroplast stroma|cytoplasm|cytosol|mitochondrion|plant-type vacuole|plastid|plastid stroma|stromule|Ycf2/FtsHi complex|chloroplast protein-transporting ATPase activity|L-malate dehydrogenase activity|NAD(P)+ transhydrogenase activity|chloroplast organization|defense response to bacterium|embryo development ending in seed dormancy|malate metabolic process|protein import into chloroplast stroma|response to cold|tricarboxylic acid cycle</t>
  </si>
  <si>
    <t>J2O13_04G008136</t>
  </si>
  <si>
    <t>J2O13_04G008139</t>
  </si>
  <si>
    <t>CML45</t>
  </si>
  <si>
    <t>Probable calcium-binding protein CML45</t>
  </si>
  <si>
    <t>ko04016,ko04014,ko04015,ko04371,ko04020,ko04070,ko04024,ko04022,ko04114,ko04218,ko04625,ko04910,ko04922,ko04912,ko04915,ko04921,ko04916,ko04924,ko04925,ko04261,ko04270,ko04970,ko04971,ko04728,ko04720,ko04722,ko04744,ko04745,ko04740,ko04750,ko04713,ko04626,ko05200,ko05214,ko05170,ko05163,ko05167,ko05133,ko05152,ko05010,ko05012,ko05022,ko05031,ko05034,ko05417,ko05418</t>
  </si>
  <si>
    <t>MAPK signaling pathway - plant|Ras signaling pathway|Rap1 signaling pathway|Apelin signaling pathway|Calcium signaling pathway|Phosphatidylinositol signaling system|cAMP signaling pathway|cGMP-PKG signaling pathway|Oocyte meiosis|Cellular senescence|C-type lectin receptor signaling pathway|Insulin signaling pathway|Glucagon signaling pathway|GnRH signaling pathway|Estrogen signaling pathway|Oxytocin signaling pathway|Melanogenesis|Renin secretion|Aldosterone synthesis and secretion|Adrenergic signaling in cardiomyocytes|Vascular smooth muscle contraction|Salivary secretion|Gastric acid secretion|Dopaminergic synapse|Long-term potentiation|Neurotrophin signaling pathway|Phototransduction|Phototransduction - fly|Olfactory transduction|Inflammatory mediator regulation of TRP channels|Circadian entrainment|Plant-pathogen interaction|Pathways in cancer|Glioma|Human immunodeficiency virus 1 infection|Human cytomegalovirus infection|Kaposi sarcoma-associated herpesvirus infection|Pertussis|Tuberculosis|Alzheimer disease|Parkinson disease|Pathways of neurodegeneration - multiple diseases|Amphetamine addiction|Alcoholism|Lipid and atherosclerosis|Fluid shear stress and atherosclerosis</t>
  </si>
  <si>
    <t>J2O13_04G008143</t>
  </si>
  <si>
    <t>EXPA15</t>
  </si>
  <si>
    <t>Expansin-A15</t>
  </si>
  <si>
    <t>GO:0005576,GO:0016020,GO:0009664,GO:0006949</t>
  </si>
  <si>
    <t>extracellular region|membrane|plant-type cell wall organization|syncytium formation</t>
  </si>
  <si>
    <t>J2O13_04G008144</t>
  </si>
  <si>
    <t>At5g61440</t>
  </si>
  <si>
    <t>Thioredoxin-like 1-2, chloroplastic</t>
  </si>
  <si>
    <t>GO:0009507,GO:0045454</t>
  </si>
  <si>
    <t>chloroplast|cell redox homeostasis</t>
  </si>
  <si>
    <t>J2O13_04G008145</t>
  </si>
  <si>
    <t>2.24E-11</t>
  </si>
  <si>
    <t>3.43E-10</t>
  </si>
  <si>
    <t>PNSB4</t>
  </si>
  <si>
    <t>Photosynthetic NDH subunit of subcomplex B 4, chloroplastic</t>
  </si>
  <si>
    <t>GO:0009535,GO:0010598,GO:0009773</t>
  </si>
  <si>
    <t>chloroplast thylakoid membrane|NAD(P)H dehydrogenase complex (plastoquinone)|photosynthetic electron transport in photosystem I</t>
  </si>
  <si>
    <t>J2O13_04G008148</t>
  </si>
  <si>
    <t>NAC100</t>
  </si>
  <si>
    <t>NAC domain-containing protein 100</t>
  </si>
  <si>
    <t>J2O13_04G008149</t>
  </si>
  <si>
    <t>MYB106</t>
  </si>
  <si>
    <t>Transcription factor MYB106</t>
  </si>
  <si>
    <t>GO:0005634,GO:0003677,GO:0000902,GO:0035017,GO:1901957,GO:0010091</t>
  </si>
  <si>
    <t>nucleus|DNA binding|cell morphogenesis|cuticle pattern formation|regulation of cutin biosynthetic process|trichome branching</t>
  </si>
  <si>
    <t>J2O13_04G008152</t>
  </si>
  <si>
    <t>FT1</t>
  </si>
  <si>
    <t>Galactoside 2-alpha-L-fucosyltransferase</t>
  </si>
  <si>
    <t>GO:0032580,GO:0008107,GO:0042546,GO:0071555,GO:0006486</t>
  </si>
  <si>
    <t>Golgi cisterna membrane|galactoside 2-alpha-L-fucosyltransferase activity|cell wall biogenesis|cell wall organization|protein glycosylation</t>
  </si>
  <si>
    <t>J2O13_04G008153</t>
  </si>
  <si>
    <t>RPE</t>
  </si>
  <si>
    <t>Ribulose-5-phosphate-3-epimerase, chloroplastic</t>
  </si>
  <si>
    <t>ko00030,ko00040,ko00710</t>
  </si>
  <si>
    <t>Pentose phosphate pathway|Pentose and glucuronate interconversions|Carbon fixation in photosynthetic organisms</t>
  </si>
  <si>
    <t>GO:0048046,GO:0009507,GO:0009941,GO:0009570,GO:0009535,GO:0005829,GO:0009536,GO:0010319,GO:0009579,GO:0004750,GO:0046872,GO:0044262,GO:0009052,GO:0019253,GO:0009409,GO:0009624</t>
  </si>
  <si>
    <t>apoplast|chloroplast|chloroplast envelope|chloroplast stroma|chloroplast thylakoid membrane|cytosol|plastid|stromule|thylakoid|D-ribulose-phosphate 3-epimerase activity|metal ion binding|cellular carbohydrate metabolic process|pentose-phosphate shunt, non-oxidative branch|reductive pentose-phosphate cycle|response to cold|response to nematode</t>
  </si>
  <si>
    <t>J2O13_04G008159</t>
  </si>
  <si>
    <t>3.38E-16</t>
  </si>
  <si>
    <t>At5g61370</t>
  </si>
  <si>
    <t>Pentatricopeptide repeat-containing protein At5g61370, mitochondrial</t>
  </si>
  <si>
    <t>J2O13_04G008162</t>
  </si>
  <si>
    <t>1.46E-07</t>
  </si>
  <si>
    <t>1.23E-06</t>
  </si>
  <si>
    <t>At5g61350</t>
  </si>
  <si>
    <t>Probable receptor-like protein kinase At5g61350</t>
  </si>
  <si>
    <t>GO:0009705,GO:0005886,GO:0005524,GO:0004672,GO:0004674,GO:0004714,GO:0097275,GO:0046777,GO:0051924,GO:0080147</t>
  </si>
  <si>
    <t>plant-type vacuole membrane|plasma membrane|ATP binding|protein kinase activity|protein serine/threonine kinase activity|transmembrane receptor protein tyrosine kinase activity|cellular ammonium homeostasis|protein autophosphorylation|regulation of calcium ion transport|root hair cell development</t>
  </si>
  <si>
    <t>J2O13_04G008167</t>
  </si>
  <si>
    <t>IBS1</t>
  </si>
  <si>
    <t>Protein IMPAIRED IN BABA-INDUCED STERILITY 1</t>
  </si>
  <si>
    <t>GO:0000307,GO:0005634,GO:0005886,GO:0005524,GO:0004693,GO:0008353,GO:0042742,GO:0002229,GO:0070816,GO:1900426,GO:1902290,GO:0032968,GO:0006468,GO:2000031</t>
  </si>
  <si>
    <t>cyclin-dependent protein kinase holoenzyme complex|nucleus|plasma membrane|ATP binding|cyclin-dependent protein serine/threonine kinase activity|RNA polymerase II CTD heptapeptide repeat kinase activity|defense response to bacterium|defense response to oomycetes|phosphorylation of RNA polymerase II C-terminal domain|positive regulation of defense response to bacterium|positive regulation of defense response to oomycetes|positive regulation of transcription elongation by RNA polymerase II|protein phosphorylation|regulation of salicylic acid mediated signaling pathway</t>
  </si>
  <si>
    <t>J2O13_04G008169</t>
  </si>
  <si>
    <t>1.50E-30</t>
  </si>
  <si>
    <t>1.79E-28</t>
  </si>
  <si>
    <t>Eukaryotic translation initiation factor 5A OS=Manihot esculenta OX=3983 PE=2 SV=2</t>
  </si>
  <si>
    <t>GO:0043022,GO:0003723,GO:0003746,GO:0003743,GO:0045901,GO:0045905</t>
  </si>
  <si>
    <t>ribosome binding|RNA binding|translation elongation factor activity|translation initiation factor activity|positive regulation of translational elongation|positive regulation of translational termination</t>
  </si>
  <si>
    <t>J2O13_04G008171</t>
  </si>
  <si>
    <t>4.73E-07</t>
  </si>
  <si>
    <t>3.63E-06</t>
  </si>
  <si>
    <t>At1g74360</t>
  </si>
  <si>
    <t>Probable LRR receptor-like serine/threonine-protein kinase At1g74360</t>
  </si>
  <si>
    <t>GO:0031966,GO:0005739,GO:0005886,GO:0005524,GO:0106310,GO:0004674,GO:0002215,GO:0009825,GO:0006468,GO:0009845</t>
  </si>
  <si>
    <t>mitochondrial membrane|mitochondrion|plasma membrane|ATP binding|protein serine kinase activity|protein serine/threonine kinase activity|defense response to nematode|multidimensional cell growth|protein phosphorylation|seed germination</t>
  </si>
  <si>
    <t>J2O13_04G008181</t>
  </si>
  <si>
    <t>J2O13_04G008183</t>
  </si>
  <si>
    <t>1.08E-12</t>
  </si>
  <si>
    <t>1.98E-11</t>
  </si>
  <si>
    <t>INO80</t>
  </si>
  <si>
    <t>Chromatin-remodeling ATPase INO80</t>
  </si>
  <si>
    <t>GO:0031011,GO:0005524,GO:0016887,GO:0140658,GO:0003677,GO:0042393,GO:0006281,GO:0043618</t>
  </si>
  <si>
    <t>Ino80 complex|ATP binding|ATP hydrolysis activity|ATP-dependent chromatin remodeler activity|DNA binding|histone binding|DNA repair|regulation of transcription from RNA polymerase II promoter in response to stress</t>
  </si>
  <si>
    <t>J2O13_04G008187</t>
  </si>
  <si>
    <t>9.61E-14</t>
  </si>
  <si>
    <t>2.04E-12</t>
  </si>
  <si>
    <t>J2O13_04G008190</t>
  </si>
  <si>
    <t>J2O13_04G008196</t>
  </si>
  <si>
    <t>J2O13_04G008203</t>
  </si>
  <si>
    <t>UGT83A1</t>
  </si>
  <si>
    <t>UDP-glycosyltransferase 83A1</t>
  </si>
  <si>
    <t>J2O13_04G008206</t>
  </si>
  <si>
    <t>J2O13_04G008213</t>
  </si>
  <si>
    <t>8.33E-52</t>
  </si>
  <si>
    <t>4.37E-49</t>
  </si>
  <si>
    <t>CLPB1</t>
  </si>
  <si>
    <t>Chaperone protein ClpB1</t>
  </si>
  <si>
    <t>ko04213</t>
  </si>
  <si>
    <t>Longevity regulating pathway - multiple species</t>
  </si>
  <si>
    <t>GO:0009941,GO:0009570,GO:0005737,GO:0005829,GO:0005634,GO:0005524,GO:0016887,GO:0034605,GO:0071456,GO:0045727,GO:0043335,GO:0009408</t>
  </si>
  <si>
    <t>chloroplast envelope|chloroplast stroma|cytoplasm|cytosol|nucleus|ATP binding|ATP hydrolysis activity|cellular response to heat|cellular response to hypoxia|positive regulation of translation|protein unfolding|response to heat</t>
  </si>
  <si>
    <t>J2O13_04G008215</t>
  </si>
  <si>
    <t>7.28E-28</t>
  </si>
  <si>
    <t>6.82E-26</t>
  </si>
  <si>
    <t>CYP75B2</t>
  </si>
  <si>
    <t>Flavonoid 3'-monooxygenase</t>
  </si>
  <si>
    <t>ko00941,ko00944</t>
  </si>
  <si>
    <t>Flavonoid biosynthesis|Flavone and flavonol biosynthesis</t>
  </si>
  <si>
    <t>GO:0005789,GO:0016711,GO:0020037,GO:0005506,GO:0009813</t>
  </si>
  <si>
    <t>endoplasmic reticulum membrane|flavonoid 3'-monooxygenase activity|heme binding|iron ion binding|flavonoid biosynthetic process</t>
  </si>
  <si>
    <t>J2O13_04G008229</t>
  </si>
  <si>
    <t>PDC1</t>
  </si>
  <si>
    <t>Pyruvate decarboxylase 1</t>
  </si>
  <si>
    <t>ko00010</t>
  </si>
  <si>
    <t>Glycolysis / Gluconeogenesis</t>
  </si>
  <si>
    <t>GO:0005829,GO:0005886,GO:0016831,GO:0000287,GO:0004737,GO:0030976,GO:0071456,GO:0034059</t>
  </si>
  <si>
    <t>cytosol|plasma membrane|carboxy-lyase activity|magnesium ion binding|pyruvate decarboxylase activity|thiamine pyrophosphate binding|cellular response to hypoxia|response to anoxia</t>
  </si>
  <si>
    <t>J2O13_04G008241</t>
  </si>
  <si>
    <t>1.41E-08</t>
  </si>
  <si>
    <t>1.42E-07</t>
  </si>
  <si>
    <t>ABCB25</t>
  </si>
  <si>
    <t>ABC transporter B family member 25</t>
  </si>
  <si>
    <t>GO:0016020,GO:0009705,GO:0140359,GO:0015083,GO:0005524,GO:0016887,GO:0042626,GO:1902602,GO:0010217,GO:0010044,GO:0055085</t>
  </si>
  <si>
    <t>membrane|plant-type vacuole membrane|ABC-type transporter activity|aluminum ion transmembrane transporter activity|ATP binding|ATP hydrolysis activity|ATPase-coupled transmembrane transporter activity|aluminum ion transmembrane transport|cellular aluminum ion homeostasis|response to aluminum ion|transmembrane transport</t>
  </si>
  <si>
    <t>J2O13_04G008244</t>
  </si>
  <si>
    <t>CYP78A5</t>
  </si>
  <si>
    <t>Cytochrome P450 78A5</t>
  </si>
  <si>
    <t>GO:0005783,GO:0016020,GO:0020037,GO:0005506,GO:0004497,GO:0016705,GO:0048437,GO:0035265,GO:0008284,GO:0046622,GO:0040009</t>
  </si>
  <si>
    <t>endoplasmic reticulum|membrane|heme binding|iron ion binding|monooxygenase activity|oxidoreductase activity, acting on paired donors, with incorporation or reduction of molecular oxygen|floral organ development|organ growth|positive regulation of cell population proliferation|positive regulation of organ growth|regulation of growth rate</t>
  </si>
  <si>
    <t>J2O13_04G008248</t>
  </si>
  <si>
    <t>COBL4</t>
  </si>
  <si>
    <t>COBRA-like protein 4</t>
  </si>
  <si>
    <t>GO:0000325,GO:0005886,GO:0010215,GO:0052324,GO:0009834</t>
  </si>
  <si>
    <t>plant-type vacuole|plasma membrane|cellulose microfibril organization|plant-type cell wall cellulose biosynthetic process|plant-type secondary cell wall biogenesis</t>
  </si>
  <si>
    <t>J2O13_04G008249</t>
  </si>
  <si>
    <t>5.57E-05</t>
  </si>
  <si>
    <t>Histone H4 variant TH011 OS=Triticum aestivum OX=4565 PE=3 SV=2</t>
  </si>
  <si>
    <t>ko04613,ko05203,ko05322,ko05034</t>
  </si>
  <si>
    <t>Neutrophil extracellular trap formation|Viral carcinogenesis|Systemic lupus erythematosus|Alcoholism</t>
  </si>
  <si>
    <t>GO:0000786,GO:0005634,GO:0003677,GO:0046982,GO:0030527,GO:0006334</t>
  </si>
  <si>
    <t>nucleosome|nucleus|DNA binding|protein heterodimerization activity|structural constituent of chromatin|nucleosome assembly</t>
  </si>
  <si>
    <t>J2O13_04G008253</t>
  </si>
  <si>
    <t>1.81E-14</t>
  </si>
  <si>
    <t>4.22E-13</t>
  </si>
  <si>
    <t>SPL6</t>
  </si>
  <si>
    <t>Squamosa promoter-binding-like protein 6</t>
  </si>
  <si>
    <t>GO:0005634,GO:0003700,GO:0046872,GO:0000976,GO:0042742,GO:0006355,GO:0010468</t>
  </si>
  <si>
    <t>nucleus|DNA-binding transcription factor activity|metal ion binding|transcription cis-regulatory region binding|defense response to bacterium|regulation of DNA-templated transcription|regulation of gene expression</t>
  </si>
  <si>
    <t>J2O13_04G008256</t>
  </si>
  <si>
    <t>Flavonol 3-sulfotransferase OS=Flaveria bidentis OX=4224 PE=2 SV=1</t>
  </si>
  <si>
    <t>GO:0005737,GO:0008146</t>
  </si>
  <si>
    <t>cytoplasm|sulfotransferase activity</t>
  </si>
  <si>
    <t>J2O13_04G008257</t>
  </si>
  <si>
    <t>5.47E-07</t>
  </si>
  <si>
    <t>4.14E-06</t>
  </si>
  <si>
    <t>ER-ANT1</t>
  </si>
  <si>
    <t>ADP,ATP carrier protein ER-ANT1</t>
  </si>
  <si>
    <t>ko04020,ko04022,ko04217,ko04218,ko04613,ko05208,ko05166,ko05164,ko05010,ko05012,ko05016,ko05017,ko05020,ko05022,ko05415</t>
  </si>
  <si>
    <t>Calcium signaling pathway|cGMP-PKG signaling pathway|Necroptosis|Cellular senescence|Neutrophil extracellular trap formation|Chemical carcinogenesis - reactive oxygen species|Human T-cell leukemia virus 1 infection|Influenza A|Alzheimer disease|Parkinson disease|Huntington disease|Spinocerebellar ataxia|Prion disease|Pathways of neurodegeneration - multiple diseases|Diabetic cardiomyopathy</t>
  </si>
  <si>
    <t>GO:0005789,GO:0005743,GO:0005471,GO:0051503,GO:0140021,GO:1990544,GO:0048364,GO:0048316,GO:0048367</t>
  </si>
  <si>
    <t>endoplasmic reticulum membrane|mitochondrial inner membrane|ATP:ADP antiporter activity|adenine nucleotide transport|mitochondrial ADP transmembrane transport|mitochondrial ATP transmembrane transport|root development|seed development|shoot system development</t>
  </si>
  <si>
    <t>J2O13_04G008266</t>
  </si>
  <si>
    <t>DIR23</t>
  </si>
  <si>
    <t>Dirigent protein 23</t>
  </si>
  <si>
    <t>GO:0048046,GO:0009699</t>
  </si>
  <si>
    <t>apoplast|phenylpropanoid biosynthetic process</t>
  </si>
  <si>
    <t>J2O13_04G008269</t>
  </si>
  <si>
    <t>J2O13_04G008278</t>
  </si>
  <si>
    <t>1.13E-13</t>
  </si>
  <si>
    <t>2.38E-12</t>
  </si>
  <si>
    <t>UGT89B1</t>
  </si>
  <si>
    <t>Flavonol 3-O-glucosyltransferase UGT89B1</t>
  </si>
  <si>
    <t>GO:0102360,GO:0047893,GO:0033836,GO:0102425,GO:0080043,GO:0080046,GO:0080044,GO:0035251</t>
  </si>
  <si>
    <t>daphnetin 3-O-glucosyltransferase activity|flavonol 3-O-glucosyltransferase activity|flavonol 7-O-beta-glucosyltransferase activity|myricetin 3-O-glucosyltransferase activity|quercetin 3-O-glucosyltransferase activity|quercetin 4'-O-glucosyltransferase activity|quercetin 7-O-glucosyltransferase activity|UDP-glucosyltransferase activity</t>
  </si>
  <si>
    <t>J2O13_04G008279</t>
  </si>
  <si>
    <t>1.86E-11</t>
  </si>
  <si>
    <t>2.89E-10</t>
  </si>
  <si>
    <t>UGT89B2</t>
  </si>
  <si>
    <t>UDP-glycosyltransferase 89B2</t>
  </si>
  <si>
    <t>J2O13_04G008294</t>
  </si>
  <si>
    <t>UGT89A2</t>
  </si>
  <si>
    <t>UDP-glycosyltransferase 89A2</t>
  </si>
  <si>
    <t>GO:0035251,GO:0008194</t>
  </si>
  <si>
    <t>UDP-glucosyltransferase activity|UDP-glycosyltransferase activity</t>
  </si>
  <si>
    <t>J2O13_04G008302</t>
  </si>
  <si>
    <t>6.92E-05</t>
  </si>
  <si>
    <t>PUB42</t>
  </si>
  <si>
    <t>Putative U-box domain-containing protein 42</t>
  </si>
  <si>
    <t>GO:0004842</t>
  </si>
  <si>
    <t>ubiquitin-protein transferase activity</t>
  </si>
  <si>
    <t>J2O13_04G008308</t>
  </si>
  <si>
    <t>1.23E-08</t>
  </si>
  <si>
    <t>1.25E-07</t>
  </si>
  <si>
    <t>J2O13_04G008317</t>
  </si>
  <si>
    <t>J2O13_04G008319</t>
  </si>
  <si>
    <t>J2O13_04G008327</t>
  </si>
  <si>
    <t>4.02E-05</t>
  </si>
  <si>
    <t>IRT2</t>
  </si>
  <si>
    <t>Fe(2+) transport protein 2</t>
  </si>
  <si>
    <t>GO:0016020,GO:0005886,GO:0005385,GO:0055072,GO:0006826,GO:0071577</t>
  </si>
  <si>
    <t>membrane|plasma membrane|zinc ion transmembrane transporter activity|iron ion homeostasis|iron ion transport|zinc ion transmembrane transport</t>
  </si>
  <si>
    <t>J2O13_04G008328</t>
  </si>
  <si>
    <t>BZIP43</t>
  </si>
  <si>
    <t>Basic leucine zipper 43</t>
  </si>
  <si>
    <t>J2O13_04G008333</t>
  </si>
  <si>
    <t>4.50E-09</t>
  </si>
  <si>
    <t>SNAT2</t>
  </si>
  <si>
    <t>Serotonin N-acetyltransferase 2, chloroplastic</t>
  </si>
  <si>
    <t>GO:0009507,GO:0005737,GO:0004059,GO:0008080,GO:0030187</t>
  </si>
  <si>
    <t>chloroplast|cytoplasm|aralkylamine N-acetyltransferase activity|N-acetyltransferase activity|melatonin biosynthetic process</t>
  </si>
  <si>
    <t>J2O13_04G008335</t>
  </si>
  <si>
    <t>5.87E-09</t>
  </si>
  <si>
    <t>6.33E-08</t>
  </si>
  <si>
    <t>TTM2</t>
  </si>
  <si>
    <t>Inorganic pyrophosphatase TTM2</t>
  </si>
  <si>
    <t>ko00240,ko00983</t>
  </si>
  <si>
    <t>Pyrimidine metabolism|Drug metabolism - other enzymes</t>
  </si>
  <si>
    <t>GO:0005737,GO:0005741,GO:0005524,GO:0004427,GO:0016301,GO:0016462,GO:0098542,GO:1900425,GO:1902289,GO:0010113,GO:0009626,GO:2000031,GO:0002237,GO:0002239,GO:0009751</t>
  </si>
  <si>
    <t>cytoplasm|mitochondrial outer membrane|ATP binding|inorganic diphosphate phosphatase activity|kinase activity|pyrophosphatase activity|defense response to other organism|negative regulation of defense response to bacterium|negative regulation of defense response to oomycetes|negative regulation of systemic acquired resistance|plant-type hypersensitive response|regulation of salicylic acid mediated signaling pathway|response to molecule of bacterial origin|response to oomycetes|response to salicylic acid</t>
  </si>
  <si>
    <t>J2O13_04G008340</t>
  </si>
  <si>
    <t>At1g13570</t>
  </si>
  <si>
    <t>F-box/FBD/LRR-repeat protein At1g13570</t>
  </si>
  <si>
    <t>J2O13_04G008342</t>
  </si>
  <si>
    <t>5.80E-10</t>
  </si>
  <si>
    <t>7.23E-09</t>
  </si>
  <si>
    <t>GO:0004014,GO:0008295,GO:0006597</t>
  </si>
  <si>
    <t>adenosylmethionine decarboxylase activity|spermidine biosynthetic process|spermine biosynthetic process</t>
  </si>
  <si>
    <t>J2O13_04G008344</t>
  </si>
  <si>
    <t>3.39E-06</t>
  </si>
  <si>
    <t>2.20E-05</t>
  </si>
  <si>
    <t>J2O13_04G008345</t>
  </si>
  <si>
    <t>1.61E-05</t>
  </si>
  <si>
    <t>9.11E-05</t>
  </si>
  <si>
    <t>J2O13_04G008348</t>
  </si>
  <si>
    <t>2.01E-08</t>
  </si>
  <si>
    <t>1.98E-07</t>
  </si>
  <si>
    <t>RHA2A</t>
  </si>
  <si>
    <t>E3 ubiquitin-protein ligase RHA2A</t>
  </si>
  <si>
    <t>GO:0005737,GO:0005634,GO:0046872,GO:0061630,GO:0004842,GO:0009738,GO:0009789,GO:0016567,GO:0047484,GO:0009651</t>
  </si>
  <si>
    <t>cytoplasm|nucleus|metal ion binding|ubiquitin protein ligase activity|ubiquitin-protein transferase activity|abscisic acid-activated signaling pathway|positive regulation of abscisic acid-activated signaling pathway|protein ubiquitination|regulation of response to osmotic stress|response to salt stress</t>
  </si>
  <si>
    <t>J2O13_04G008358</t>
  </si>
  <si>
    <t>2.80E-06</t>
  </si>
  <si>
    <t>PHO1-H1</t>
  </si>
  <si>
    <t>Phosphate transporter PHO1 homolog 1</t>
  </si>
  <si>
    <t>GO:0005737,GO:0005794,GO:0005886,GO:0000822,GO:0015114,GO:0016036,GO:0006817</t>
  </si>
  <si>
    <t>cytoplasm|Golgi apparatus|plasma membrane|inositol hexakisphosphate binding|phosphate ion transmembrane transporter activity|cellular response to phosphate starvation|phosphate ion transport</t>
  </si>
  <si>
    <t>J2O13_04G008362</t>
  </si>
  <si>
    <t>9.24E-07</t>
  </si>
  <si>
    <t>6.71E-06</t>
  </si>
  <si>
    <t>J2O13_04G008364</t>
  </si>
  <si>
    <t>9.46E-09</t>
  </si>
  <si>
    <t>9.83E-08</t>
  </si>
  <si>
    <t>J2O13_04G008376</t>
  </si>
  <si>
    <t>1.05E-07</t>
  </si>
  <si>
    <t>9.16E-07</t>
  </si>
  <si>
    <t>J2O13_04G008378</t>
  </si>
  <si>
    <t>8.02E-08</t>
  </si>
  <si>
    <t>7.11E-07</t>
  </si>
  <si>
    <t>J2O13_04G008379</t>
  </si>
  <si>
    <t>CLE12</t>
  </si>
  <si>
    <t>CLAVATA3/ESR (CLE)-related protein 12</t>
  </si>
  <si>
    <t>GO:0048046,GO:0005615,GO:0033612,GO:0045168</t>
  </si>
  <si>
    <t>apoplast|extracellular space|receptor serine/threonine kinase binding|cell-cell signaling involved in cell fate commitment</t>
  </si>
  <si>
    <t>J2O13_04G008389</t>
  </si>
  <si>
    <t>STN7</t>
  </si>
  <si>
    <t>Serine/threonine-protein kinase STN7, chloroplastic</t>
  </si>
  <si>
    <t>GO:0009507,GO:0009535,GO:0042651,GO:0005524,GO:0004672,GO:0106310,GO:0004674,GO:0007623,GO:0009643,GO:0006468,GO:0042548</t>
  </si>
  <si>
    <t>chloroplast|chloroplast thylakoid membrane|thylakoid membrane|ATP binding|protein kinase activity|protein serine kinase activity|protein serine/threonine kinase activity|circadian rhythm|photosynthetic acclimation|protein phosphorylation|regulation of photosynthesis, light reaction</t>
  </si>
  <si>
    <t>J2O13_04G008392</t>
  </si>
  <si>
    <t>8.33E-21</t>
  </si>
  <si>
    <t>TEM1</t>
  </si>
  <si>
    <t>AP2/ERF and B3 domain-containing transcription repressor TEM1</t>
  </si>
  <si>
    <t>GO:0005634,GO:0003700,GO:0000976,GO:0071456,GO:0009873,GO:0048573</t>
  </si>
  <si>
    <t>nucleus|DNA-binding transcription factor activity|transcription cis-regulatory region binding|cellular response to hypoxia|ethylene-activated signaling pathway|photoperiodism, flowering</t>
  </si>
  <si>
    <t>J2O13_04G008399</t>
  </si>
  <si>
    <t>7.46E-06</t>
  </si>
  <si>
    <t>J2O13_04G008403</t>
  </si>
  <si>
    <t>At1g25530</t>
  </si>
  <si>
    <t>Lysine histidine transporter-like 6</t>
  </si>
  <si>
    <t>J2O13_04G008412</t>
  </si>
  <si>
    <t>CXE6</t>
  </si>
  <si>
    <t>Probable carboxylesterase 6</t>
  </si>
  <si>
    <t>GO:0106435,GO:0071456</t>
  </si>
  <si>
    <t>carboxylesterase activity|cellular response to hypoxia</t>
  </si>
  <si>
    <t>J2O13_04G008419</t>
  </si>
  <si>
    <t>2.67E-67</t>
  </si>
  <si>
    <t>2.98E-64</t>
  </si>
  <si>
    <t>J2O13_04G008427</t>
  </si>
  <si>
    <t>NPF3.1</t>
  </si>
  <si>
    <t>Protein NRT1/ PTR FAMILY 3.1</t>
  </si>
  <si>
    <t>GO:0097708,GO:0016020,GO:0005886,GO:0022857,GO:0010336,GO:0042128,GO:0055085</t>
  </si>
  <si>
    <t>intracellular vesicle|membrane|plasma membrane|transmembrane transporter activity|gibberellic acid homeostasis|nitrate assimilation|transmembrane transport</t>
  </si>
  <si>
    <t>J2O13_04G008430</t>
  </si>
  <si>
    <t>5.16E-13</t>
  </si>
  <si>
    <t>9.99E-12</t>
  </si>
  <si>
    <t>J2O13_04G008431</t>
  </si>
  <si>
    <t>1.73E-22</t>
  </si>
  <si>
    <t>9.74E-21</t>
  </si>
  <si>
    <t>J2O13_04G008432</t>
  </si>
  <si>
    <t>XYL1</t>
  </si>
  <si>
    <t>Alpha-xylosidase 1</t>
  </si>
  <si>
    <t>GO:0048046,GO:0005739,GO:0009505,GO:0009506,GO:0061634,GO:0046556,GO:0030246,GO:0004553,GO:0009044,GO:0080176,GO:0071555,GO:0046686,GO:0045493,GO:0010411</t>
  </si>
  <si>
    <t>apoplast|mitochondrion|plant-type cell wall|plasmodesma|alpha-D-xyloside xylohydrolase|alpha-L-arabinofuranosidase activity|carbohydrate binding|hydrolase activity, hydrolyzing O-glycosyl compounds|xylan 1,4-beta-xylosidase activity|xyloglucan 1,6-alpha-xylosidase activity|cell wall organization|response to cadmium ion|xylan catabolic process|xyloglucan metabolic process</t>
  </si>
  <si>
    <t>J2O13_04G008435</t>
  </si>
  <si>
    <t>TKPR2</t>
  </si>
  <si>
    <t>Tetraketide alpha-pyrone reductase 2</t>
  </si>
  <si>
    <t>GO:0005829,GO:0016616,GO:0010584,GO:0080110</t>
  </si>
  <si>
    <t>cytosol|oxidoreductase activity, acting on the CH-OH group of donors, NAD or NADP as acceptor|pollen exine formation|sporopollenin biosynthetic process</t>
  </si>
  <si>
    <t>J2O13_04G008438</t>
  </si>
  <si>
    <t>4.56E-06</t>
  </si>
  <si>
    <t>2.88E-05</t>
  </si>
  <si>
    <t>COL6</t>
  </si>
  <si>
    <t>Zinc finger protein CONSTANS-LIKE 6</t>
  </si>
  <si>
    <t>GO:0005634,GO:0003700,GO:0000976,GO:0008270,GO:0006355</t>
  </si>
  <si>
    <t>nucleus|DNA-binding transcription factor activity|transcription cis-regulatory region binding|zinc ion binding|regulation of DNA-templated transcription</t>
  </si>
  <si>
    <t>J2O13_04G008443</t>
  </si>
  <si>
    <t>J2O13_04G008446</t>
  </si>
  <si>
    <t>6.00E-08</t>
  </si>
  <si>
    <t>5.43E-07</t>
  </si>
  <si>
    <t>RPL15</t>
  </si>
  <si>
    <t>50S ribosomal protein L15, chloroplastic</t>
  </si>
  <si>
    <t>GO:0009507,GO:0022625,GO:0003729,GO:0003735,GO:0006412</t>
  </si>
  <si>
    <t>chloroplast|cytosolic large ribosomal subunit|mRNA binding|structural constituent of ribosome|translation</t>
  </si>
  <si>
    <t>J2O13_04G008448</t>
  </si>
  <si>
    <t>JAG</t>
  </si>
  <si>
    <t>Zinc finger protein JAGGED</t>
  </si>
  <si>
    <t>GO:0005634,GO:0003700,GO:0046872,GO:0010158,GO:0048653,GO:0048440,GO:0009908,GO:0009965,GO:0009909,GO:0010093,GO:0048443</t>
  </si>
  <si>
    <t>nucleus|DNA-binding transcription factor activity|metal ion binding|abaxial cell fate specification|anther development|carpel development|flower development|leaf morphogenesis|regulation of flower development|specification of floral organ identity|stamen development</t>
  </si>
  <si>
    <t>J2O13_04G008451</t>
  </si>
  <si>
    <t>2.24E-06</t>
  </si>
  <si>
    <t>1.51E-05</t>
  </si>
  <si>
    <t>CSE</t>
  </si>
  <si>
    <t>Caffeoylshikimate esterase</t>
  </si>
  <si>
    <t>GO:0005783,GO:0005794,GO:0016020,GO:0005634,GO:0005886,GO:0009506,GO:0003846,GO:0090430,GO:0016787,GO:0016298,GO:0004622,GO:0009809,GO:0046686,GO:0042542,GO:0006979,GO:0010043</t>
  </si>
  <si>
    <t>endoplasmic reticulum|Golgi apparatus|membrane|nucleus|plasma membrane|plasmodesma|2-acylglycerol O-acyltransferase activity|caffeoyl-CoA: alcohol caffeoyl transferase activity|hydrolase activity|lipase activity|lysophospholipase activity|lignin biosynthetic process|response to cadmium ion|response to hydrogen peroxide|response to oxidative stress|response to zinc ion</t>
  </si>
  <si>
    <t>J2O13_04G008457</t>
  </si>
  <si>
    <t>AIPT</t>
  </si>
  <si>
    <t>Adenylate isopentenyltransferase</t>
  </si>
  <si>
    <t>GO:0009824,GO:0005524,GO:0034265</t>
  </si>
  <si>
    <t>AMP dimethylallyltransferase activity|ATP binding|isopentenyl adenine biosynthetic process</t>
  </si>
  <si>
    <t>J2O13_04G008461</t>
  </si>
  <si>
    <t>1.54E-08</t>
  </si>
  <si>
    <t>1.55E-07</t>
  </si>
  <si>
    <t>At3g01520</t>
  </si>
  <si>
    <t>Universal stress protein A-like protein</t>
  </si>
  <si>
    <t>GO:0005829,GO:0005886,GO:0016208</t>
  </si>
  <si>
    <t>cytosol|plasma membrane|AMP binding</t>
  </si>
  <si>
    <t>J2O13_04G008469</t>
  </si>
  <si>
    <t>Mannose-6-phosphate isomerase 1</t>
  </si>
  <si>
    <t>ko00051,ko00520,ko00541</t>
  </si>
  <si>
    <t>Fructose and mannose metabolism|Amino sugar and nucleotide sugar metabolism|O-Antigen nucleotide sugar biosynthesis</t>
  </si>
  <si>
    <t>GO:0005829,GO:0004476,GO:0008270,GO:0005975,GO:0009793,GO:0009298,GO:0046686,GO:0032025,GO:0033591,GO:0009416,GO:0010043</t>
  </si>
  <si>
    <t>cytosol|mannose-6-phosphate isomerase activity|zinc ion binding|carbohydrate metabolic process|embryo development ending in seed dormancy|GDP-mannose biosynthetic process|response to cadmium ion|response to cobalt ion|response to L-ascorbic acid|response to light stimulus|response to zinc ion</t>
  </si>
  <si>
    <t>J2O13_04G008470</t>
  </si>
  <si>
    <t>J2O13_04G008475</t>
  </si>
  <si>
    <t>GIS3</t>
  </si>
  <si>
    <t>Zinc finger protein GIS3</t>
  </si>
  <si>
    <t>GO:0005634,GO:0003700,GO:0046872,GO:0000976,GO:0009736,GO:0009740,GO:0019760,GO:0006355,GO:0010026,GO:0010090</t>
  </si>
  <si>
    <t>nucleus|DNA-binding transcription factor activity|metal ion binding|transcription cis-regulatory region binding|cytokinin-activated signaling pathway|gibberellic acid mediated signaling pathway|glucosinolate metabolic process|regulation of DNA-templated transcription|trichome differentiation|trichome morphogenesis</t>
  </si>
  <si>
    <t>J2O13_04G008479</t>
  </si>
  <si>
    <t>J2O13_04G008489</t>
  </si>
  <si>
    <t>5.41E-07</t>
  </si>
  <si>
    <t>4.10E-06</t>
  </si>
  <si>
    <t>J2O13_04G008490</t>
  </si>
  <si>
    <t>1.06E-21</t>
  </si>
  <si>
    <t>5.46E-20</t>
  </si>
  <si>
    <t>J2O13_04G008493</t>
  </si>
  <si>
    <t>LRK10L-2.8</t>
  </si>
  <si>
    <t>LEAF RUST 10 DISEASE-RESISTANCE LOCUS RECEPTOR-LIKE PROTEIN KINASE-like 2.8</t>
  </si>
  <si>
    <t>GO:0016020,GO:0005524,GO:0030247,GO:0106310,GO:0004674,GO:0006468</t>
  </si>
  <si>
    <t>membrane|ATP binding|polysaccharide binding|protein serine kinase activity|protein serine/threonine kinase activity|protein phosphorylation</t>
  </si>
  <si>
    <t>J2O13_04G008494</t>
  </si>
  <si>
    <t>1.30E-13</t>
  </si>
  <si>
    <t>2.71E-12</t>
  </si>
  <si>
    <t>J2O13_04G008525</t>
  </si>
  <si>
    <t>J2O13_04G008550</t>
  </si>
  <si>
    <t>At2g17570</t>
  </si>
  <si>
    <t>Dehydrodolichyl diphosphate synthase 6</t>
  </si>
  <si>
    <t>GO:0005783,GO:0002094,GO:0016094,GO:0006486</t>
  </si>
  <si>
    <t>endoplasmic reticulum|polyprenyltransferase activity|polyprenol biosynthetic process|protein glycosylation</t>
  </si>
  <si>
    <t>J2O13_04G008556</t>
  </si>
  <si>
    <t>7.36E-05</t>
  </si>
  <si>
    <t>J2O13_04G008560</t>
  </si>
  <si>
    <t>6.77E-14</t>
  </si>
  <si>
    <t>1.47E-12</t>
  </si>
  <si>
    <t>FLA20</t>
  </si>
  <si>
    <t>Putative fasciclin-like arabinogalactan protein 20</t>
  </si>
  <si>
    <t>J2O13_04G008561</t>
  </si>
  <si>
    <t>2.18E-31</t>
  </si>
  <si>
    <t>2.84E-29</t>
  </si>
  <si>
    <t>RPI2</t>
  </si>
  <si>
    <t>Probable ribose-5-phosphate isomerase 2</t>
  </si>
  <si>
    <t>ko00030,ko00710</t>
  </si>
  <si>
    <t>Pentose phosphate pathway|Carbon fixation in photosynthetic organisms</t>
  </si>
  <si>
    <t>GO:0005737,GO:0004751,GO:0008219,GO:0009052,GO:0010228</t>
  </si>
  <si>
    <t>cytoplasm|ribose-5-phosphate isomerase activity|cell death|pentose-phosphate shunt, non-oxidative branch|vegetative to reproductive phase transition of meristem</t>
  </si>
  <si>
    <t>J2O13_04G008570</t>
  </si>
  <si>
    <t>2.22E-07</t>
  </si>
  <si>
    <t>1.81E-06</t>
  </si>
  <si>
    <t>PSAK</t>
  </si>
  <si>
    <t>Photosystem I reaction center subunit psaK, chloroplastic</t>
  </si>
  <si>
    <t>GO:0009507,GO:0009534,GO:0009535,GO:0005634,GO:0009522,GO:0009579,GO:0015979</t>
  </si>
  <si>
    <t>chloroplast|chloroplast thylakoid|chloroplast thylakoid membrane|nucleus|photosystem I|thylakoid|photosynthesis</t>
  </si>
  <si>
    <t>J2O13_04G008583</t>
  </si>
  <si>
    <t>LSH6</t>
  </si>
  <si>
    <t>Protein LIGHT-DEPENDENT SHORT HYPOCOTYLS 6</t>
  </si>
  <si>
    <t>GO:0005634,GO:0003677,GO:0009299,GO:0090698,GO:0009416</t>
  </si>
  <si>
    <t>nucleus|DNA binding|mRNA transcription|post-embryonic plant morphogenesis|response to light stimulus</t>
  </si>
  <si>
    <t>J2O13_04G008587</t>
  </si>
  <si>
    <t>1.51E-07</t>
  </si>
  <si>
    <t>1.27E-06</t>
  </si>
  <si>
    <t>CHY1</t>
  </si>
  <si>
    <t>3-hydroxyisobutyryl-CoA hydrolase 1</t>
  </si>
  <si>
    <t>ko00640,ko00280,ko00410</t>
  </si>
  <si>
    <t>Propanoate metabolism|Valine, leucine and isoleucine degradation|beta-Alanine metabolism</t>
  </si>
  <si>
    <t>GO:0005777,GO:0009536,GO:0003860,GO:0009409,GO:0006574</t>
  </si>
  <si>
    <t>peroxisome|plastid|3-hydroxyisobutyryl-CoA hydrolase activity|response to cold|valine catabolic process</t>
  </si>
  <si>
    <t>J2O13_04G008591</t>
  </si>
  <si>
    <t>8.19E-05</t>
  </si>
  <si>
    <t>Secoisolariciresinol dehydrogenase (Fragment) OS=Forsythia intermedia OX=55183 PE=1 SV=1</t>
  </si>
  <si>
    <t>GO:0102911,GO:0009807</t>
  </si>
  <si>
    <t>(-)-secoisolariciresinol dehydrogenase activity|lignan biosynthetic process</t>
  </si>
  <si>
    <t>J2O13_04G008594</t>
  </si>
  <si>
    <t>4.96E-11</t>
  </si>
  <si>
    <t>7.24E-10</t>
  </si>
  <si>
    <t>AIR9</t>
  </si>
  <si>
    <t>187-kDa microtubule-associated protein AIR9</t>
  </si>
  <si>
    <t>GO:0055028,GO:0009524,GO:0005886,GO:0009506,GO:0009574,GO:0007049,GO:0051301,GO:0010102,GO:0009733</t>
  </si>
  <si>
    <t>cortical microtubule|phragmoplast|plasma membrane|plasmodesma|preprophase band|cell cycle|cell division|lateral root morphogenesis|response to auxin</t>
  </si>
  <si>
    <t>J2O13_04G008634</t>
  </si>
  <si>
    <t>At1g30760</t>
  </si>
  <si>
    <t>Berberine bridge enzyme-like 13</t>
  </si>
  <si>
    <t>GO:0005576,GO:0009505,GO:0045551,GO:0050268,GO:0071949,GO:0052747</t>
  </si>
  <si>
    <t>extracellular region|plant-type cell wall|cinnamyl-alcohol dehydrogenase activity|coniferyl-alcohol dehydrogenase activity|FAD binding|sinapyl alcohol dehydrogenase activity</t>
  </si>
  <si>
    <t>J2O13_04G008667</t>
  </si>
  <si>
    <t>CYP716A15</t>
  </si>
  <si>
    <t>J2O13_04G008670</t>
  </si>
  <si>
    <t>RPI4</t>
  </si>
  <si>
    <t>Probable ribose-5-phosphate isomerase 4, chloroplastic</t>
  </si>
  <si>
    <t>GO:0009507,GO:0004751,GO:0009052</t>
  </si>
  <si>
    <t>chloroplast|ribose-5-phosphate isomerase activity|pentose-phosphate shunt, non-oxidative branch</t>
  </si>
  <si>
    <t>J2O13_04G008718</t>
  </si>
  <si>
    <t>7.57E-22</t>
  </si>
  <si>
    <t>3.95E-20</t>
  </si>
  <si>
    <t>GO:0006952,GO:2000022,GO:2000031,GO:0009651,GO:0009414,GO:0009862</t>
  </si>
  <si>
    <t>defense response|regulation of jasmonic acid mediated signaling pathway|regulation of salicylic acid mediated signaling pathway|response to salt stress|response to water deprivation|systemic acquired resistance, salicylic acid mediated signaling pathway</t>
  </si>
  <si>
    <t>J2O13_04G008736</t>
  </si>
  <si>
    <t>2.17E-07</t>
  </si>
  <si>
    <t>1.78E-06</t>
  </si>
  <si>
    <t>RE1</t>
  </si>
  <si>
    <t>Retrovirus-related Pol polyprotein from transposon RE1</t>
  </si>
  <si>
    <t>J2O13_04G008756</t>
  </si>
  <si>
    <t>8.34E-07</t>
  </si>
  <si>
    <t>6.09E-06</t>
  </si>
  <si>
    <t>BRG1</t>
  </si>
  <si>
    <t>BOI-related E3 ubiquitin-protein ligase 1</t>
  </si>
  <si>
    <t>GO:0046872,GO:0004842,GO:0006952,GO:0043161,GO:0043067</t>
  </si>
  <si>
    <t>metal ion binding|ubiquitin-protein transferase activity|defense response|proteasome-mediated ubiquitin-dependent protein catabolic process|regulation of programmed cell death</t>
  </si>
  <si>
    <t>J2O13_04G008764</t>
  </si>
  <si>
    <t>1.18E-07</t>
  </si>
  <si>
    <t>PP2A9</t>
  </si>
  <si>
    <t>Protein PHLOEM PROTEIN 2-LIKE A9</t>
  </si>
  <si>
    <t>J2O13_04G008791</t>
  </si>
  <si>
    <t>EXL7</t>
  </si>
  <si>
    <t>Protein EXORDIUM-like 7</t>
  </si>
  <si>
    <t>J2O13_04G008792</t>
  </si>
  <si>
    <t>J2O13_04G008807</t>
  </si>
  <si>
    <t>2.37E-11</t>
  </si>
  <si>
    <t>3.61E-10</t>
  </si>
  <si>
    <t>J2O13_04G008814</t>
  </si>
  <si>
    <t>TPS2</t>
  </si>
  <si>
    <t>Probable terpene synthase 2</t>
  </si>
  <si>
    <t>J2O13_04G008833</t>
  </si>
  <si>
    <t>1.96E-06</t>
  </si>
  <si>
    <t>1.34E-05</t>
  </si>
  <si>
    <t>POT10</t>
  </si>
  <si>
    <t>Potassium transporter 10</t>
  </si>
  <si>
    <t>GO:0016020,GO:0005886,GO:0015079,GO:0006813</t>
  </si>
  <si>
    <t>membrane|plasma membrane|potassium ion transmembrane transporter activity|potassium ion transport</t>
  </si>
  <si>
    <t>J2O13_04G008847</t>
  </si>
  <si>
    <t>PLA2-ALPHA</t>
  </si>
  <si>
    <t>Phospholipase A2-alpha</t>
  </si>
  <si>
    <t>ko00564,ko00565,ko00590,ko00591,ko00592,ko04014,ko04270,ko04972,ko04975</t>
  </si>
  <si>
    <t>Glycerophospholipid metabolism|Ether lipid metabolism|Arachidonic acid metabolism|Linoleic acid metabolism|alpha-Linolenic acid metabolism|Ras signaling pathway|Vascular smooth muscle contraction|Pancreatic secretion|Fat digestion and absorption</t>
  </si>
  <si>
    <t>GO:0031410,GO:0005576,GO:0005794,GO:0005634,GO:0005773,GO:0005509,GO:0047498,GO:0004623,GO:0005543,GO:0050482,GO:0016042,GO:0006644</t>
  </si>
  <si>
    <t>cytoplasmic vesicle|extracellular region|Golgi apparatus|nucleus|vacuole|calcium ion binding|calcium-dependent phospholipase A2 activity|phospholipase A2 activity|phospholipid binding|arachidonic acid secretion|lipid catabolic process|phospholipid metabolic process</t>
  </si>
  <si>
    <t>J2O13_04G008848</t>
  </si>
  <si>
    <t>J2O13_04G008868</t>
  </si>
  <si>
    <t>9.16E-08</t>
  </si>
  <si>
    <t>ZIP1</t>
  </si>
  <si>
    <t>Zinc transporter 1</t>
  </si>
  <si>
    <t>GO:0016020,GO:0005886,GO:0005385,GO:0071577</t>
  </si>
  <si>
    <t>membrane|plasma membrane|zinc ion transmembrane transporter activity|zinc ion transmembrane transport</t>
  </si>
  <si>
    <t>J2O13_04G008871</t>
  </si>
  <si>
    <t>7.33E-07</t>
  </si>
  <si>
    <t>AAH</t>
  </si>
  <si>
    <t>Allantoate deiminase</t>
  </si>
  <si>
    <t>GO:0005783,GO:0047652,GO:0046872,GO:0006145,GO:0010136</t>
  </si>
  <si>
    <t>endoplasmic reticulum|allantoate deiminase activity|metal ion binding|purine nucleobase catabolic process|ureide catabolic process</t>
  </si>
  <si>
    <t>J2O13_04G008894</t>
  </si>
  <si>
    <t>CAT5</t>
  </si>
  <si>
    <t>Cationic amino acid transporter 5</t>
  </si>
  <si>
    <t>GO:0005886,GO:0015171,GO:0005313,GO:0015189,GO:0006865</t>
  </si>
  <si>
    <t>plasma membrane|amino acid transmembrane transporter activity|L-glutamate transmembrane transporter activity|L-lysine transmembrane transporter activity|amino acid transport</t>
  </si>
  <si>
    <t>J2O13_04G008902</t>
  </si>
  <si>
    <t>6.53E-07</t>
  </si>
  <si>
    <t>4.88E-06</t>
  </si>
  <si>
    <t>VSR6</t>
  </si>
  <si>
    <t>Vacuolar-sorting receptor 6</t>
  </si>
  <si>
    <t>GO:0030665,GO:0005768,GO:0000139,GO:0017119,GO:0016020,GO:0005802,GO:0005509,GO:0061630,GO:0006896,GO:0006623,GO:0006511</t>
  </si>
  <si>
    <t>clathrin-coated vesicle membrane|endosome|Golgi membrane|Golgi transport complex|membrane|trans-Golgi network|calcium ion binding|ubiquitin protein ligase activity|Golgi to vacuole transport|protein targeting to vacuole|ubiquitin-dependent protein catabolic process</t>
  </si>
  <si>
    <t>J2O13_04G008903</t>
  </si>
  <si>
    <t>6.66E-07</t>
  </si>
  <si>
    <t>4.97E-06</t>
  </si>
  <si>
    <t>J2O13_04G008904</t>
  </si>
  <si>
    <t>6.31E-13</t>
  </si>
  <si>
    <t>1.21E-11</t>
  </si>
  <si>
    <t>J2O13_04G008907</t>
  </si>
  <si>
    <t>1.03E-24</t>
  </si>
  <si>
    <t>6.87E-23</t>
  </si>
  <si>
    <t>FKBP13</t>
  </si>
  <si>
    <t>Peptidyl-prolyl cis-trans isomerase FKBP13, chloroplastic</t>
  </si>
  <si>
    <t>GO:0009507,GO:0009543,GO:0005783,GO:0009536,GO:0031977,GO:0003755</t>
  </si>
  <si>
    <t>chloroplast|chloroplast thylakoid lumen|endoplasmic reticulum|plastid|thylakoid lumen|peptidyl-prolyl cis-trans isomerase activity</t>
  </si>
  <si>
    <t>J2O13_04G008915</t>
  </si>
  <si>
    <t>9.48E-05</t>
  </si>
  <si>
    <t>GSO1</t>
  </si>
  <si>
    <t>LRR receptor-like serine/threonine-protein kinase GSO1</t>
  </si>
  <si>
    <t>GO:0048226,GO:0005886,GO:0005524,GO:0106310,GO:0004674,GO:0071555,GO:0035987,GO:0045184,GO:0055075,GO:0006468,GO:0051302,GO:0042659,GO:1903224,GO:2000280,GO:2000067,GO:0009611,GO:0090708,GO:0030104,GO:0006833</t>
  </si>
  <si>
    <t>Casparian strip|plasma membrane|ATP binding|protein serine kinase activity|protein serine/threonine kinase activity|cell wall organization|endodermal cell differentiation|establishment of protein localization|potassium ion homeostasis|protein phosphorylation|regulation of cell division|regulation of cell fate specification|regulation of endodermal cell differentiation|regulation of root development|regulation of root morphogenesis|response to wounding|specification of plant organ axis polarity|water homeostasis|water transport</t>
  </si>
  <si>
    <t>J2O13_04G008919</t>
  </si>
  <si>
    <t>UGT85A23</t>
  </si>
  <si>
    <t>J2O13_04G008920</t>
  </si>
  <si>
    <t>2.72E-07</t>
  </si>
  <si>
    <t>2.18E-06</t>
  </si>
  <si>
    <t>J2O13_04G008929</t>
  </si>
  <si>
    <t>5.66E-19</t>
  </si>
  <si>
    <t>2.26E-17</t>
  </si>
  <si>
    <t>Ycf3-interacting protein 1, chloroplastic OS=Nicotiana tabacum OX=4097 PE=1 SV=2</t>
  </si>
  <si>
    <t>GO:0009535,GO:0048564,GO:0080183</t>
  </si>
  <si>
    <t>chloroplast thylakoid membrane|photosystem I assembly|response to photooxidative stress</t>
  </si>
  <si>
    <t>J2O13_04G008935</t>
  </si>
  <si>
    <t>PCMP-H81</t>
  </si>
  <si>
    <t>Pentatricopeptide repeat-containing protein At3g57430, chloroplastic</t>
  </si>
  <si>
    <t>GO:0009507,GO:0043231,GO:0003729,GO:0003723,GO:0008270,GO:0031425,GO:0006397,GO:0009451</t>
  </si>
  <si>
    <t>chloroplast|intracellular membrane-bounded organelle|mRNA binding|RNA binding|zinc ion binding|chloroplast RNA processing|mRNA processing|RNA modification</t>
  </si>
  <si>
    <t>J2O13_04G008937</t>
  </si>
  <si>
    <t>2.99E-05</t>
  </si>
  <si>
    <t>BAM3</t>
  </si>
  <si>
    <t>Leucine-rich repeat receptor-like serine/threonine-protein kinase BAM3</t>
  </si>
  <si>
    <t>GO:0005789,GO:0005886,GO:0005524,GO:0042802,GO:0042277,GO:0001653,GO:0106310,GO:0004674,GO:0030154,GO:0048437,GO:0009755,GO:0010078,GO:0010088,GO:0006468,GO:0045595,GO:0010075</t>
  </si>
  <si>
    <t>endoplasmic reticulum membrane|plasma membrane|ATP binding|identical protein binding|peptide binding|peptide receptor activity|protein serine kinase activity|protein serine/threonine kinase activity|cell differentiation|floral organ development|hormone-mediated signaling pathway|maintenance of root meristem identity|phloem development|protein phosphorylation|regulation of cell differentiation|regulation of meristem growth</t>
  </si>
  <si>
    <t>J2O13_04G008944</t>
  </si>
  <si>
    <t>8.54E-50</t>
  </si>
  <si>
    <t>3.90E-47</t>
  </si>
  <si>
    <t>ko00240</t>
  </si>
  <si>
    <t>Pyrimidine metabolism</t>
  </si>
  <si>
    <t>J2O13_04G008953</t>
  </si>
  <si>
    <t>5.49E-05</t>
  </si>
  <si>
    <t>J2O13_04G008965</t>
  </si>
  <si>
    <t>6.07E-17</t>
  </si>
  <si>
    <t>1.90E-15</t>
  </si>
  <si>
    <t>UNG</t>
  </si>
  <si>
    <t>Uracil-DNA glycosylase, mitochondrial</t>
  </si>
  <si>
    <t>ko03410,ko05340</t>
  </si>
  <si>
    <t>Base excision repair|Primary immunodeficiency</t>
  </si>
  <si>
    <t>GO:0005739,GO:0005634,GO:0004844,GO:0097510</t>
  </si>
  <si>
    <t>mitochondrion|nucleus|uracil DNA N-glycosylase activity|base-excision repair, AP site formation via deaminated base removal</t>
  </si>
  <si>
    <t>J2O13_04G008998</t>
  </si>
  <si>
    <t>J2O13_04G009017</t>
  </si>
  <si>
    <t>J2O13_04G009065</t>
  </si>
  <si>
    <t>4.54E-22</t>
  </si>
  <si>
    <t>2.45E-20</t>
  </si>
  <si>
    <t>J2O13_04G009072</t>
  </si>
  <si>
    <t>J2O13_04G009073</t>
  </si>
  <si>
    <t>XRCC2</t>
  </si>
  <si>
    <t>DNA repair protein XRCC2 homolog</t>
  </si>
  <si>
    <t>ko03440</t>
  </si>
  <si>
    <t>Homologous recombination</t>
  </si>
  <si>
    <t>GO:0033063,GO:0005657,GO:0005524,GO:0140664,GO:0003677,GO:0000724,GO:0007131</t>
  </si>
  <si>
    <t>Rad51B-Rad51C-Rad51D-XRCC2 complex|replication fork|ATP binding|ATP-dependent DNA damage sensor activity|DNA binding|double-strand break repair via homologous recombination|reciprocal meiotic recombination</t>
  </si>
  <si>
    <t>J2O13_04G009080</t>
  </si>
  <si>
    <t>6.51E-06</t>
  </si>
  <si>
    <t>3.99E-05</t>
  </si>
  <si>
    <t>J2O13_04G009084</t>
  </si>
  <si>
    <t>1.72E-09</t>
  </si>
  <si>
    <t>2.00E-08</t>
  </si>
  <si>
    <t>MTP10</t>
  </si>
  <si>
    <t>Metal tolerance protein 10</t>
  </si>
  <si>
    <t>GO:0016020,GO:0005774,GO:0008324,GO:0009787,GO:2000022,GO:2000031</t>
  </si>
  <si>
    <t>membrane|vacuolar membrane|cation transmembrane transporter activity|regulation of abscisic acid-activated signaling pathway|regulation of jasmonic acid mediated signaling pathway|regulation of salicylic acid mediated signaling pathway</t>
  </si>
  <si>
    <t>J2O13_04G009102</t>
  </si>
  <si>
    <t>2.89E-08</t>
  </si>
  <si>
    <t>2.78E-07</t>
  </si>
  <si>
    <t>AGC1-7</t>
  </si>
  <si>
    <t>Serine/threonine-protein kinase AGC1-7</t>
  </si>
  <si>
    <t>GO:0005737,GO:0005634,GO:0005886,GO:0005524,GO:0016301,GO:0106310,GO:0004674,GO:0009860,GO:0006468,GO:0009826</t>
  </si>
  <si>
    <t>cytoplasm|nucleus|plasma membrane|ATP binding|kinase activity|protein serine kinase activity|protein serine/threonine kinase activity|pollen tube growth|protein phosphorylation|unidimensional cell growth</t>
  </si>
  <si>
    <t>J2O13_04G009108</t>
  </si>
  <si>
    <t>J2O13_04G009132</t>
  </si>
  <si>
    <t>DIM</t>
  </si>
  <si>
    <t>Delta(24)-sterol reductase</t>
  </si>
  <si>
    <t>ko00100</t>
  </si>
  <si>
    <t>Steroid biosynthesis</t>
  </si>
  <si>
    <t>GO:0016020,GO:0005516,GO:0050614,GO:0071949</t>
  </si>
  <si>
    <t>membrane|calmodulin binding|delta24-sterol reductase activity|FAD binding</t>
  </si>
  <si>
    <t>J2O13_04G009153</t>
  </si>
  <si>
    <t>5.09E-12</t>
  </si>
  <si>
    <t>8.54E-11</t>
  </si>
  <si>
    <t>J2O13_04G009168</t>
  </si>
  <si>
    <t>J2O13_04G009170</t>
  </si>
  <si>
    <t>PME67</t>
  </si>
  <si>
    <t>Probable pectinesterase 67</t>
  </si>
  <si>
    <t>J2O13_04G009180</t>
  </si>
  <si>
    <t>2.11E-21</t>
  </si>
  <si>
    <t>1.07E-19</t>
  </si>
  <si>
    <t>ACR11</t>
  </si>
  <si>
    <t>ACT domain-containing protein ACR11</t>
  </si>
  <si>
    <t>GO:0009507,GO:0009941,GO:0009570,GO:0009535,GO:0005634,GO:0010319,GO:0009409,GO:0009416,GO:0009744</t>
  </si>
  <si>
    <t>chloroplast|chloroplast envelope|chloroplast stroma|chloroplast thylakoid membrane|nucleus|stromule|response to cold|response to light stimulus|response to sucrose</t>
  </si>
  <si>
    <t>J2O13_04G009187</t>
  </si>
  <si>
    <t>7.08E-21</t>
  </si>
  <si>
    <t>3.44E-19</t>
  </si>
  <si>
    <t>At1g56140</t>
  </si>
  <si>
    <t>Probable LRR receptor-like serine/threonine-protein kinase At1g56140</t>
  </si>
  <si>
    <t>J2O13_04G009216</t>
  </si>
  <si>
    <t>9.20E-14</t>
  </si>
  <si>
    <t>1.96E-12</t>
  </si>
  <si>
    <t>J2O13_04G009233</t>
  </si>
  <si>
    <t>1.46E-11</t>
  </si>
  <si>
    <t>2.30E-10</t>
  </si>
  <si>
    <t>GALAK</t>
  </si>
  <si>
    <t>Galacturonokinase</t>
  </si>
  <si>
    <t>GO:0005829,GO:0005524,GO:0047912,GO:0046872,GO:0046835,GO:0046396,GO:0006012</t>
  </si>
  <si>
    <t>cytosol|ATP binding|galacturonokinase activity|metal ion binding|carbohydrate phosphorylation|D-galacturonate metabolic process|galactose metabolic process</t>
  </si>
  <si>
    <t>J2O13_04G009251</t>
  </si>
  <si>
    <t>1.30E-20</t>
  </si>
  <si>
    <t>6.07E-19</t>
  </si>
  <si>
    <t>HMG1</t>
  </si>
  <si>
    <t>GO:0005789,GO:0031966,GO:0005778,GO:0042170,GO:0004420,GO:0015936,GO:0008299,GO:0016126</t>
  </si>
  <si>
    <t>endoplasmic reticulum membrane|mitochondrial membrane|peroxisomal membrane|plastid membrane|hydroxymethylglutaryl-CoA reductase (NADPH) activity|coenzyme A metabolic process|isoprenoid biosynthetic process|sterol biosynthetic process</t>
  </si>
  <si>
    <t>J2O13_05G009290</t>
  </si>
  <si>
    <t>9.97E-13</t>
  </si>
  <si>
    <t>AOX4</t>
  </si>
  <si>
    <t>Ubiquinol oxidase 4, chloroplastic/chromoplastic</t>
  </si>
  <si>
    <t>GO:0009535,GO:0046862,GO:0005739,GO:0070469,GO:0009579,GO:0009916,GO:0046872,GO:0106292,GO:0102721,GO:0010230,GO:0016117,GO:0009657</t>
  </si>
  <si>
    <t>chloroplast thylakoid membrane|chromoplast membrane|mitochondrion|respirasome|thylakoid|alternative oxidase activity|metal ion binding|superoxide-generating NADPH oxidase activity|ubiquinol:oxygen oxidoreductase activity|alternative respiration|carotenoid biosynthetic process|plastid organization</t>
  </si>
  <si>
    <t>J2O13_05G009291</t>
  </si>
  <si>
    <t>TRN2</t>
  </si>
  <si>
    <t>Protein TORNADO 2</t>
  </si>
  <si>
    <t>GO:0005886,GO:0009506,GO:0009734,GO:0010305,GO:0009554,GO:0009933,GO:0009956,GO:0009934,GO:0010015</t>
  </si>
  <si>
    <t>plasma membrane|plasmodesma|auxin-activated signaling pathway|leaf vascular tissue pattern formation|megasporogenesis|meristem structural organization|radial pattern formation|regulation of meristem structural organization|root morphogenesis</t>
  </si>
  <si>
    <t>J2O13_05G009310</t>
  </si>
  <si>
    <t>EMB2369</t>
  </si>
  <si>
    <t>Leucine--tRNA ligase, chloroplastic/mitochondrial</t>
  </si>
  <si>
    <t>ko00970</t>
  </si>
  <si>
    <t>Aminoacyl-tRNA biosynthesis</t>
  </si>
  <si>
    <t>GO:0009507,GO:0009570,GO:0005829,GO:0005739,GO:0002161,GO:0005524,GO:0004823,GO:0009793,GO:0006429</t>
  </si>
  <si>
    <t>chloroplast|chloroplast stroma|cytosol|mitochondrion|aminoacyl-tRNA editing activity|ATP binding|leucine-tRNA ligase activity|embryo development ending in seed dormancy|leucyl-tRNA aminoacylation</t>
  </si>
  <si>
    <t>J2O13_05G009312</t>
  </si>
  <si>
    <t>4.93E-06</t>
  </si>
  <si>
    <t>3.10E-05</t>
  </si>
  <si>
    <t>J2O13_05G009316</t>
  </si>
  <si>
    <t>2.73E-12</t>
  </si>
  <si>
    <t>At4g22080</t>
  </si>
  <si>
    <t>Probable pectate lyase 16</t>
  </si>
  <si>
    <t>GO:0046872,GO:0030570,GO:0045490</t>
  </si>
  <si>
    <t>metal ion binding|pectate lyase activity|pectin catabolic process</t>
  </si>
  <si>
    <t>J2O13_05G009319</t>
  </si>
  <si>
    <t>5.74E-05</t>
  </si>
  <si>
    <t>MAPKKK18</t>
  </si>
  <si>
    <t>Mitogen-activated protein kinase kinase kinase 18</t>
  </si>
  <si>
    <t>ko04016</t>
  </si>
  <si>
    <t>MAPK signaling pathway - plant</t>
  </si>
  <si>
    <t>GO:0005634,GO:0005524,GO:0004709,GO:0004672,GO:0019901,GO:0106310,GO:0004674,GO:0009738,GO:1902457,GO:0009789,GO:1900057,GO:0046777,GO:0006468,GO:2000038,GO:0009737,GO:0006970,GO:0007165</t>
  </si>
  <si>
    <t>nucleus|ATP binding|MAP kinase kinase kinase activity|protein kinase activity|protein kinase binding|protein serine kinase activity|protein serine/threonine kinase activity|abscisic acid-activated signaling pathway|negative regulation of stomatal opening|positive regulation of abscisic acid-activated signaling pathway|positive regulation of leaf senescence|protein autophosphorylation|protein phosphorylation|regulation of stomatal complex development|response to abscisic acid|response to osmotic stress|signal transduction</t>
  </si>
  <si>
    <t>J2O13_05G009328</t>
  </si>
  <si>
    <t>6.54E-13</t>
  </si>
  <si>
    <t>1.25E-11</t>
  </si>
  <si>
    <t>GDCST</t>
  </si>
  <si>
    <t>Aminomethyltransferase, mitochondrial</t>
  </si>
  <si>
    <t>ko00630,ko00260,ko00670</t>
  </si>
  <si>
    <t>Glyoxylate and dicarboxylate metabolism|Glycine, serine and threonine metabolism|One carbon pool by folate</t>
  </si>
  <si>
    <t>GO:0005960,GO:0005739,GO:0004047,GO:0008483,GO:0006546</t>
  </si>
  <si>
    <t>glycine cleavage complex|mitochondrion|aminomethyltransferase activity|transaminase activity|glycine catabolic process</t>
  </si>
  <si>
    <t>J2O13_05G009329</t>
  </si>
  <si>
    <t>J2O13_05G009341</t>
  </si>
  <si>
    <t>4.93E-23</t>
  </si>
  <si>
    <t>2.84E-21</t>
  </si>
  <si>
    <t>5'-adenylylsulfate reductase 1, chloroplastic</t>
  </si>
  <si>
    <t>ko00920</t>
  </si>
  <si>
    <t>Sulfur metabolism</t>
  </si>
  <si>
    <t>GO:0009507,GO:0009570,GO:0009536,GO:0051539,GO:0033741,GO:0009973,GO:0046872,GO:0004604,GO:0019344,GO:0000103,GO:0019379,GO:0019419</t>
  </si>
  <si>
    <t>chloroplast|chloroplast stroma|plastid|4 iron, 4 sulfur cluster binding|adenylyl-sulfate reductase (glutathione) activity|adenylyl-sulfate reductase activity|metal ion binding|phosphoadenylyl-sulfate reductase (thioredoxin) activity|cysteine biosynthetic process|sulfate assimilation|sulfate assimilation, phosphoadenylyl sulfate reduction by phosphoadenylyl-sulfate reductase (thioredoxin)|sulfate reduction</t>
  </si>
  <si>
    <t>J2O13_05G009349</t>
  </si>
  <si>
    <t>1.89E-13</t>
  </si>
  <si>
    <t>3.84E-12</t>
  </si>
  <si>
    <t>ATPC</t>
  </si>
  <si>
    <t>ATP synthase gamma chain, chloroplastic</t>
  </si>
  <si>
    <t>GO:0009535,GO:0000275,GO:0046933,GO:0015986</t>
  </si>
  <si>
    <t>chloroplast thylakoid membrane|mitochondrial proton-transporting ATP synthase complex, catalytic sector F(1)|proton-transporting ATP synthase activity, rotational mechanism|proton motive force-driven ATP synthesis</t>
  </si>
  <si>
    <t>J2O13_05G009366</t>
  </si>
  <si>
    <t>ABCI8</t>
  </si>
  <si>
    <t>UPF0051 protein ABCI8, chloroplastic</t>
  </si>
  <si>
    <t>GO:0009507,GO:0009570,GO:0042626,GO:0006879,GO:0016226,GO:2000030</t>
  </si>
  <si>
    <t>chloroplast|chloroplast stroma|ATPase-coupled transmembrane transporter activity|cellular iron ion homeostasis|iron-sulfur cluster assembly|regulation of response to red or far red light</t>
  </si>
  <si>
    <t>J2O13_05G009384</t>
  </si>
  <si>
    <t>9.75E-08</t>
  </si>
  <si>
    <t>8.51E-07</t>
  </si>
  <si>
    <t>GPT2</t>
  </si>
  <si>
    <t>Glucose-6-phosphate/phosphate translocator 2, chloroplastic</t>
  </si>
  <si>
    <t>GO:0009507,GO:0031969,GO:0005794,GO:0000325,GO:0015297,GO:0015152,GO:0005315,GO:0015120,GO:0071917,GO:0008643,GO:0015760,GO:0015714,GO:0015713,GO:0015979,GO:0009643,GO:0010109,GO:0009749,GO:0009624,GO:0009744,GO:0035436</t>
  </si>
  <si>
    <t>chloroplast|chloroplast membrane|Golgi apparatus|plant-type vacuole|antiporter activity|glucose-6-phosphate transmembrane transporter activity|inorganic phosphate transmembrane transporter activity|phosphoglycerate transmembrane transporter activity|triose-phosphate transmembrane transporter activity|carbohydrate transport|glucose-6-phosphate transport|phosphoenolpyruvate transport|phosphoglycerate transmembrane transport|photosynthesis|photosynthetic acclimation|regulation of photosynthesis|response to glucose|response to nematode|response to sucrose|triose phosphate transmembrane transport</t>
  </si>
  <si>
    <t>J2O13_05G009387</t>
  </si>
  <si>
    <t>1.03E-06</t>
  </si>
  <si>
    <t>TSB</t>
  </si>
  <si>
    <t>Tryptophan synthase beta chain 2, chloroplastic</t>
  </si>
  <si>
    <t>ko00260,ko00400</t>
  </si>
  <si>
    <t>Glycine, serine and threonine metabolism|Phenylalanine, tyrosine and tryptophan biosynthesis</t>
  </si>
  <si>
    <t>GO:0009507,GO:0004834</t>
  </si>
  <si>
    <t>chloroplast|tryptophan synthase activity</t>
  </si>
  <si>
    <t>J2O13_05G009401</t>
  </si>
  <si>
    <t>3.46E-23</t>
  </si>
  <si>
    <t>2.02E-21</t>
  </si>
  <si>
    <t>C50</t>
  </si>
  <si>
    <t>Chaperone protein dnaJ 50</t>
  </si>
  <si>
    <t>GO:0005783,GO:0005789,GO:0005634,GO:0006457</t>
  </si>
  <si>
    <t>endoplasmic reticulum|endoplasmic reticulum membrane|nucleus|protein folding</t>
  </si>
  <si>
    <t>J2O13_05G009402</t>
  </si>
  <si>
    <t>GA2OX8</t>
  </si>
  <si>
    <t>Gibberellin 2-beta-dioxygenase 8</t>
  </si>
  <si>
    <t>GO:0005737,GO:0005634,GO:0052635,GO:0051213,GO:0046872,GO:0010336,GO:0009686,GO:0045487,GO:0009685</t>
  </si>
  <si>
    <t>cytoplasm|nucleus|C-20 gibberellin 2-beta-dioxygenase activity|dioxygenase activity|metal ion binding|gibberellic acid homeostasis|gibberellin biosynthetic process|gibberellin catabolic process|gibberellin metabolic process</t>
  </si>
  <si>
    <t>J2O13_05G009404</t>
  </si>
  <si>
    <t>4.58E-22</t>
  </si>
  <si>
    <t>J2O13_05G009411</t>
  </si>
  <si>
    <t>CRK26</t>
  </si>
  <si>
    <t>Cysteine-rich receptor-like protein kinase 26</t>
  </si>
  <si>
    <t>J2O13_05G009425</t>
  </si>
  <si>
    <t>1.02E-44</t>
  </si>
  <si>
    <t>3.36E-42</t>
  </si>
  <si>
    <t>HSA32</t>
  </si>
  <si>
    <t>Protein HEAT-STRESS-ASSOCIATED 32</t>
  </si>
  <si>
    <t>GO:0010286,GO:0010608,GO:0009408</t>
  </si>
  <si>
    <t>heat acclimation|post-transcriptional regulation of gene expression|response to heat</t>
  </si>
  <si>
    <t>J2O13_05G009427</t>
  </si>
  <si>
    <t>2.56E-28</t>
  </si>
  <si>
    <t>2.48E-26</t>
  </si>
  <si>
    <t>ANR</t>
  </si>
  <si>
    <t>Anthocyanidin reductase ((2S)-flavan-3-ol-forming)</t>
  </si>
  <si>
    <t>GO:0033729,GO:0016616,GO:0009813</t>
  </si>
  <si>
    <t>anthocyanidin reductase activity|oxidoreductase activity, acting on the CH-OH group of donors, NAD or NADP as acceptor|flavonoid biosynthetic process</t>
  </si>
  <si>
    <t>J2O13_05G009428</t>
  </si>
  <si>
    <t>5.40E-11</t>
  </si>
  <si>
    <t>7.86E-10</t>
  </si>
  <si>
    <t>TPS7</t>
  </si>
  <si>
    <t>Alpha-farnesene synthase</t>
  </si>
  <si>
    <t>GO:0052578,GO:0000287,GO:0010334,GO:0016102,GO:0051762</t>
  </si>
  <si>
    <t>alpha-farnesene synthase activity|magnesium ion binding|sesquiterpene synthase activity|diterpenoid biosynthetic process|sesquiterpene biosynthetic process</t>
  </si>
  <si>
    <t>J2O13_05G009435</t>
  </si>
  <si>
    <t>2.76E-06</t>
  </si>
  <si>
    <t>DYT1</t>
  </si>
  <si>
    <t>Transcription factor DYT1</t>
  </si>
  <si>
    <t>GO:0005634,GO:0003700,GO:0046983,GO:0043565,GO:0048658,GO:0006355</t>
  </si>
  <si>
    <t>nucleus|DNA-binding transcription factor activity|protein dimerization activity|sequence-specific DNA binding|anther wall tapetum development|regulation of DNA-templated transcription</t>
  </si>
  <si>
    <t>J2O13_05G009444</t>
  </si>
  <si>
    <t>BBX32</t>
  </si>
  <si>
    <t>B-box zinc finger protein 32</t>
  </si>
  <si>
    <t>GO:0005737,GO:0005634,GO:0003700,GO:0008270,GO:0009785,GO:0045892,GO:0009640,GO:0010017,GO:0006355,GO:0009909</t>
  </si>
  <si>
    <t>cytoplasm|nucleus|DNA-binding transcription factor activity|zinc ion binding|blue light signaling pathway|negative regulation of DNA-templated transcription|photomorphogenesis|red or far-red light signaling pathway|regulation of DNA-templated transcription|regulation of flower development</t>
  </si>
  <si>
    <t>J2O13_05G009458</t>
  </si>
  <si>
    <t>1.44E-07</t>
  </si>
  <si>
    <t>1.21E-06</t>
  </si>
  <si>
    <t>MFT</t>
  </si>
  <si>
    <t>Protein MOTHER of FT and TFL1</t>
  </si>
  <si>
    <t>GO:0005737,GO:0005634,GO:0009738,GO:0010030,GO:0009737</t>
  </si>
  <si>
    <t>cytoplasm|nucleus|abscisic acid-activated signaling pathway|positive regulation of seed germination|response to abscisic acid</t>
  </si>
  <si>
    <t>J2O13_05G009461</t>
  </si>
  <si>
    <t>1.66E-08</t>
  </si>
  <si>
    <t>J2O13_05G009464</t>
  </si>
  <si>
    <t>2.02E-34</t>
  </si>
  <si>
    <t>3.18E-32</t>
  </si>
  <si>
    <t>STC</t>
  </si>
  <si>
    <t>Sugar carrier protein C</t>
  </si>
  <si>
    <t>3.43E-11</t>
  </si>
  <si>
    <t>Protein TRANSPORT INHIBITOR RESPONSE 1</t>
  </si>
  <si>
    <t>GO:0005634,GO:0019005,GO:0010011,GO:0038198,GO:0000822,GO:0004842,GO:0009734,GO:0007049,GO:0016036,GO:0006952,GO:0009873,GO:0010311,GO:0010152,GO:0009733,GO:0031146,GO:0048443</t>
  </si>
  <si>
    <t>nucleus|SCF ubiquitin ligase complex|auxin binding|auxin receptor activity|inositol hexakisphosphate binding|ubiquitin-protein transferase activity|auxin-activated signaling pathway|cell cycle|cellular response to phosphate starvation|defense response|ethylene-activated signaling pathway|lateral root formation|pollen maturation|response to auxin|SCF-dependent proteasomal ubiquitin-dependent protein catabolic process|stamen development</t>
  </si>
  <si>
    <t>J2O13_05G009469</t>
  </si>
  <si>
    <t>J2O13_05G009471</t>
  </si>
  <si>
    <t>1.20E-06</t>
  </si>
  <si>
    <t>8.53E-06</t>
  </si>
  <si>
    <t>SKIP27</t>
  </si>
  <si>
    <t>F-box protein SKIP27</t>
  </si>
  <si>
    <t>GO:0005634,GO:0016567</t>
  </si>
  <si>
    <t>nucleus|protein ubiquitination</t>
  </si>
  <si>
    <t>J2O13_05G009482</t>
  </si>
  <si>
    <t>6.81E-29</t>
  </si>
  <si>
    <t>7.01E-27</t>
  </si>
  <si>
    <t>PNP2</t>
  </si>
  <si>
    <t>Polyribonucleotide nucleotidyltransferase 2, mitochondrial</t>
  </si>
  <si>
    <t>ko03018</t>
  </si>
  <si>
    <t>RNA degradation</t>
  </si>
  <si>
    <t>GO:0005829,GO:0005739,GO:0000175,GO:0004654,GO:0003723,GO:0000958,GO:0000965,GO:0000957,GO:0000963,GO:0006397,GO:0006401,GO:0006364,GO:0008033</t>
  </si>
  <si>
    <t>cytosol|mitochondrion|3'-5'-exoribonuclease activity|polyribonucleotide nucleotidyltransferase activity|RNA binding|mitochondrial mRNA catabolic process|mitochondrial RNA 3'-end processing|mitochondrial RNA catabolic process|mitochondrial RNA processing|mRNA processing|RNA catabolic process|rRNA processing|tRNA processing</t>
  </si>
  <si>
    <t>J2O13_05G009486</t>
  </si>
  <si>
    <t>8.71E-26</t>
  </si>
  <si>
    <t>6.52E-24</t>
  </si>
  <si>
    <t>NRT2.7</t>
  </si>
  <si>
    <t>High affinity nitrate transporter 2.7</t>
  </si>
  <si>
    <t>GO:0009705,GO:0005886,GO:0015112,GO:0071249,GO:0042128,GO:0015706</t>
  </si>
  <si>
    <t>plant-type vacuole membrane|plasma membrane|nitrate transmembrane transporter activity|cellular response to nitrate|nitrate assimilation|nitrate transmembrane transport</t>
  </si>
  <si>
    <t>J2O13_05G009488</t>
  </si>
  <si>
    <t>2.40E-07</t>
  </si>
  <si>
    <t>1.94E-06</t>
  </si>
  <si>
    <t>DJC76</t>
  </si>
  <si>
    <t>Chaperone protein dnaJ C76, chloroplastic</t>
  </si>
  <si>
    <t>GO:0009507</t>
  </si>
  <si>
    <t>chloroplast</t>
  </si>
  <si>
    <t>J2O13_05G009493</t>
  </si>
  <si>
    <t>6.22E-19</t>
  </si>
  <si>
    <t>2.46E-17</t>
  </si>
  <si>
    <t>RFS5</t>
  </si>
  <si>
    <t>Probable galactinol--sucrose galactosyltransferase 5</t>
  </si>
  <si>
    <t>GO:0009507,GO:0047274,GO:0005975,GO:0006979,GO:0009414</t>
  </si>
  <si>
    <t>chloroplast|galactinol-sucrose galactosyltransferase activity|carbohydrate metabolic process|response to oxidative stress|response to water deprivation</t>
  </si>
  <si>
    <t>J2O13_05G009496</t>
  </si>
  <si>
    <t>4.86E-17</t>
  </si>
  <si>
    <t>1.54E-15</t>
  </si>
  <si>
    <t>J2O13_05G009497</t>
  </si>
  <si>
    <t>SNL6</t>
  </si>
  <si>
    <t>Cinnamoyl-CoA reductase-like SNL6</t>
  </si>
  <si>
    <t>GO:0003854,GO:0016616,GO:0042742,GO:0009809,GO:0006694</t>
  </si>
  <si>
    <t>3-beta-hydroxy-delta5-steroid dehydrogenase activity|oxidoreductase activity, acting on the CH-OH group of donors, NAD or NADP as acceptor|defense response to bacterium|lignin biosynthetic process|steroid biosynthetic process</t>
  </si>
  <si>
    <t>J2O13_05G009502</t>
  </si>
  <si>
    <t>ALA8</t>
  </si>
  <si>
    <t>Probable phospholipid-transporting ATPase 8</t>
  </si>
  <si>
    <t>GO:0005886,GO:0005524,GO:0016887,GO:0140326,GO:0000287,GO:0045332</t>
  </si>
  <si>
    <t>plasma membrane|ATP binding|ATP hydrolysis activity|ATPase-coupled intramembrane lipid transporter activity|magnesium ion binding|phospholipid translocation</t>
  </si>
  <si>
    <t>J2O13_05G009503</t>
  </si>
  <si>
    <t>2.03E-06</t>
  </si>
  <si>
    <t>J2O13_05G009505</t>
  </si>
  <si>
    <t>1.66E-05</t>
  </si>
  <si>
    <t>9.35E-05</t>
  </si>
  <si>
    <t>J2O13_05G009506</t>
  </si>
  <si>
    <t>9.49E-05</t>
  </si>
  <si>
    <t>Carbonic anhydrase, chloroplastic OS=Pisum sativum OX=3888 PE=1 SV=1</t>
  </si>
  <si>
    <t>J2O13_05G009507</t>
  </si>
  <si>
    <t>5.85E-08</t>
  </si>
  <si>
    <t>5.30E-07</t>
  </si>
  <si>
    <t>J2O13_05G009514</t>
  </si>
  <si>
    <t>KLCR2</t>
  </si>
  <si>
    <t>Protein KINESIN LIGHT CHAIN-RELATED 2</t>
  </si>
  <si>
    <t>GO:0009860,GO:0031347</t>
  </si>
  <si>
    <t>pollen tube growth|regulation of defense response</t>
  </si>
  <si>
    <t>J2O13_05G009516</t>
  </si>
  <si>
    <t>3.70E-11</t>
  </si>
  <si>
    <t>5.50E-10</t>
  </si>
  <si>
    <t>SDN1</t>
  </si>
  <si>
    <t>Small RNA degrading nuclease 1</t>
  </si>
  <si>
    <t>GO:0005634,GO:0008408,GO:0000175,GO:0044748,GO:0004527,GO:0035198,GO:0010587</t>
  </si>
  <si>
    <t>nucleus|3'-5' exonuclease activity|3'-5'-exoribonuclease activity|3'-5'-exoribonuclease activity involved in mature miRNA 3'-end processing|exonuclease activity|miRNA binding|miRNA catabolic process</t>
  </si>
  <si>
    <t>J2O13_05G009518</t>
  </si>
  <si>
    <t>6.10E-08</t>
  </si>
  <si>
    <t>J2O13_05G009539</t>
  </si>
  <si>
    <t>ATL14</t>
  </si>
  <si>
    <t>RING-H2 finger protein ATL14</t>
  </si>
  <si>
    <t>GO:0016020,GO:0046872,GO:0016740,GO:0071456,GO:0016567</t>
  </si>
  <si>
    <t>membrane|metal ion binding|transferase activity|cellular response to hypoxia|protein ubiquitination</t>
  </si>
  <si>
    <t>J2O13_05G009540</t>
  </si>
  <si>
    <t>UGT90A1</t>
  </si>
  <si>
    <t>UDP-glycosyltransferase 90A1</t>
  </si>
  <si>
    <t>J2O13_05G009546</t>
  </si>
  <si>
    <t>3.77E-10</t>
  </si>
  <si>
    <t>4.85E-09</t>
  </si>
  <si>
    <t>POT8</t>
  </si>
  <si>
    <t>Potassium transporter 8</t>
  </si>
  <si>
    <t>J2O13_05G009549</t>
  </si>
  <si>
    <t>ATL46</t>
  </si>
  <si>
    <t>RING-H2 finger protein ATL46</t>
  </si>
  <si>
    <t>GO:0016020,GO:0046872,GO:0016740,GO:0031625,GO:0016567</t>
  </si>
  <si>
    <t>membrane|metal ion binding|transferase activity|ubiquitin protein ligase binding|protein ubiquitination</t>
  </si>
  <si>
    <t>J2O13_05G009552</t>
  </si>
  <si>
    <t>3.55E-19</t>
  </si>
  <si>
    <t>1.45E-17</t>
  </si>
  <si>
    <t>At3g28050</t>
  </si>
  <si>
    <t>WAT1-related protein At3g28050</t>
  </si>
  <si>
    <t>J2O13_05G009556</t>
  </si>
  <si>
    <t>1.90E-06</t>
  </si>
  <si>
    <t>1.30E-05</t>
  </si>
  <si>
    <t>XGOAT4</t>
  </si>
  <si>
    <t>Xyloglucan O-acetyltransferase 4</t>
  </si>
  <si>
    <t>GO:0005794,GO:0000139,GO:0016413,GO:1990538,GO:1990937</t>
  </si>
  <si>
    <t>Golgi apparatus|Golgi membrane|O-acetyltransferase activity|xylan O-acetyltransferase activity|xylan acetylation</t>
  </si>
  <si>
    <t>J2O13_05G009565</t>
  </si>
  <si>
    <t>NPF2.11</t>
  </si>
  <si>
    <t>Protein NRT1/ PTR FAMILY 2.11</t>
  </si>
  <si>
    <t>GO:0016020,GO:0005886,GO:0009506,GO:0090448,GO:0022857,GO:1901349,GO:0090449,GO:0055085</t>
  </si>
  <si>
    <t>membrane|plasma membrane|plasmodesma|glucosinolate:proton symporter activity|transmembrane transporter activity|glucosinolate transport|phloem glucosinolate loading|transmembrane transport</t>
  </si>
  <si>
    <t>J2O13_05G009567</t>
  </si>
  <si>
    <t>GASA14</t>
  </si>
  <si>
    <t>Gibberellin-regulated protein 14</t>
  </si>
  <si>
    <t>GO:0005576,GO:0005886,GO:0009536,GO:0009740,GO:2000377,GO:0009737,GO:0009739,GO:0009651</t>
  </si>
  <si>
    <t>extracellular region|plasma membrane|plastid|gibberellic acid mediated signaling pathway|regulation of reactive oxygen species metabolic process|response to abscisic acid|response to gibberellin|response to salt stress</t>
  </si>
  <si>
    <t>J2O13_05G009568</t>
  </si>
  <si>
    <t>J2O13_05G009574</t>
  </si>
  <si>
    <t>2.62E-10</t>
  </si>
  <si>
    <t>3.44E-09</t>
  </si>
  <si>
    <t>PUB40</t>
  </si>
  <si>
    <t>U-box domain-containing protein 40</t>
  </si>
  <si>
    <t>GO:0005737,GO:0005634,GO:0061630</t>
  </si>
  <si>
    <t>cytoplasm|nucleus|ubiquitin protein ligase activity</t>
  </si>
  <si>
    <t>J2O13_05G009579</t>
  </si>
  <si>
    <t>1.19E-16</t>
  </si>
  <si>
    <t>3.59E-15</t>
  </si>
  <si>
    <t>FTRC</t>
  </si>
  <si>
    <t>Ferredoxin-thioredoxin reductase catalytic chain, chloroplastic</t>
  </si>
  <si>
    <t>GO:0009507,GO:0009941,GO:0009570,GO:0051539,GO:0009055,GO:0103012,GO:0046872,GO:0016730</t>
  </si>
  <si>
    <t>chloroplast|chloroplast envelope|chloroplast stroma|4 iron, 4 sulfur cluster binding|electron transfer activity|ferredoxin-thioredoxin reductase activity|metal ion binding|oxidoreductase activity, acting on iron-sulfur proteins as donors</t>
  </si>
  <si>
    <t>J2O13_05G009584</t>
  </si>
  <si>
    <t>5.17E-08</t>
  </si>
  <si>
    <t>4.74E-07</t>
  </si>
  <si>
    <t>J2O13_05G009587</t>
  </si>
  <si>
    <t>8.93E-06</t>
  </si>
  <si>
    <t>5.34E-05</t>
  </si>
  <si>
    <t>NPF5.9</t>
  </si>
  <si>
    <t>Protein NRT1/ PTR FAMILY 5.9</t>
  </si>
  <si>
    <t>GO:0016020,GO:0022857,GO:0055085</t>
  </si>
  <si>
    <t>membrane|transmembrane transporter activity|transmembrane transport</t>
  </si>
  <si>
    <t>J2O13_05G009595</t>
  </si>
  <si>
    <t>9.02E-06</t>
  </si>
  <si>
    <t>ABCB15</t>
  </si>
  <si>
    <t>ABC transporter B family member 15</t>
  </si>
  <si>
    <t>ko02010,ko04976,ko05206,ko05226</t>
  </si>
  <si>
    <t>ABC transporters|Bile secretion|MicroRNAs in cancer|Gastric cancer</t>
  </si>
  <si>
    <t>GO:0016020,GO:0140359,GO:0005524,GO:0016887,GO:0042626,GO:0055085</t>
  </si>
  <si>
    <t>membrane|ABC-type transporter activity|ATP binding|ATP hydrolysis activity|ATPase-coupled transmembrane transporter activity|transmembrane transport</t>
  </si>
  <si>
    <t>J2O13_05G009598</t>
  </si>
  <si>
    <t>J2O13_05G009607</t>
  </si>
  <si>
    <t>RAM2</t>
  </si>
  <si>
    <t>Glycerol-3-phosphate acyltransferase RAM2</t>
  </si>
  <si>
    <t>GO:0016020,GO:0004366,GO:0102420,GO:0046486,GO:0009610</t>
  </si>
  <si>
    <t>membrane|glycerol-3-phosphate O-acyltransferase activity|sn-1-glycerol-3-phosphate C16:0-DCA-CoA acyl transferase activity|glycerolipid metabolic process|response to symbiotic fungus</t>
  </si>
  <si>
    <t>J2O13_05G009609</t>
  </si>
  <si>
    <t>J2O13_05G009613</t>
  </si>
  <si>
    <t>J2O13_05G009622</t>
  </si>
  <si>
    <t>3.67E-11</t>
  </si>
  <si>
    <t>VIP2</t>
  </si>
  <si>
    <t>Inositol hexakisphosphate and diphosphoinositol-pentakisphosphate kinase VIP2</t>
  </si>
  <si>
    <t>ko04070</t>
  </si>
  <si>
    <t>Phosphatidylinositol signaling system</t>
  </si>
  <si>
    <t>GO:0005829,GO:0005886,GO:0009536,GO:0005524,GO:0033857,GO:0000829,GO:0052723,GO:0052724,GO:0000832,GO:0000828,GO:0000827,GO:0006020,GO:0032958,GO:0016310,GO:1904966</t>
  </si>
  <si>
    <t>cytosol|plasma membrane|plastid|ATP binding|diphosphoinositol-pentakisphosphate kinase activity|inositol heptakisphosphate kinase activity|inositol hexakisphosphate 1-kinase activity|inositol hexakisphosphate 3-kinase activity|inositol hexakisphosphate 5-kinase activity|inositol hexakisphosphate kinase activity|inositol-1,3,4,5,6-pentakisphosphate kinase activity|inositol metabolic process|inositol phosphate biosynthetic process|phosphorylation|positive regulation of vitamin E biosynthetic process</t>
  </si>
  <si>
    <t>J2O13_05G009627</t>
  </si>
  <si>
    <t>J2O13_05G009653</t>
  </si>
  <si>
    <t>At3g28850</t>
  </si>
  <si>
    <t>Uncharacterized protein At3g28850</t>
  </si>
  <si>
    <t>J2O13_05G009654</t>
  </si>
  <si>
    <t>HAT7</t>
  </si>
  <si>
    <t>Homeobox-leucine zipper protein HAT7</t>
  </si>
  <si>
    <t>GO:0005634,GO:0003677,GO:0003700,GO:0000981,GO:0043565,GO:0045893</t>
  </si>
  <si>
    <t>nucleus|DNA binding|DNA-binding transcription factor activity|DNA-binding transcription factor activity, RNA polymerase II-specific|sequence-specific DNA binding|positive regulation of DNA-templated transcription</t>
  </si>
  <si>
    <t>J2O13_05G009658</t>
  </si>
  <si>
    <t>SAPK3</t>
  </si>
  <si>
    <t>Serine/threonine-protein kinase SAPK3</t>
  </si>
  <si>
    <t>GO:0005737,GO:0005634,GO:0005524,GO:0106310,GO:0004674,GO:0009738,GO:0006468</t>
  </si>
  <si>
    <t>cytoplasm|nucleus|ATP binding|protein serine kinase activity|protein serine/threonine kinase activity|abscisic acid-activated signaling pathway|protein phosphorylation</t>
  </si>
  <si>
    <t>J2O13_05G009670</t>
  </si>
  <si>
    <t>6.36E-16</t>
  </si>
  <si>
    <t>1.76E-14</t>
  </si>
  <si>
    <t>Beta-amylase 3, chloroplastic</t>
  </si>
  <si>
    <t>GO:0009570,GO:0005829,GO:0102229,GO:0016161,GO:0000024,GO:0009409,GO:0005983</t>
  </si>
  <si>
    <t>chloroplast stroma|cytosol|amylopectin maltohydrolase activity|beta-amylase activity|maltose biosynthetic process|response to cold|starch catabolic process</t>
  </si>
  <si>
    <t>J2O13_05G009674</t>
  </si>
  <si>
    <t>1.05E-10</t>
  </si>
  <si>
    <t>1.46E-09</t>
  </si>
  <si>
    <t>J2O13_05G009676</t>
  </si>
  <si>
    <t>1.40E-11</t>
  </si>
  <si>
    <t>2.22E-10</t>
  </si>
  <si>
    <t>BOI</t>
  </si>
  <si>
    <t>E3 ubiquitin-protein ligase BOI</t>
  </si>
  <si>
    <t>GO:0005634,GO:0046872,GO:0004842,GO:0042742,GO:0050832,GO:2000117,GO:0043069,GO:0043161,GO:0043067,GO:0009739</t>
  </si>
  <si>
    <t>nucleus|metal ion binding|ubiquitin-protein transferase activity|defense response to bacterium|defense response to fungus|negative regulation of cysteine-type endopeptidase activity|negative regulation of programmed cell death|proteasome-mediated ubiquitin-dependent protein catabolic process|regulation of programmed cell death|response to gibberellin</t>
  </si>
  <si>
    <t>J2O13_05G009683</t>
  </si>
  <si>
    <t>7.37E-86</t>
  </si>
  <si>
    <t>2.63E-82</t>
  </si>
  <si>
    <t>J2O13_05G009684</t>
  </si>
  <si>
    <t>3.94E-24</t>
  </si>
  <si>
    <t>2.50E-22</t>
  </si>
  <si>
    <t>J2O13_05G009687</t>
  </si>
  <si>
    <t>At5g08430</t>
  </si>
  <si>
    <t>Uncharacterized protein At5g08430</t>
  </si>
  <si>
    <t>GO:0003677</t>
  </si>
  <si>
    <t>DNA binding</t>
  </si>
  <si>
    <t>J2O13_05G009690</t>
  </si>
  <si>
    <t>1.71E-07</t>
  </si>
  <si>
    <t>1.42E-06</t>
  </si>
  <si>
    <t>Putative invertase inhibitor OS=Platanus acerifolia OX=140101 PE=1 SV=1</t>
  </si>
  <si>
    <t>GO:0005783,GO:0005576,GO:0043667,GO:0004857,GO:0009555,GO:0009846</t>
  </si>
  <si>
    <t>endoplasmic reticulum|extracellular region|pollen wall|enzyme inhibitor activity|pollen development|pollen germination</t>
  </si>
  <si>
    <t>J2O13_05G009694</t>
  </si>
  <si>
    <t>5.51E-07</t>
  </si>
  <si>
    <t>PUP11</t>
  </si>
  <si>
    <t>Probable purine permease 11</t>
  </si>
  <si>
    <t>GO:0016020,GO:0005345,GO:0015211,GO:0006863</t>
  </si>
  <si>
    <t>membrane|purine nucleobase transmembrane transporter activity|purine nucleoside transmembrane transporter activity|purine nucleobase transport</t>
  </si>
  <si>
    <t>J2O13_05G009695</t>
  </si>
  <si>
    <t>5.77E-14</t>
  </si>
  <si>
    <t>1.27E-12</t>
  </si>
  <si>
    <t>DRP1E</t>
  </si>
  <si>
    <t>Phragmoplastin DRP1E</t>
  </si>
  <si>
    <t>GO:0005737,GO:0005829,GO:0016020,GO:0005874,GO:0005739,GO:0009524,GO:0000325,GO:0005886,GO:0009506,GO:0005525,GO:0003924,GO:0008017,GO:0007049,GO:0051301,GO:0050832,GO:0016192</t>
  </si>
  <si>
    <t>cytoplasm|cytosol|membrane|microtubule|mitochondrion|phragmoplast|plant-type vacuole|plasma membrane|plasmodesma|GTP binding|GTPase activity|microtubule binding|cell cycle|cell division|defense response to fungus|vesicle-mediated transport</t>
  </si>
  <si>
    <t>J2O13_05G009698</t>
  </si>
  <si>
    <t>4.56E-27</t>
  </si>
  <si>
    <t>3.93E-25</t>
  </si>
  <si>
    <t>SGPP</t>
  </si>
  <si>
    <t>Haloacid dehalogenase-like hydrolase domain-containing protein Sgpp</t>
  </si>
  <si>
    <t>GO:0005886,GO:0046872,GO:0050308</t>
  </si>
  <si>
    <t>plasma membrane|metal ion binding|sugar-phosphatase activity</t>
  </si>
  <si>
    <t>J2O13_05G009699</t>
  </si>
  <si>
    <t>EXLB1</t>
  </si>
  <si>
    <t>Expansin-like B1</t>
  </si>
  <si>
    <t>GO:0005576,GO:0009653</t>
  </si>
  <si>
    <t>extracellular region|anatomical structure morphogenesis</t>
  </si>
  <si>
    <t>J2O13_05G009700</t>
  </si>
  <si>
    <t>J2O13_05G009714</t>
  </si>
  <si>
    <t>J2O13_05G009718</t>
  </si>
  <si>
    <t>J2O13_05G009724</t>
  </si>
  <si>
    <t>2.68E-09</t>
  </si>
  <si>
    <t>3.04E-08</t>
  </si>
  <si>
    <t>IP5P2</t>
  </si>
  <si>
    <t>Type I inositol polyphosphate 5-phosphatase 2</t>
  </si>
  <si>
    <t>ko00562</t>
  </si>
  <si>
    <t>Inositol phosphate metabolism</t>
  </si>
  <si>
    <t>GO:0052659,GO:0052658,GO:0004445,GO:0034485,GO:0004439,GO:0009738,GO:0046855,GO:0032957,GO:0046856,GO:0009737,GO:0009845,GO:0090351</t>
  </si>
  <si>
    <t>inositol-1,3,4,5-tetrakisphosphate 5-phosphatase activity|inositol-1,4,5-trisphosphate 5-phosphatase activity|inositol-polyphosphate 5-phosphatase activity|phosphatidylinositol-3,4,5-trisphosphate 5-phosphatase activity|phosphatidylinositol-4,5-bisphosphate 5-phosphatase activity|abscisic acid-activated signaling pathway|inositol phosphate dephosphorylation|inositol trisphosphate metabolic process|phosphatidylinositol dephosphorylation|response to abscisic acid|seed germination|seedling development</t>
  </si>
  <si>
    <t>J2O13_05G009726</t>
  </si>
  <si>
    <t>PRS1</t>
  </si>
  <si>
    <t>Ribose-phosphate pyrophosphokinase 1, chloroplastic</t>
  </si>
  <si>
    <t>ko00030,ko00230</t>
  </si>
  <si>
    <t>Pentose phosphate pathway|Purine metabolism</t>
  </si>
  <si>
    <t>GO:0009507,GO:0005737,GO:0002189,GO:0005524,GO:0016301,GO:0000287,GO:0004749,GO:0006015,GO:0016310,GO:0006164,GO:0009156</t>
  </si>
  <si>
    <t>chloroplast|cytoplasm|ribose phosphate diphosphokinase complex|ATP binding|kinase activity|magnesium ion binding|ribose phosphate diphosphokinase activity|5-phosphoribose 1-diphosphate biosynthetic process|phosphorylation|purine nucleotide biosynthetic process|ribonucleoside monophosphate biosynthetic process</t>
  </si>
  <si>
    <t>J2O13_05G009728</t>
  </si>
  <si>
    <t>NCS1</t>
  </si>
  <si>
    <t>S-norcoclaurine synthase 1</t>
  </si>
  <si>
    <t>GO:0050474,GO:0046872,GO:0016491,GO:0009820</t>
  </si>
  <si>
    <t>(S)-norcoclaurine synthase activity|metal ion binding|oxidoreductase activity|alkaloid metabolic process</t>
  </si>
  <si>
    <t>J2O13_05G009729</t>
  </si>
  <si>
    <t>J2O13_05G009730</t>
  </si>
  <si>
    <t>3.91E-05</t>
  </si>
  <si>
    <t>SRG1</t>
  </si>
  <si>
    <t>Protein SRG1</t>
  </si>
  <si>
    <t>GO:0046872,GO:0016682,GO:0010150</t>
  </si>
  <si>
    <t>metal ion binding|oxidoreductase activity, acting on diphenols and related substances as donors, oxygen as acceptor|leaf senescence</t>
  </si>
  <si>
    <t>J2O13_05G009741</t>
  </si>
  <si>
    <t>J2O13_05G009742</t>
  </si>
  <si>
    <t>J2O13_05G009752</t>
  </si>
  <si>
    <t>1.41E-07</t>
  </si>
  <si>
    <t>1.19E-06</t>
  </si>
  <si>
    <t>ko04111,ko04113,ko04218</t>
  </si>
  <si>
    <t>Cell cycle - yeast|Meiosis - yeast|Cellular senescence</t>
  </si>
  <si>
    <t>J2O13_05G009756</t>
  </si>
  <si>
    <t>Os04g0590900</t>
  </si>
  <si>
    <t>E3 ubiquitin-protein ligase Os04g0590900</t>
  </si>
  <si>
    <t>GO:0016020,GO:0046872,GO:0004842,GO:0016567</t>
  </si>
  <si>
    <t>membrane|metal ion binding|ubiquitin-protein transferase activity|protein ubiquitination</t>
  </si>
  <si>
    <t>J2O13_05G009759</t>
  </si>
  <si>
    <t>8.15E-05</t>
  </si>
  <si>
    <t>PCMP-E88</t>
  </si>
  <si>
    <t>Pentatricopeptide repeat-containing protein At3g09040, mitochondrial</t>
  </si>
  <si>
    <t>GO:0043231,GO:0005739,GO:0003723,GO:0009451</t>
  </si>
  <si>
    <t>intracellular membrane-bounded organelle|mitochondrion|RNA binding|RNA modification</t>
  </si>
  <si>
    <t>J2O13_05G009760</t>
  </si>
  <si>
    <t>5.83E-05</t>
  </si>
  <si>
    <t>J2O13_05G009762</t>
  </si>
  <si>
    <t>J2O13_05G009764</t>
  </si>
  <si>
    <t>4.07E-05</t>
  </si>
  <si>
    <t>J2O13_05G009768</t>
  </si>
  <si>
    <t>J2O13_05G009773</t>
  </si>
  <si>
    <t>7.05E-07</t>
  </si>
  <si>
    <t>5.23E-06</t>
  </si>
  <si>
    <t>PYR1</t>
  </si>
  <si>
    <t>Abscisic acid receptor PYR1</t>
  </si>
  <si>
    <t>GO:0005737,GO:0005829,GO:0005634,GO:0009705,GO:0005886,GO:0062049,GO:0010427,GO:0042802,GO:0042803,GO:0004864,GO:0038023,GO:0044389,GO:0009738,GO:1902584,GO:0080163</t>
  </si>
  <si>
    <t>cytoplasm|cytosol|nucleus|plant-type vacuole membrane|plasma membrane|protein phosphatase inhibitor complex|abscisic acid binding|identical protein binding|protein homodimerization activity|protein phosphatase inhibitor activity|signaling receptor activity|ubiquitin-like protein ligase binding|abscisic acid-activated signaling pathway|positive regulation of response to water deprivation|regulation of protein serine/threonine phosphatase activity</t>
  </si>
  <si>
    <t>J2O13_05G009775</t>
  </si>
  <si>
    <t>1.18E-51</t>
  </si>
  <si>
    <t>5.82E-49</t>
  </si>
  <si>
    <t>BOU</t>
  </si>
  <si>
    <t>Mitochondrial carnitine/acylcarnitine carrier-like protein</t>
  </si>
  <si>
    <t>ko04714</t>
  </si>
  <si>
    <t>Thermogenesis</t>
  </si>
  <si>
    <t>GO:0009507,GO:0005743,GO:0005739,GO:0009536,GO:0000064,GO:0022857,GO:1990575,GO:0006839</t>
  </si>
  <si>
    <t>chloroplast|mitochondrial inner membrane|mitochondrion|plastid|L-ornithine transmembrane transporter activity|transmembrane transporter activity|mitochondrial L-ornithine transmembrane transport|mitochondrial transport</t>
  </si>
  <si>
    <t>J2O13_05G009789</t>
  </si>
  <si>
    <t>LEA18</t>
  </si>
  <si>
    <t>Late embryogenesis abundant protein 18</t>
  </si>
  <si>
    <t>GO:0005829,GO:0009793,GO:0048868,GO:0006970,GO:0009414,GO:0048316</t>
  </si>
  <si>
    <t>cytosol|embryo development ending in seed dormancy|pollen tube development|response to osmotic stress|response to water deprivation|seed development</t>
  </si>
  <si>
    <t>J2O13_05G009794</t>
  </si>
  <si>
    <t>5.38E-05</t>
  </si>
  <si>
    <t>ALMT12</t>
  </si>
  <si>
    <t>Aluminum-activated malate transporter 12</t>
  </si>
  <si>
    <t>GO:0012505,GO:0009705,GO:0005886,GO:0008509,GO:0015743,GO:0010118,GO:0008272</t>
  </si>
  <si>
    <t>endomembrane system|plant-type vacuole membrane|plasma membrane|anion transmembrane transporter activity|malate transport|stomatal movement|sulfate transport</t>
  </si>
  <si>
    <t>J2O13_05G009795</t>
  </si>
  <si>
    <t>1.04E-13</t>
  </si>
  <si>
    <t>2.21E-12</t>
  </si>
  <si>
    <t>J2O13_05G009796</t>
  </si>
  <si>
    <t>6.90E-09</t>
  </si>
  <si>
    <t>7.37E-08</t>
  </si>
  <si>
    <t>NAC071</t>
  </si>
  <si>
    <t>NAC domain-containing protein 71</t>
  </si>
  <si>
    <t>GO:0005634,GO:0003700,GO:0043565,GO:0051301,GO:0071365,GO:0009611</t>
  </si>
  <si>
    <t>nucleus|DNA-binding transcription factor activity|sequence-specific DNA binding|cell division|cellular response to auxin stimulus|response to wounding</t>
  </si>
  <si>
    <t>J2O13_05G009800</t>
  </si>
  <si>
    <t>1.94E-32</t>
  </si>
  <si>
    <t>2.60E-30</t>
  </si>
  <si>
    <t>GDCSH</t>
  </si>
  <si>
    <t>Glycine cleavage system H protein, mitochondrial</t>
  </si>
  <si>
    <t>GO:0005960,GO:0005739,GO:0019464</t>
  </si>
  <si>
    <t>glycine cleavage complex|mitochondrion|glycine decarboxylation via glycine cleavage system</t>
  </si>
  <si>
    <t>J2O13_05G009802</t>
  </si>
  <si>
    <t>3.00E-11</t>
  </si>
  <si>
    <t>4.53E-10</t>
  </si>
  <si>
    <t>J2O13_05G009803</t>
  </si>
  <si>
    <t>1.29E-06</t>
  </si>
  <si>
    <t>9.09E-06</t>
  </si>
  <si>
    <t>Pyruvate kinase isozyme G, chloroplastic OS=Nicotiana tabacum OX=4097 PE=2 SV=1</t>
  </si>
  <si>
    <t>GO:0009570,GO:0005737,GO:0005524,GO:0016301,GO:0000287,GO:0030955,GO:0004743,GO:0006096</t>
  </si>
  <si>
    <t>chloroplast stroma|cytoplasm|ATP binding|kinase activity|magnesium ion binding|potassium ion binding|pyruvate kinase activity|glycolytic process</t>
  </si>
  <si>
    <t>J2O13_05G009852</t>
  </si>
  <si>
    <t>4.33E-07</t>
  </si>
  <si>
    <t>3.35E-06</t>
  </si>
  <si>
    <t>J2O13_05G009854</t>
  </si>
  <si>
    <t>3.34E-09</t>
  </si>
  <si>
    <t>3.73E-08</t>
  </si>
  <si>
    <t>CFAT</t>
  </si>
  <si>
    <t>Coniferyl alcohol acyltransferase</t>
  </si>
  <si>
    <t>GO:0102387,GO:0102720,GO:0034318,GO:0007623,GO:0010597,GO:0009699,GO:0009723</t>
  </si>
  <si>
    <t>2-phenylethanol acetyltransferase activity|acetyl-coenzyme A:acetyl alcohol acetyltransferase activity|alcohol O-acyltransferase activity|circadian rhythm|green leaf volatile biosynthetic process|phenylpropanoid biosynthetic process|response to ethylene</t>
  </si>
  <si>
    <t>J2O13_05G009860</t>
  </si>
  <si>
    <t>J2O13_05G009862</t>
  </si>
  <si>
    <t>PAE8</t>
  </si>
  <si>
    <t>Pectin acetylesterase 8</t>
  </si>
  <si>
    <t>ko04310</t>
  </si>
  <si>
    <t>Wnt signaling pathway</t>
  </si>
  <si>
    <t>GO:0005576,GO:0009505,GO:0052793,GO:0071555</t>
  </si>
  <si>
    <t>extracellular region|plant-type cell wall|pectin acetylesterase activity|cell wall organization</t>
  </si>
  <si>
    <t>J2O13_05G009876</t>
  </si>
  <si>
    <t>HSP22.0</t>
  </si>
  <si>
    <t>22.0 kDa class IV heat shock protein</t>
  </si>
  <si>
    <t>GO:0005788,GO:0043621,GO:0051082,GO:0051259,GO:0006457,GO:0009408,GO:0042542,GO:0009651</t>
  </si>
  <si>
    <t>endoplasmic reticulum lumen|protein self-association|unfolded protein binding|protein complex oligomerization|protein folding|response to heat|response to hydrogen peroxide|response to salt stress</t>
  </si>
  <si>
    <t>J2O13_05G009888</t>
  </si>
  <si>
    <t>J2O13_05G009893</t>
  </si>
  <si>
    <t>2.76E-05</t>
  </si>
  <si>
    <t>J2O13_05G009894</t>
  </si>
  <si>
    <t>5.31E-08</t>
  </si>
  <si>
    <t>4.85E-07</t>
  </si>
  <si>
    <t>ycf45</t>
  </si>
  <si>
    <t>Uncharacterized protein ycf45</t>
  </si>
  <si>
    <t>GO:0009507,GO:0005524,GO:0003676</t>
  </si>
  <si>
    <t>chloroplast|ATP binding|nucleic acid binding</t>
  </si>
  <si>
    <t>J2O13_05G009901</t>
  </si>
  <si>
    <t>2.02E-05</t>
  </si>
  <si>
    <t>OsI_14861</t>
  </si>
  <si>
    <t>Senescence-specific cysteine protease SAG39</t>
  </si>
  <si>
    <t>GO:0010282,GO:0008234,GO:0007568,GO:0010150,GO:0010623,GO:0006508,GO:0009737,GO:0009723,GO:0009739</t>
  </si>
  <si>
    <t>senescence-associated vacuole|cysteine-type peptidase activity|aging|leaf senescence|programmed cell death involved in cell development|proteolysis|response to abscisic acid|response to ethylene|response to gibberellin</t>
  </si>
  <si>
    <t>J2O13_05G009904</t>
  </si>
  <si>
    <t>2.65E-12</t>
  </si>
  <si>
    <t>PHL11</t>
  </si>
  <si>
    <t>Myb family transcription factor PHL11</t>
  </si>
  <si>
    <t>GO:0005634,GO:0003677,GO:0003700,GO:0006355,GO:2000762</t>
  </si>
  <si>
    <t>nucleus|DNA binding|DNA-binding transcription factor activity|regulation of DNA-templated transcription|regulation of phenylpropanoid metabolic process</t>
  </si>
  <si>
    <t>J2O13_05G009911</t>
  </si>
  <si>
    <t>2.87E-05</t>
  </si>
  <si>
    <t>PLGG1</t>
  </si>
  <si>
    <t>Plastidal glycolate/glycerate translocator 1, chloroplastic</t>
  </si>
  <si>
    <t>GO:0009507,GO:0009941,GO:0009706,GO:1901974,GO:0043879,GO:0042631,GO:0009658,GO:1901975,GO:0097339,GO:0048527,GO:0009853,GO:0009737,GO:0010118</t>
  </si>
  <si>
    <t>chloroplast|chloroplast envelope|chloroplast inner membrane|glycerate transmembrane transporter activity|glycolate transmembrane transporter activity|cellular response to water deprivation|chloroplast organization|glycerate transmembrane transport|glycolate transmembrane transport|lateral root development|photorespiration|response to abscisic acid|stomatal movement</t>
  </si>
  <si>
    <t>J2O13_05G009913</t>
  </si>
  <si>
    <t>9.52E-15</t>
  </si>
  <si>
    <t>2.31E-13</t>
  </si>
  <si>
    <t>Phosphoribulokinase, chloroplastic OS=Mesembryanthemum crystallinum OX=3544 PE=2 SV=1</t>
  </si>
  <si>
    <t>GO:0009507,GO:0005524,GO:0008974,GO:0016310,GO:0019253</t>
  </si>
  <si>
    <t>chloroplast|ATP binding|phosphoribulokinase activity|phosphorylation|reductive pentose-phosphate cycle</t>
  </si>
  <si>
    <t>J2O13_05G009918</t>
  </si>
  <si>
    <t>J2O13_05G009922</t>
  </si>
  <si>
    <t>2.69E-08</t>
  </si>
  <si>
    <t>ATS11</t>
  </si>
  <si>
    <t>Glycerol-3-phosphate acyltransferase ATS11, chloroplastic</t>
  </si>
  <si>
    <t>GO:0009570,GO:0004366,GO:0102420,GO:0016024</t>
  </si>
  <si>
    <t>chloroplast stroma|glycerol-3-phosphate O-acyltransferase activity|sn-1-glycerol-3-phosphate C16:0-DCA-CoA acyl transferase activity|CDP-diacylglycerol biosynthetic process</t>
  </si>
  <si>
    <t>J2O13_05G009923</t>
  </si>
  <si>
    <t>J2O13_05G009925</t>
  </si>
  <si>
    <t>1.39E-06</t>
  </si>
  <si>
    <t>9.73E-06</t>
  </si>
  <si>
    <t>XTH30</t>
  </si>
  <si>
    <t>Probable xyloglucan endotransglucosylase/hydrolase protein 30</t>
  </si>
  <si>
    <t>GO:0048046,GO:0004553,GO:0030247,GO:0016762,GO:0042546,GO:0071555,GO:0010411</t>
  </si>
  <si>
    <t>apoplast|hydrolase activity, hydrolyzing O-glycosyl compounds|polysaccharide binding|xyloglucan:xyloglucosyl transferase activity|cell wall biogenesis|cell wall organization|xyloglucan metabolic process</t>
  </si>
  <si>
    <t>J2O13_05G009927</t>
  </si>
  <si>
    <t>1.24E-05</t>
  </si>
  <si>
    <t>CAS1</t>
  </si>
  <si>
    <t>L-3-cyanoalanine synthase 1, mitochondrial</t>
  </si>
  <si>
    <t>GO:0005739,GO:0004124,GO:0050017,GO:0006535,GO:0009836,GO:0009611</t>
  </si>
  <si>
    <t>mitochondrion|cysteine synthase activity|L-3-cyanoalanine synthase activity|cysteine biosynthetic process from serine|fruit ripening, climacteric|response to wounding</t>
  </si>
  <si>
    <t>J2O13_05G009941</t>
  </si>
  <si>
    <t>NIP5-1</t>
  </si>
  <si>
    <t>Probable aquaporin NIP5-1</t>
  </si>
  <si>
    <t>GO:0016328,GO:0005886,GO:0046715,GO:0015105,GO:0015250,GO:0015700,GO:0046713,GO:0080029,GO:0046685,GO:0010036</t>
  </si>
  <si>
    <t>lateral plasma membrane|plasma membrane|active borate transmembrane transporter activity|arsenite transmembrane transporter activity|water channel activity|arsenite transport|borate transport|cellular response to boron-containing substance levels|response to arsenic-containing substance|response to boron-containing substance</t>
  </si>
  <si>
    <t>J2O13_05G009946</t>
  </si>
  <si>
    <t>1.43E-08</t>
  </si>
  <si>
    <t>GTL1</t>
  </si>
  <si>
    <t>Trihelix transcription factor GTL1</t>
  </si>
  <si>
    <t>GO:0005634,GO:0003677,GO:0003700,GO:0043565,GO:0042631,GO:0006351,GO:0030308,GO:0032876,GO:0045892,GO:0008361,GO:2000038,GO:2000037,GO:0009414,GO:0010090</t>
  </si>
  <si>
    <t>nucleus|DNA binding|DNA-binding transcription factor activity|sequence-specific DNA binding|cellular response to water deprivation|DNA-templated transcription|negative regulation of cell growth|negative regulation of DNA endoreduplication|negative regulation of DNA-templated transcription|regulation of cell size|regulation of stomatal complex development|regulation of stomatal complex patterning|response to water deprivation|trichome morphogenesis</t>
  </si>
  <si>
    <t>J2O13_05G009966</t>
  </si>
  <si>
    <t>2.04E-71</t>
  </si>
  <si>
    <t>3.64E-68</t>
  </si>
  <si>
    <t>DLO2</t>
  </si>
  <si>
    <t>Protein DMR6-LIKE OXYGENASE 2</t>
  </si>
  <si>
    <t>GO:0051213,GO:0046872,GO:0002229,GO:0046244</t>
  </si>
  <si>
    <t>dioxygenase activity|metal ion binding|defense response to oomycetes|salicylic acid catabolic process</t>
  </si>
  <si>
    <t>J2O13_05G009971</t>
  </si>
  <si>
    <t>SBT3.8</t>
  </si>
  <si>
    <t>Subtilisin-like protease SBT3.8</t>
  </si>
  <si>
    <t>GO:0005829,GO:0005615,GO:0004252,GO:0006508</t>
  </si>
  <si>
    <t>cytosol|extracellular space|serine-type endopeptidase activity|proteolysis</t>
  </si>
  <si>
    <t>J2O13_05G009978</t>
  </si>
  <si>
    <t>5.89E-11</t>
  </si>
  <si>
    <t>8.50E-10</t>
  </si>
  <si>
    <t>WAXY</t>
  </si>
  <si>
    <t>Granule-bound starch synthase 1, chloroplastic/amyloplastic</t>
  </si>
  <si>
    <t>GO:0009501,GO:0009507,GO:0102502,GO:0004373,GO:0019252</t>
  </si>
  <si>
    <t>amyloplast|chloroplast|ADP-glucose-starch glucosyltransferase activity|glycogen (starch) synthase activity|starch biosynthetic process</t>
  </si>
  <si>
    <t>J2O13_05G009983</t>
  </si>
  <si>
    <t>J2O13_05G009987</t>
  </si>
  <si>
    <t>9.57E-06</t>
  </si>
  <si>
    <t>BLT</t>
  </si>
  <si>
    <t>Protein BRANCHLESS TRICHOME</t>
  </si>
  <si>
    <t>GO:0010091,GO:0010090</t>
  </si>
  <si>
    <t>trichome branching|trichome morphogenesis</t>
  </si>
  <si>
    <t>J2O13_05G009990</t>
  </si>
  <si>
    <t>5.66E-11</t>
  </si>
  <si>
    <t>8.19E-10</t>
  </si>
  <si>
    <t>J2O13_05G009993</t>
  </si>
  <si>
    <t>4.03E-06</t>
  </si>
  <si>
    <t>MYC2</t>
  </si>
  <si>
    <t>Transcription factor MYC2</t>
  </si>
  <si>
    <t>GO:0005634,GO:0003677,GO:0003700,GO:0019900,GO:0046983,GO:0043565,GO:0000976,GO:0009738,GO:0106167,GO:0009759,GO:0045893,GO:0009963,GO:0051289,GO:2000068,GO:0051090,GO:0006355,GO:2000652,GO:0043619,GO:0090357,GO:0009737,GO:0009269,GO:0009753,GO:0009611,GO:0010374,GO:0006568</t>
  </si>
  <si>
    <t>nucleus|DNA binding|DNA-binding transcription factor activity|kinase binding|protein dimerization activity|sequence-specific DNA binding|transcription cis-regulatory region binding|abscisic acid-activated signaling pathway|extracellular ATP signaling|indole glucosinolate biosynthetic process|positive regulation of DNA-templated transcription|positive regulation of flavonoid biosynthetic process|protein homotetramerization|regulation of defense response to insect|regulation of DNA-binding transcription factor activity|regulation of DNA-templated transcription|regulation of secondary cell wall biogenesis|regulation of transcription from RNA polymerase II promoter in response to oxidative stress|regulation of tryptophan metabolic process|response to abscisic acid|response to desiccation|response to jasmonic acid|response to wounding|stomatal complex development|tryptophan metabolic process</t>
  </si>
  <si>
    <t>J2O13_05G009999</t>
  </si>
  <si>
    <t>3.77E-42</t>
  </si>
  <si>
    <t>1.00E-39</t>
  </si>
  <si>
    <t>MGL</t>
  </si>
  <si>
    <t>Methionine gamma-lyase</t>
  </si>
  <si>
    <t>ko00270,ko00450</t>
  </si>
  <si>
    <t>Cysteine and methionine metabolism|Selenocompound metabolism</t>
  </si>
  <si>
    <t>GO:0005737,GO:0005829,GO:0016846,GO:0004123,GO:0018826,GO:0030170,GO:0009970,GO:0042631,GO:0019343,GO:0019458,GO:0051289,GO:0019346</t>
  </si>
  <si>
    <t>cytoplasm|cytosol|carbon-sulfur lyase activity|cystathionine gamma-lyase activity|methionine gamma-lyase activity|pyridoxal phosphate binding|cellular response to sulfate starvation|cellular response to water deprivation|cysteine biosynthetic process via cystathionine|methionine catabolic process via 2-oxobutanoate|protein homotetramerization|transsulfuration</t>
  </si>
  <si>
    <t>J2O13_05G010004</t>
  </si>
  <si>
    <t>J2O13_05G010007</t>
  </si>
  <si>
    <t>1.67E-06</t>
  </si>
  <si>
    <t>YSL1</t>
  </si>
  <si>
    <t>Metal-nicotianamine transporter YSL1</t>
  </si>
  <si>
    <t>GO:0016020,GO:0005886,GO:0051980,GO:0035673,GO:0003006,GO:0010039,GO:0048316</t>
  </si>
  <si>
    <t>membrane|plasma membrane|iron-nicotianamine transmembrane transporter activity|oligopeptide transmembrane transporter activity|developmental process involved in reproduction|response to iron ion|seed development</t>
  </si>
  <si>
    <t>J2O13_05G010009</t>
  </si>
  <si>
    <t>J2O13_05G010012</t>
  </si>
  <si>
    <t>8.55E-11</t>
  </si>
  <si>
    <t>1.20E-09</t>
  </si>
  <si>
    <t>J2O13_05G010023</t>
  </si>
  <si>
    <t>LHW</t>
  </si>
  <si>
    <t>Transcription factor LHW</t>
  </si>
  <si>
    <t>GO:0005634,GO:0003677,GO:0003700,GO:0042803,GO:0010078,GO:0045893,GO:0006355,GO:0048364,GO:0010479,GO:0010089</t>
  </si>
  <si>
    <t>nucleus|DNA binding|DNA-binding transcription factor activity|protein homodimerization activity|maintenance of root meristem identity|positive regulation of DNA-templated transcription|regulation of DNA-templated transcription|root development|stele development|xylem development</t>
  </si>
  <si>
    <t>J2O13_05G010033</t>
  </si>
  <si>
    <t>TIC32A</t>
  </si>
  <si>
    <t>Short-chain dehydrogenase TIC 32 A, chloroplastic</t>
  </si>
  <si>
    <t>GO:0009706,GO:0005516,GO:0016491,GO:0015031</t>
  </si>
  <si>
    <t>chloroplast inner membrane|calmodulin binding|oxidoreductase activity|protein transport</t>
  </si>
  <si>
    <t>J2O13_05G010040</t>
  </si>
  <si>
    <t>At1g55090</t>
  </si>
  <si>
    <t>Glutamine-dependent NAD(+) synthetase</t>
  </si>
  <si>
    <t>GO:0005737,GO:0005524,GO:0004359,GO:0003952,GO:0009435</t>
  </si>
  <si>
    <t>cytoplasm|ATP binding|glutaminase activity|NAD+ synthase (glutamine-hydrolyzing) activity|NAD biosynthetic process</t>
  </si>
  <si>
    <t>J2O13_05G010044</t>
  </si>
  <si>
    <t>1.86E-13</t>
  </si>
  <si>
    <t>3.80E-12</t>
  </si>
  <si>
    <t>J2O13_05G010054</t>
  </si>
  <si>
    <t>6.11E-10</t>
  </si>
  <si>
    <t>7.59E-09</t>
  </si>
  <si>
    <t>RPS6</t>
  </si>
  <si>
    <t>30S ribosomal protein S6 alpha, chloroplastic</t>
  </si>
  <si>
    <t>GO:0009507,GO:0009535,GO:0005634,GO:1990904,GO:0005840,GO:0009579,GO:0003729,GO:0070181,GO:0003735,GO:0006412</t>
  </si>
  <si>
    <t>chloroplast|chloroplast thylakoid membrane|nucleus|ribonucleoprotein complex|ribosome|thylakoid|mRNA binding|small ribosomal subunit rRNA binding|structural constituent of ribosome|translation</t>
  </si>
  <si>
    <t>J2O13_05G010056</t>
  </si>
  <si>
    <t>6.83E-18</t>
  </si>
  <si>
    <t>2.44E-16</t>
  </si>
  <si>
    <t>CSLG3</t>
  </si>
  <si>
    <t>Cellulose synthase-like protein G3</t>
  </si>
  <si>
    <t>GO:0000139,GO:0005886,GO:0016760,GO:0051753,GO:0071555,GO:0030244,GO:0009833</t>
  </si>
  <si>
    <t>Golgi membrane|plasma membrane|cellulose synthase (UDP-forming) activity|mannan synthase activity|cell wall organization|cellulose biosynthetic process|plant-type primary cell wall biogenesis</t>
  </si>
  <si>
    <t>J2O13_05G010061</t>
  </si>
  <si>
    <t>At5g39865</t>
  </si>
  <si>
    <t>Uncharacterized protein At5g39865</t>
  </si>
  <si>
    <t>J2O13_05G010070</t>
  </si>
  <si>
    <t>CBL7</t>
  </si>
  <si>
    <t>Calcineurin B-like protein 7</t>
  </si>
  <si>
    <t>GO:0005886,GO:0005509,GO:0019900,GO:0019722</t>
  </si>
  <si>
    <t>plasma membrane|calcium ion binding|kinase binding|calcium-mediated signaling</t>
  </si>
  <si>
    <t>J2O13_05G010073</t>
  </si>
  <si>
    <t>J2O13_05G010079</t>
  </si>
  <si>
    <t>4.89E-05</t>
  </si>
  <si>
    <t>ndhS</t>
  </si>
  <si>
    <t>NAD(P)H-quinone oxidoreductase subunit S, chloroplastic</t>
  </si>
  <si>
    <t>GO:0009507,GO:0009534,GO:0009535,GO:0005829,GO:0010598,GO:0048038,GO:0009767</t>
  </si>
  <si>
    <t>chloroplast|chloroplast thylakoid|chloroplast thylakoid membrane|cytosol|NAD(P)H dehydrogenase complex (plastoquinone)|quinone binding|photosynthetic electron transport chain</t>
  </si>
  <si>
    <t>J2O13_05G010080</t>
  </si>
  <si>
    <t>1.62E-23</t>
  </si>
  <si>
    <t>9.74E-22</t>
  </si>
  <si>
    <t>J2O13_05G010085</t>
  </si>
  <si>
    <t>4.27E-06</t>
  </si>
  <si>
    <t>2.72E-05</t>
  </si>
  <si>
    <t>J2O13_05G010090</t>
  </si>
  <si>
    <t>8.94E-10</t>
  </si>
  <si>
    <t>1.08E-08</t>
  </si>
  <si>
    <t>At1g64390</t>
  </si>
  <si>
    <t>Endoglucanase 6</t>
  </si>
  <si>
    <t>GO:0005576,GO:0030246,GO:0008810,GO:0071555,GO:0030245</t>
  </si>
  <si>
    <t>extracellular region|carbohydrate binding|cellulase activity|cell wall organization|cellulose catabolic process</t>
  </si>
  <si>
    <t>J2O13_05G010094</t>
  </si>
  <si>
    <t>ERF061</t>
  </si>
  <si>
    <t>Ethylene-responsive transcription factor ERF061</t>
  </si>
  <si>
    <t>J2O13_05G010097</t>
  </si>
  <si>
    <t>J2O13_05G010099</t>
  </si>
  <si>
    <t>SBT2.5</t>
  </si>
  <si>
    <t>Subtilisin-like protease SBT2.5</t>
  </si>
  <si>
    <t>GO:0004252,GO:0008236,GO:0006508</t>
  </si>
  <si>
    <t>serine-type endopeptidase activity|serine-type peptidase activity|proteolysis</t>
  </si>
  <si>
    <t>J2O13_05G010102</t>
  </si>
  <si>
    <t>2.12E-14</t>
  </si>
  <si>
    <t>4.92E-13</t>
  </si>
  <si>
    <t>J2O13_05G010105</t>
  </si>
  <si>
    <t>2.53E-10</t>
  </si>
  <si>
    <t>3.33E-09</t>
  </si>
  <si>
    <t>J2O13_05G010106</t>
  </si>
  <si>
    <t>Putative anthocyanidin reductase OS=Ginkgo biloba OX=3311 PE=2 SV=1</t>
  </si>
  <si>
    <t>GO:0016491,GO:0009813</t>
  </si>
  <si>
    <t>oxidoreductase activity|flavonoid biosynthetic process</t>
  </si>
  <si>
    <t>J2O13_05G010123</t>
  </si>
  <si>
    <t>AGP16</t>
  </si>
  <si>
    <t>Arabinogalactan protein 16</t>
  </si>
  <si>
    <t>J2O13_05G010128</t>
  </si>
  <si>
    <t>2.18E-05</t>
  </si>
  <si>
    <t>J2O13_05G010143</t>
  </si>
  <si>
    <t>8.40E-23</t>
  </si>
  <si>
    <t>4.80E-21</t>
  </si>
  <si>
    <t>J2O13_05G010144</t>
  </si>
  <si>
    <t>3.90E-16</t>
  </si>
  <si>
    <t>1.11E-14</t>
  </si>
  <si>
    <t>J2O13_05G010151</t>
  </si>
  <si>
    <t>DIR</t>
  </si>
  <si>
    <t>Dirigent protein</t>
  </si>
  <si>
    <t>GO:0048046,GO:0102910,GO:0019438,GO:0009699,GO:0009753,GO:0009411,GO:0009611</t>
  </si>
  <si>
    <t>apoplast|dirigent protein activity|aromatic compound biosynthetic process|phenylpropanoid biosynthetic process|response to jasmonic acid|response to UV|response to wounding</t>
  </si>
  <si>
    <t>J2O13_05G010152</t>
  </si>
  <si>
    <t>6.91E-10</t>
  </si>
  <si>
    <t>8.52E-09</t>
  </si>
  <si>
    <t>PAM71</t>
  </si>
  <si>
    <t>Protein PAM71, chloroplastic</t>
  </si>
  <si>
    <t>GO:0031969,GO:0009534,GO:0009535,GO:0005794,GO:0015085,GO:0015095,GO:0005384,GO:0046873,GO:0070588,GO:0006816,GO:0019722,GO:0032468,GO:0032472,GO:0071421,GO:0010270</t>
  </si>
  <si>
    <t>chloroplast membrane|chloroplast thylakoid|chloroplast thylakoid membrane|Golgi apparatus|calcium ion transmembrane transporter activity|magnesium ion transmembrane transporter activity|manganese ion transmembrane transporter activity|metal ion transmembrane transporter activity|calcium ion transmembrane transport|calcium ion transport|calcium-mediated signaling|Golgi calcium ion homeostasis|Golgi calcium ion transport|manganese ion transmembrane transport|photosystem II oxygen evolving complex assembly</t>
  </si>
  <si>
    <t>J2O13_05G010153</t>
  </si>
  <si>
    <t>J2O13_05G010154</t>
  </si>
  <si>
    <t>J2O13_05G010160</t>
  </si>
  <si>
    <t>EXL3</t>
  </si>
  <si>
    <t>GDSL esterase/lipase EXL3</t>
  </si>
  <si>
    <t>GO:0005783,GO:0005576,GO:0016298,GO:0016042</t>
  </si>
  <si>
    <t>endoplasmic reticulum|extracellular region|lipase activity|lipid catabolic process</t>
  </si>
  <si>
    <t>J2O13_05G010166</t>
  </si>
  <si>
    <t>MAKR2</t>
  </si>
  <si>
    <t>Probable membrane-associated kinase regulator 2</t>
  </si>
  <si>
    <t>GO:0016020,GO:0005886</t>
  </si>
  <si>
    <t>membrane|plasma membrane</t>
  </si>
  <si>
    <t>J2O13_05G010167</t>
  </si>
  <si>
    <t>J2O13_05G010189</t>
  </si>
  <si>
    <t>HSP83A</t>
  </si>
  <si>
    <t>Heat shock protein 83</t>
  </si>
  <si>
    <t>GO:0005737,GO:0005524,GO:0016887,GO:0140662,GO:0051082</t>
  </si>
  <si>
    <t>cytoplasm|ATP binding|ATP hydrolysis activity|ATP-dependent protein folding chaperone|unfolded protein binding</t>
  </si>
  <si>
    <t>J2O13_05G010192</t>
  </si>
  <si>
    <t>1.69E-08</t>
  </si>
  <si>
    <t>1.68E-07</t>
  </si>
  <si>
    <t>SP1L5</t>
  </si>
  <si>
    <t>Protein SPIRAL1-like 5</t>
  </si>
  <si>
    <t>GO:0010005,GO:0043622</t>
  </si>
  <si>
    <t>cortical microtubule, transverse to long axis|cortical microtubule organization</t>
  </si>
  <si>
    <t>J2O13_05G010193</t>
  </si>
  <si>
    <t>6.80E-05</t>
  </si>
  <si>
    <t>BHY</t>
  </si>
  <si>
    <t>Beta-carotene 3-hydroxylase, chloroplastic</t>
  </si>
  <si>
    <t>GO:0031969,GO:0016787,GO:0005506,GO:0016491,GO:0016117</t>
  </si>
  <si>
    <t>chloroplast membrane|hydrolase activity|iron ion binding|oxidoreductase activity|carotenoid biosynthetic process</t>
  </si>
  <si>
    <t>J2O13_05G010198</t>
  </si>
  <si>
    <t>J2O13_05G010200</t>
  </si>
  <si>
    <t>1.41E-09</t>
  </si>
  <si>
    <t>At3g05170</t>
  </si>
  <si>
    <t>Phosphoglycerate mutase-like protein AT74</t>
  </si>
  <si>
    <t>GO:0016791,GO:0005975</t>
  </si>
  <si>
    <t>phosphatase activity|carbohydrate metabolic process</t>
  </si>
  <si>
    <t>J2O13_05G010205</t>
  </si>
  <si>
    <t>COL4</t>
  </si>
  <si>
    <t>Zinc finger protein CONSTANS-LIKE 4</t>
  </si>
  <si>
    <t>GO:0005634,GO:0008270,GO:0009909</t>
  </si>
  <si>
    <t>nucleus|zinc ion binding|regulation of flower development</t>
  </si>
  <si>
    <t>J2O13_05G010212</t>
  </si>
  <si>
    <t>J2O13_05G010213</t>
  </si>
  <si>
    <t>J2O13_05G010220</t>
  </si>
  <si>
    <t>1.71E-05</t>
  </si>
  <si>
    <t>9.57E-05</t>
  </si>
  <si>
    <t>CYP86A8</t>
  </si>
  <si>
    <t>Cytochrome P450 86A8</t>
  </si>
  <si>
    <t>GO:0016020,GO:0018685,GO:0070330,GO:0020037,GO:0005506,GO:0006631,GO:0008610,GO:0010214</t>
  </si>
  <si>
    <t>membrane|alkane 1-monooxygenase activity|aromatase activity|heme binding|iron ion binding|fatty acid metabolic process|lipid biosynthetic process|seed coat development</t>
  </si>
  <si>
    <t>J2O13_05G010229</t>
  </si>
  <si>
    <t>GL3</t>
  </si>
  <si>
    <t>Transcription factor GLABRA 3</t>
  </si>
  <si>
    <t>GO:0005634,GO:0003677,GO:0003700,GO:0046983,GO:0001708,GO:0009957,GO:0009867,GO:0031542,GO:0010091,GO:0010026</t>
  </si>
  <si>
    <t>nucleus|DNA binding|DNA-binding transcription factor activity|protein dimerization activity|cell fate specification|epidermal cell fate specification|jasmonic acid mediated signaling pathway|positive regulation of anthocyanin biosynthetic process|trichome branching|trichome differentiation</t>
  </si>
  <si>
    <t>J2O13_05G010236</t>
  </si>
  <si>
    <t>5.98E-41</t>
  </si>
  <si>
    <t>1.48E-38</t>
  </si>
  <si>
    <t>GSH1</t>
  </si>
  <si>
    <t>Glutamate--cysteine ligase, chloroplastic</t>
  </si>
  <si>
    <t>ko00270,ko00480</t>
  </si>
  <si>
    <t>Cysteine and methionine metabolism|Glutathione metabolism</t>
  </si>
  <si>
    <t>GO:0009507,GO:0005524,GO:0004357,GO:0006750</t>
  </si>
  <si>
    <t>chloroplast|ATP binding|glutamate-cysteine ligase activity|glutathione biosynthetic process</t>
  </si>
  <si>
    <t>J2O13_05G010251</t>
  </si>
  <si>
    <t>3.54E-06</t>
  </si>
  <si>
    <t>J2O13_05G010256</t>
  </si>
  <si>
    <t>J2O13_05G010258</t>
  </si>
  <si>
    <t>J2O13_05G010264</t>
  </si>
  <si>
    <t>WLIM2B</t>
  </si>
  <si>
    <t>LIM domain-containing protein WLIM2b</t>
  </si>
  <si>
    <t>J2O13_05G010274</t>
  </si>
  <si>
    <t>PP16-2</t>
  </si>
  <si>
    <t>16 kDa phloem protein 2</t>
  </si>
  <si>
    <t>GO:0046872,GO:0003723,GO:0006952</t>
  </si>
  <si>
    <t>metal ion binding|RNA binding|defense response</t>
  </si>
  <si>
    <t>J2O13_05G010275</t>
  </si>
  <si>
    <t>Pathogenesis-related protein R major form OS=Nicotiana tabacum OX=4097 PE=1 SV=1</t>
  </si>
  <si>
    <t>GO:0005773,GO:0006952,GO:0009607</t>
  </si>
  <si>
    <t>vacuole|defense response|response to biotic stimulus</t>
  </si>
  <si>
    <t>J2O13_05G010280</t>
  </si>
  <si>
    <t>3.86E-08</t>
  </si>
  <si>
    <t>3.64E-07</t>
  </si>
  <si>
    <t>HSFB2B</t>
  </si>
  <si>
    <t>Heat stress transcription factor B-2b</t>
  </si>
  <si>
    <t>GO:0005634,GO:0003700,GO:0000978,GO:0071456,GO:0045892,GO:0006357</t>
  </si>
  <si>
    <t>nucleus|DNA-binding transcription factor activity|RNA polymerase II cis-regulatory region sequence-specific DNA binding|cellular response to hypoxia|negative regulation of DNA-templated transcription|regulation of transcription by RNA polymerase II</t>
  </si>
  <si>
    <t>J2O13_05G010281</t>
  </si>
  <si>
    <t>J2O13_05G010285</t>
  </si>
  <si>
    <t>Lignin-forming anionic peroxidase OS=Nicotiana sylvestris OX=4096 PE=2 SV=1</t>
  </si>
  <si>
    <t>J2O13_05G010312</t>
  </si>
  <si>
    <t>8.36E-06</t>
  </si>
  <si>
    <t>5.02E-05</t>
  </si>
  <si>
    <t>BAG1</t>
  </si>
  <si>
    <t>BAG family molecular chaperone regulator 1</t>
  </si>
  <si>
    <t>GO:0005829,GO:0005739,GO:0005634,GO:0000774,GO:0051087,GO:0071629,GO:0050821</t>
  </si>
  <si>
    <t>cytosol|mitochondrion|nucleus|adenyl-nucleotide exchange factor activity|chaperone binding|cytoplasm protein quality control by the ubiquitin-proteasome system|protein stabilization</t>
  </si>
  <si>
    <t>J2O13_05G010314</t>
  </si>
  <si>
    <t>DTX49</t>
  </si>
  <si>
    <t>Protein DETOXIFICATION 49</t>
  </si>
  <si>
    <t>J2O13_05G010316</t>
  </si>
  <si>
    <t>DREB1E</t>
  </si>
  <si>
    <t>Dehydration-responsive element-binding protein 1E</t>
  </si>
  <si>
    <t>GO:0005634,GO:0003677,GO:0003700,GO:0010371,GO:0048510</t>
  </si>
  <si>
    <t>nucleus|DNA binding|DNA-binding transcription factor activity|regulation of gibberellin biosynthetic process|regulation of timing of transition from vegetative to reproductive phase</t>
  </si>
  <si>
    <t>J2O13_05G010327</t>
  </si>
  <si>
    <t>7.71E-11</t>
  </si>
  <si>
    <t>1.09E-09</t>
  </si>
  <si>
    <t>J2O13_05G010334</t>
  </si>
  <si>
    <t>PLDBETA1</t>
  </si>
  <si>
    <t>Phospholipase D beta 1</t>
  </si>
  <si>
    <t>GO:0005737,GO:0005886,GO:0009506,GO:0046872,GO:0070290,GO:0005546,GO:0004630,GO:0042742,GO:0009395</t>
  </si>
  <si>
    <t>cytoplasm|plasma membrane|plasmodesma|metal ion binding|N-acylphosphatidylethanolamine-specific phospholipase D activity|phosphatidylinositol-4,5-bisphosphate binding|phospholipase D activity|defense response to bacterium|phospholipid catabolic process</t>
  </si>
  <si>
    <t>J2O13_05G010340</t>
  </si>
  <si>
    <t>9.18E-10</t>
  </si>
  <si>
    <t>1.11E-08</t>
  </si>
  <si>
    <t>SGR</t>
  </si>
  <si>
    <t>Protein STAY-GREEN homolog, chloroplastic</t>
  </si>
  <si>
    <t>GO:0009507,GO:0015996</t>
  </si>
  <si>
    <t>chloroplast|chlorophyll catabolic process</t>
  </si>
  <si>
    <t>J2O13_05G010345</t>
  </si>
  <si>
    <t>PGRL1A</t>
  </si>
  <si>
    <t>PGR5-like protein 1A, chloroplastic</t>
  </si>
  <si>
    <t>GO:0009507,GO:0009534,GO:0009535,GO:0005829,GO:0009579,GO:0042802,GO:0016730,GO:0019904,GO:0009773</t>
  </si>
  <si>
    <t>chloroplast|chloroplast thylakoid|chloroplast thylakoid membrane|cytosol|thylakoid|identical protein binding|oxidoreductase activity, acting on iron-sulfur proteins as donors|protein domain specific binding|photosynthetic electron transport in photosystem I</t>
  </si>
  <si>
    <t>J2O13_05G010346</t>
  </si>
  <si>
    <t>ANS</t>
  </si>
  <si>
    <t>Leucoanthocyanidin dioxygenase</t>
  </si>
  <si>
    <t>GO:0031418,GO:0050589,GO:0046872,GO:0009718</t>
  </si>
  <si>
    <t>L-ascorbic acid binding|leucocyanidin oxygenase activity|metal ion binding|anthocyanin-containing compound biosynthetic process</t>
  </si>
  <si>
    <t>J2O13_05G010351</t>
  </si>
  <si>
    <t>9.76E-08</t>
  </si>
  <si>
    <t>8.52E-07</t>
  </si>
  <si>
    <t>SBTM4</t>
  </si>
  <si>
    <t>Subtilisin-like protease 4</t>
  </si>
  <si>
    <t>GO:0048046,GO:0005615,GO:0004252,GO:0036377,GO:0006508,GO:0009609,GO:0009610</t>
  </si>
  <si>
    <t>apoplast|extracellular space|serine-type endopeptidase activity|arbuscular mycorrhizal association|proteolysis|response to symbiotic bacterium|response to symbiotic fungus</t>
  </si>
  <si>
    <t>J2O13_05G010355</t>
  </si>
  <si>
    <t>7.14E-07</t>
  </si>
  <si>
    <t>5.28E-06</t>
  </si>
  <si>
    <t>CYP76B10</t>
  </si>
  <si>
    <t>Geraniol 8-hydroxylase</t>
  </si>
  <si>
    <t>GO:0005789,GO:0102811,GO:0020037,GO:0005506,GO:0016709,GO:0016099</t>
  </si>
  <si>
    <t>endoplasmic reticulum membrane|geraniol 10-hydroxylase activity|heme binding|iron ion binding|oxidoreductase activity, acting on paired donors, with incorporation or reduction of molecular oxygen, NAD(P)H as one donor, and incorporation of one atom of oxygen|monoterpenoid biosynthetic process</t>
  </si>
  <si>
    <t>J2O13_05G010361</t>
  </si>
  <si>
    <t>5.92E-07</t>
  </si>
  <si>
    <t>MTR_7g086140</t>
  </si>
  <si>
    <t>Blue copper protein 1a</t>
  </si>
  <si>
    <t>GO:0005886,GO:0009055,GO:0046872,GO:0009610</t>
  </si>
  <si>
    <t>plasma membrane|electron transfer activity|metal ion binding|response to symbiotic fungus</t>
  </si>
  <si>
    <t>J2O13_05G010362</t>
  </si>
  <si>
    <t>4.47E-06</t>
  </si>
  <si>
    <t>2.83E-05</t>
  </si>
  <si>
    <t>SLAC1</t>
  </si>
  <si>
    <t>Guard cell S-type anion channel SLAC1</t>
  </si>
  <si>
    <t>GO:0016020,GO:0005886,GO:0008509,GO:0019901,GO:0019903,GO:0008308,GO:0009738,GO:0006820,GO:0006873,GO:0015698,GO:0050891,GO:0015711,GO:0090333,GO:1902456,GO:0009737,GO:0010037,GO:0009270,GO:0009416,GO:0010193,GO:0090332,GO:0010118</t>
  </si>
  <si>
    <t>membrane|plasma membrane|anion transmembrane transporter activity|protein kinase binding|protein phosphatase binding|voltage-gated anion channel activity|abscisic acid-activated signaling pathway|anion transport|cellular ion homeostasis|inorganic anion transport|multicellular organismal water homeostasis|organic anion transport|regulation of stomatal closure|regulation of stomatal opening|response to abscisic acid|response to carbon dioxide|response to humidity|response to light stimulus|response to ozone|stomatal closure|stomatal movement</t>
  </si>
  <si>
    <t>J2O13_05G010376</t>
  </si>
  <si>
    <t>4.59E-15</t>
  </si>
  <si>
    <t>1.16E-13</t>
  </si>
  <si>
    <t>DTX56</t>
  </si>
  <si>
    <t>Protein DETOXIFICATION 56</t>
  </si>
  <si>
    <t>GO:0016020,GO:0005886,GO:0015297,GO:0022857,GO:0042910,GO:0071244,GO:1902456,GO:1990961</t>
  </si>
  <si>
    <t>membrane|plasma membrane|antiporter activity|transmembrane transporter activity|xenobiotic transmembrane transporter activity|cellular response to carbon dioxide|regulation of stomatal opening|xenobiotic detoxification by transmembrane export across the plasma membrane</t>
  </si>
  <si>
    <t>J2O13_05G010377</t>
  </si>
  <si>
    <t>1.74E-08</t>
  </si>
  <si>
    <t>J2O13_05G010379</t>
  </si>
  <si>
    <t>1.32E-13</t>
  </si>
  <si>
    <t>2.75E-12</t>
  </si>
  <si>
    <t>J2O13_05G010387</t>
  </si>
  <si>
    <t>6.15E-28</t>
  </si>
  <si>
    <t>5.83E-26</t>
  </si>
  <si>
    <t>PHR1</t>
  </si>
  <si>
    <t>Deoxyribodipyrimidine photo-lyase</t>
  </si>
  <si>
    <t>GO:0005634,GO:0003904,GO:0003677,GO:0003913,GO:0071949,GO:0000719,GO:0009650</t>
  </si>
  <si>
    <t>nucleus|deoxyribodipyrimidine photo-lyase activity|DNA binding|DNA photolyase activity|FAD binding|photoreactive repair|UV protection</t>
  </si>
  <si>
    <t>J2O13_05G010392</t>
  </si>
  <si>
    <t>7.68E-14</t>
  </si>
  <si>
    <t>1.66E-12</t>
  </si>
  <si>
    <t>RCOM_1680640</t>
  </si>
  <si>
    <t>Anamorsin homolog</t>
  </si>
  <si>
    <t>GO:0005737,GO:0005758,GO:0051537,GO:0051539,GO:0009055,GO:0046872,GO:0008168,GO:0016226,GO:0071704</t>
  </si>
  <si>
    <t>cytoplasm|mitochondrial intermembrane space|2 iron, 2 sulfur cluster binding|4 iron, 4 sulfur cluster binding|electron transfer activity|metal ion binding|methyltransferase activity|iron-sulfur cluster assembly|organic substance metabolic process</t>
  </si>
  <si>
    <t>J2O13_05G010407</t>
  </si>
  <si>
    <t>5.76E-05</t>
  </si>
  <si>
    <t>CYP75B137</t>
  </si>
  <si>
    <t>Flavonoid 3'-monooxygenase CYP75B137</t>
  </si>
  <si>
    <t>GO:0016020,GO:0016711,GO:0020037,GO:0005506,GO:0009813</t>
  </si>
  <si>
    <t>membrane|flavonoid 3'-monooxygenase activity|heme binding|iron ion binding|flavonoid biosynthetic process</t>
  </si>
  <si>
    <t>J2O13_05G010408</t>
  </si>
  <si>
    <t>CYP75A6</t>
  </si>
  <si>
    <t>Flavonoid 3',5'-hydroxylase</t>
  </si>
  <si>
    <t>GO:0033772,GO:0020037,GO:0005506,GO:0009718</t>
  </si>
  <si>
    <t>flavonoid 3',5'-hydroxylase activity|heme binding|iron ion binding|anthocyanin-containing compound biosynthetic process</t>
  </si>
  <si>
    <t>J2O13_05G010409</t>
  </si>
  <si>
    <t>3.79E-06</t>
  </si>
  <si>
    <t>2.44E-05</t>
  </si>
  <si>
    <t>J2O13_05G010415</t>
  </si>
  <si>
    <t>7.53E-13</t>
  </si>
  <si>
    <t>1.42E-11</t>
  </si>
  <si>
    <t>fusA1</t>
  </si>
  <si>
    <t>Elongation factor G-1, chloroplastic</t>
  </si>
  <si>
    <t>GO:0009507,GO:0005739,GO:0005525,GO:0003924,GO:0003746,GO:0032543,GO:0032790</t>
  </si>
  <si>
    <t>chloroplast|mitochondrion|GTP binding|GTPase activity|translation elongation factor activity|mitochondrial translation|ribosome disassembly</t>
  </si>
  <si>
    <t>J2O13_05G010416</t>
  </si>
  <si>
    <t>1.79E-49</t>
  </si>
  <si>
    <t>7.96E-47</t>
  </si>
  <si>
    <t>HOP2</t>
  </si>
  <si>
    <t>Hsp70-Hsp90 organizing protein 2</t>
  </si>
  <si>
    <t>ko05020</t>
  </si>
  <si>
    <t>Prion disease</t>
  </si>
  <si>
    <t>GO:0005829,GO:0005634,GO:0051879,GO:0070678,GO:0051131,GO:0046686</t>
  </si>
  <si>
    <t>cytosol|nucleus|Hsp90 protein binding|preprotein binding|chaperone-mediated protein complex assembly|response to cadmium ion</t>
  </si>
  <si>
    <t>J2O13_05G010418</t>
  </si>
  <si>
    <t>2.29E-10</t>
  </si>
  <si>
    <t>Vacuolar-processing enzyme OS=Ricinus communis OX=3988 PE=1 SV=1</t>
  </si>
  <si>
    <t>ko04142,ko04612</t>
  </si>
  <si>
    <t>Lysosome|Antigen processing and presentation</t>
  </si>
  <si>
    <t>GO:0110165,GO:0004197,GO:0051603</t>
  </si>
  <si>
    <t>cellular anatomical entity|cysteine-type endopeptidase activity|proteolysis involved in protein catabolic process</t>
  </si>
  <si>
    <t>J2O13_05G010428</t>
  </si>
  <si>
    <t>1.35E-08</t>
  </si>
  <si>
    <t>1.37E-07</t>
  </si>
  <si>
    <t>LHT1</t>
  </si>
  <si>
    <t>Lysine histidine transporter 1</t>
  </si>
  <si>
    <t>GO:0016020,GO:0005886,GO:0009536,GO:0015172,GO:0015171,GO:0015293,GO:0043090,GO:0003333,GO:0006952</t>
  </si>
  <si>
    <t>membrane|plasma membrane|plastid|acidic amino acid transmembrane transporter activity|amino acid transmembrane transporter activity|symporter activity|amino acid import|amino acid transmembrane transport|defense response</t>
  </si>
  <si>
    <t>J2O13_05G010433</t>
  </si>
  <si>
    <t>4.00E-06</t>
  </si>
  <si>
    <t>J2O13_05G010445</t>
  </si>
  <si>
    <t>KEG</t>
  </si>
  <si>
    <t>E3 ubiquitin-protein ligase KEG</t>
  </si>
  <si>
    <t>GO:0005769,GO:0005802,GO:0005524,GO:0046872,GO:0004672,GO:0043621,GO:0106310,GO:0004674,GO:0004842,GO:0009738,GO:0006952,GO:0048589,GO:0016197,GO:0045324,GO:0009788,GO:0033184,GO:0006468,GO:0016567,GO:0009737,GO:0032940</t>
  </si>
  <si>
    <t>early endosome|trans-Golgi network|ATP binding|metal ion binding|protein kinase activity|protein self-association|protein serine kinase activity|protein serine/threonine kinase activity|ubiquitin-protein transferase activity|abscisic acid-activated signaling pathway|defense response|developmental growth|endosomal transport|late endosome to vacuole transport|negative regulation of abscisic acid-activated signaling pathway|positive regulation of histone ubiquitination|protein phosphorylation|protein ubiquitination|response to abscisic acid|secretion by cell</t>
  </si>
  <si>
    <t>J2O13_05G010455</t>
  </si>
  <si>
    <t>8.30E-11</t>
  </si>
  <si>
    <t>1.17E-09</t>
  </si>
  <si>
    <t>Os09g0505700</t>
  </si>
  <si>
    <t>Ribulose-phosphate 3-epimerase, cytoplasmic isoform</t>
  </si>
  <si>
    <t>GO:0005829,GO:0004750,GO:0046872,GO:0044262,GO:0009052</t>
  </si>
  <si>
    <t>cytosol|D-ribulose-phosphate 3-epimerase activity|metal ion binding|cellular carbohydrate metabolic process|pentose-phosphate shunt, non-oxidative branch</t>
  </si>
  <si>
    <t>J2O13_05G010459</t>
  </si>
  <si>
    <t>8.45E-05</t>
  </si>
  <si>
    <t>LIP2</t>
  </si>
  <si>
    <t>Triacylglycerol lipase 2</t>
  </si>
  <si>
    <t>GO:0005576,GO:0016298,GO:0004806,GO:0002213,GO:0016042</t>
  </si>
  <si>
    <t>extracellular region|lipase activity|triglyceride lipase activity|defense response to insect|lipid catabolic process</t>
  </si>
  <si>
    <t>J2O13_05G010468</t>
  </si>
  <si>
    <t>3.33E-08</t>
  </si>
  <si>
    <t>3.17E-07</t>
  </si>
  <si>
    <t>rps21</t>
  </si>
  <si>
    <t>30S ribosomal protein S21, chloroplastic</t>
  </si>
  <si>
    <t>J2O13_05G010470</t>
  </si>
  <si>
    <t>4.27E-07</t>
  </si>
  <si>
    <t>3.32E-06</t>
  </si>
  <si>
    <t>At3g27150</t>
  </si>
  <si>
    <t>F-box/kelch-repeat protein At3g27150</t>
  </si>
  <si>
    <t>GO:0005829,GO:0005634</t>
  </si>
  <si>
    <t>cytosol|nucleus</t>
  </si>
  <si>
    <t>J2O13_05G010482</t>
  </si>
  <si>
    <t>3.71E-18</t>
  </si>
  <si>
    <t>1.34E-16</t>
  </si>
  <si>
    <t>LSU2</t>
  </si>
  <si>
    <t>Protein RESPONSE TO LOW SULFUR 2</t>
  </si>
  <si>
    <t>GO:0098869,GO:0010438,GO:0009658,GO:0042742,GO:0002229,GO:0045893,GO:0031347,GO:0047484,GO:0009651</t>
  </si>
  <si>
    <t>cellular oxidant detoxification|cellular response to sulfur starvation|chloroplast organization|defense response to bacterium|defense response to oomycetes|positive regulation of DNA-templated transcription|regulation of defense response|regulation of response to osmotic stress|response to salt stress</t>
  </si>
  <si>
    <t>J2O13_05G010483</t>
  </si>
  <si>
    <t>2.53E-39</t>
  </si>
  <si>
    <t>5.49E-37</t>
  </si>
  <si>
    <t>TOM20</t>
  </si>
  <si>
    <t>Mitochondrial import receptor subunit TOM20</t>
  </si>
  <si>
    <t>GO:0005742,GO:0045040</t>
  </si>
  <si>
    <t>mitochondrial outer membrane translocase complex|protein insertion into mitochondrial outer membrane</t>
  </si>
  <si>
    <t>J2O13_05G010492</t>
  </si>
  <si>
    <t>J2O13_05G010494</t>
  </si>
  <si>
    <t>4.51E-07</t>
  </si>
  <si>
    <t>J2O13_05G010500</t>
  </si>
  <si>
    <t>5.75E-17</t>
  </si>
  <si>
    <t>1.80E-15</t>
  </si>
  <si>
    <t>RL6</t>
  </si>
  <si>
    <t>Protein RADIALIS-like 6</t>
  </si>
  <si>
    <t>GO:0005634,GO:0003700,GO:0006355</t>
  </si>
  <si>
    <t>nucleus|DNA-binding transcription factor activity|regulation of DNA-templated transcription</t>
  </si>
  <si>
    <t>J2O13_05G010502</t>
  </si>
  <si>
    <t>9.27E-05</t>
  </si>
  <si>
    <t>KCS4</t>
  </si>
  <si>
    <t>3-ketoacyl-CoA synthase 4</t>
  </si>
  <si>
    <t>GO:0016020,GO:0102756,GO:0006633</t>
  </si>
  <si>
    <t>membrane|very-long-chain 3-ketoacyl-CoA synthase activity|fatty acid biosynthetic process</t>
  </si>
  <si>
    <t>J2O13_05G010503</t>
  </si>
  <si>
    <t>6.21E-16</t>
  </si>
  <si>
    <t>RAD</t>
  </si>
  <si>
    <t>Transcription factor RADIALIS</t>
  </si>
  <si>
    <t>GO:0005634,GO:0003700,GO:0048262,GO:0009908</t>
  </si>
  <si>
    <t>nucleus|DNA-binding transcription factor activity|determination of dorsal/ventral asymmetry|flower development</t>
  </si>
  <si>
    <t>J2O13_05G010521</t>
  </si>
  <si>
    <t>1.59E-29</t>
  </si>
  <si>
    <t>1.69E-27</t>
  </si>
  <si>
    <t>J2O13_05G010524</t>
  </si>
  <si>
    <t>9.64E-09</t>
  </si>
  <si>
    <t>1.00E-07</t>
  </si>
  <si>
    <t>J2O13_05G010526</t>
  </si>
  <si>
    <t>8.99E-05</t>
  </si>
  <si>
    <t>J2O13_05G010528</t>
  </si>
  <si>
    <t>AGP31</t>
  </si>
  <si>
    <t>Non-classical arabinogalactan protein 31</t>
  </si>
  <si>
    <t>GO:0071944,GO:0005576,GO:0009505,GO:0005886,GO:0009506,GO:0009753</t>
  </si>
  <si>
    <t>cell periphery|extracellular region|plant-type cell wall|plasma membrane|plasmodesma|response to jasmonic acid</t>
  </si>
  <si>
    <t>J2O13_05G010529</t>
  </si>
  <si>
    <t>1.94E-12</t>
  </si>
  <si>
    <t>3.50E-11</t>
  </si>
  <si>
    <t>J2O13_05G010536</t>
  </si>
  <si>
    <t>rps5</t>
  </si>
  <si>
    <t>30S ribosomal protein S5, chloroplastic</t>
  </si>
  <si>
    <t>GO:0009507,GO:0009570,GO:0009534,GO:0009535,GO:0005783,GO:0005763,GO:0005634,GO:0009579,GO:0003729,GO:0019843,GO:0003735,GO:0009955,GO:1901259,GO:0032544,GO:0009409,GO:0006412</t>
  </si>
  <si>
    <t>chloroplast|chloroplast stroma|chloroplast thylakoid|chloroplast thylakoid membrane|endoplasmic reticulum|mitochondrial small ribosomal subunit|nucleus|thylakoid|mRNA binding|rRNA binding|structural constituent of ribosome|adaxial/abaxial pattern specification|chloroplast rRNA processing|plastid translation|response to cold|translation</t>
  </si>
  <si>
    <t>J2O13_05G010539</t>
  </si>
  <si>
    <t>J2O13_05G010540</t>
  </si>
  <si>
    <t>J2O13_05G010546</t>
  </si>
  <si>
    <t>BAC1</t>
  </si>
  <si>
    <t>Mitochondrial arginine transporter BAC1</t>
  </si>
  <si>
    <t>GO:0005743,GO:0005290,GO:0015189,GO:0000064,GO:0022857,GO:1990575</t>
  </si>
  <si>
    <t>mitochondrial inner membrane|L-histidine transmembrane transporter activity|L-lysine transmembrane transporter activity|L-ornithine transmembrane transporter activity|transmembrane transporter activity|mitochondrial L-ornithine transmembrane transport</t>
  </si>
  <si>
    <t>J2O13_05G010555</t>
  </si>
  <si>
    <t>7.67E-26</t>
  </si>
  <si>
    <t>5.79E-24</t>
  </si>
  <si>
    <t>ERF4</t>
  </si>
  <si>
    <t>Ethylene-responsive transcription factor 4</t>
  </si>
  <si>
    <t>GO:0005634,GO:0003677,GO:0003700,GO:0006952,GO:0009873</t>
  </si>
  <si>
    <t>nucleus|DNA binding|DNA-binding transcription factor activity|defense response|ethylene-activated signaling pathway</t>
  </si>
  <si>
    <t>J2O13_05G010564</t>
  </si>
  <si>
    <t>E6</t>
  </si>
  <si>
    <t>Protein E6</t>
  </si>
  <si>
    <t>GO:0005576,GO:0090378</t>
  </si>
  <si>
    <t>extracellular region|seed trichome elongation</t>
  </si>
  <si>
    <t>J2O13_05G010566</t>
  </si>
  <si>
    <t>3.34E-11</t>
  </si>
  <si>
    <t>5.00E-10</t>
  </si>
  <si>
    <t>DNAJ1</t>
  </si>
  <si>
    <t>DnaJ protein homolog</t>
  </si>
  <si>
    <t>GO:0005886,GO:0005524,GO:0030544,GO:0046872,GO:0051082,GO:0006457,GO:0009408</t>
  </si>
  <si>
    <t>plasma membrane|ATP binding|Hsp70 protein binding|metal ion binding|unfolded protein binding|protein folding|response to heat</t>
  </si>
  <si>
    <t>J2O13_05G010574</t>
  </si>
  <si>
    <t>1.07E-24</t>
  </si>
  <si>
    <t>7.07E-23</t>
  </si>
  <si>
    <t>GRXC9</t>
  </si>
  <si>
    <t>Glutaredoxin-C9</t>
  </si>
  <si>
    <t>GO:0005737,GO:0005634,GO:0009867,GO:0000122,GO:0009751,GO:0009863</t>
  </si>
  <si>
    <t>cytoplasm|nucleus|jasmonic acid mediated signaling pathway|negative regulation of transcription by RNA polymerase II|response to salicylic acid|salicylic acid mediated signaling pathway</t>
  </si>
  <si>
    <t>J2O13_05G010575</t>
  </si>
  <si>
    <t>1.02E-19</t>
  </si>
  <si>
    <t>4.36E-18</t>
  </si>
  <si>
    <t>MLO12</t>
  </si>
  <si>
    <t>MLO-like protein 12</t>
  </si>
  <si>
    <t>GO:0005886,GO:0005516,GO:0006952,GO:0050832,GO:0010150</t>
  </si>
  <si>
    <t>plasma membrane|calmodulin binding|defense response|defense response to fungus|leaf senescence</t>
  </si>
  <si>
    <t>J2O13_05G010587</t>
  </si>
  <si>
    <t>4.26E-06</t>
  </si>
  <si>
    <t>RABA1F</t>
  </si>
  <si>
    <t>Ras-related protein RABA1f</t>
  </si>
  <si>
    <t>ko04144,ko04972,ko04962,ko04961,ko05164</t>
  </si>
  <si>
    <t>Endocytosis|Pancreatic secretion|Vasopressin-regulated water reabsorption|Endocrine and other factor-regulated calcium reabsorption|Influenza A</t>
  </si>
  <si>
    <t>GO:0005768,GO:0005886,GO:0005525,GO:0003924,GO:0015031,GO:0016192</t>
  </si>
  <si>
    <t>endosome|plasma membrane|GTP binding|GTPase activity|protein transport|vesicle-mediated transport</t>
  </si>
  <si>
    <t>J2O13_05G010588</t>
  </si>
  <si>
    <t>J2O13_05G010598</t>
  </si>
  <si>
    <t>7.49E-05</t>
  </si>
  <si>
    <t>At5g45950</t>
  </si>
  <si>
    <t>GDSL esterase/lipase At5g45950</t>
  </si>
  <si>
    <t>J2O13_05G010600</t>
  </si>
  <si>
    <t>3.23E-14</t>
  </si>
  <si>
    <t>7.28E-13</t>
  </si>
  <si>
    <t>PER19</t>
  </si>
  <si>
    <t>Peroxidase 19</t>
  </si>
  <si>
    <t>J2O13_05G010609</t>
  </si>
  <si>
    <t>8.98E-06</t>
  </si>
  <si>
    <t>ATL41</t>
  </si>
  <si>
    <t>E3 ubiquitin-protein ligase ATL41</t>
  </si>
  <si>
    <t>J2O13_05G010614</t>
  </si>
  <si>
    <t>At4g18490</t>
  </si>
  <si>
    <t>Uncharacterized protein At4g18490</t>
  </si>
  <si>
    <t>J2O13_05G010619</t>
  </si>
  <si>
    <t>At5g45920</t>
  </si>
  <si>
    <t>GDSL esterase/lipase At5g45920</t>
  </si>
  <si>
    <t>GO:0016787,GO:0016042</t>
  </si>
  <si>
    <t>hydrolase activity|lipid catabolic process</t>
  </si>
  <si>
    <t>J2O13_05G010622</t>
  </si>
  <si>
    <t>4.55E-12</t>
  </si>
  <si>
    <t>7.69E-11</t>
  </si>
  <si>
    <t>TAX1</t>
  </si>
  <si>
    <t>Signaling peptide TAXIMIN 1</t>
  </si>
  <si>
    <t>GO:0005615,GO:0005886,GO:0048530,GO:0010199,GO:0009416</t>
  </si>
  <si>
    <t>extracellular space|plasma membrane|fruit morphogenesis|organ boundary specification between lateral organs and the meristem|response to light stimulus</t>
  </si>
  <si>
    <t>J2O13_05G010625</t>
  </si>
  <si>
    <t>J2O13_05G010627</t>
  </si>
  <si>
    <t>Os01g0652300</t>
  </si>
  <si>
    <t>Phospholipase A1-II 4</t>
  </si>
  <si>
    <t>GO:0005737,GO:0008970,GO:0016042</t>
  </si>
  <si>
    <t>cytoplasm|phospholipase A1 activity|lipid catabolic process</t>
  </si>
  <si>
    <t>J2O13_05G010632</t>
  </si>
  <si>
    <t>3.23E-20</t>
  </si>
  <si>
    <t>1.45E-18</t>
  </si>
  <si>
    <t>RPL34</t>
  </si>
  <si>
    <t>50S ribosomal protein L34, chloroplastic</t>
  </si>
  <si>
    <t>GO:0009507,GO:0005762,GO:0019843,GO:0003735,GO:0006412</t>
  </si>
  <si>
    <t>chloroplast|mitochondrial large ribosomal subunit|rRNA binding|structural constituent of ribosome|translation</t>
  </si>
  <si>
    <t>J2O13_05G010636</t>
  </si>
  <si>
    <t>4.04E-08</t>
  </si>
  <si>
    <t>3.80E-07</t>
  </si>
  <si>
    <t>PUB45</t>
  </si>
  <si>
    <t>U-box domain-containing protein 45</t>
  </si>
  <si>
    <t>GO:0005737,GO:0005634,GO:0070696,GO:0004842,GO:0016567</t>
  </si>
  <si>
    <t>cytoplasm|nucleus|transmembrane receptor protein serine/threonine kinase binding|ubiquitin-protein transferase activity|protein ubiquitination</t>
  </si>
  <si>
    <t>J2O13_05G010638</t>
  </si>
  <si>
    <t>1.50E-05</t>
  </si>
  <si>
    <t>8.52E-05</t>
  </si>
  <si>
    <t>J2O13_05G010640</t>
  </si>
  <si>
    <t>1.06E-07</t>
  </si>
  <si>
    <t>9.18E-07</t>
  </si>
  <si>
    <t>LYK5</t>
  </si>
  <si>
    <t>Protein LYK5</t>
  </si>
  <si>
    <t>GO:0005886,GO:0005524,GO:0008061,GO:0042803,GO:0004672,GO:0071323,GO:0045087,GO:0006468</t>
  </si>
  <si>
    <t>plasma membrane|ATP binding|chitin binding|protein homodimerization activity|protein kinase activity|cellular response to chitin|innate immune response|protein phosphorylation</t>
  </si>
  <si>
    <t>J2O13_05G010643</t>
  </si>
  <si>
    <t>2.58E-23</t>
  </si>
  <si>
    <t>1.52E-21</t>
  </si>
  <si>
    <t>SAG12</t>
  </si>
  <si>
    <t>Senescence-specific cysteine protease SAG12</t>
  </si>
  <si>
    <t>GO:0005615,GO:0005764,GO:0010282,GO:0004197,GO:0007568,GO:0050832,GO:0080187,GO:0010150,GO:0009626,GO:0010623,GO:0051603,GO:0009733,GO:0009735,GO:0009750,GO:0009749,GO:0009744,GO:0010224,GO:1990169</t>
  </si>
  <si>
    <t>extracellular space|lysosome|senescence-associated vacuole|cysteine-type endopeptidase activity|aging|defense response to fungus|floral organ senescence|leaf senescence|plant-type hypersensitive response|programmed cell death involved in cell development|proteolysis involved in protein catabolic process|response to auxin|response to cytokinin|response to fructose|response to glucose|response to sucrose|response to UV-B|stress response to copper ion</t>
  </si>
  <si>
    <t>J2O13_05G010645</t>
  </si>
  <si>
    <t>HIPP28</t>
  </si>
  <si>
    <t>Heavy metal-associated isoprenylated plant protein 28</t>
  </si>
  <si>
    <t>J2O13_05G010665</t>
  </si>
  <si>
    <t>8.57E-06</t>
  </si>
  <si>
    <t>MOF1</t>
  </si>
  <si>
    <t>Myb family transcription factor MOF1</t>
  </si>
  <si>
    <t>GO:0005634,GO:0003677,GO:0003700,GO:0030154,GO:0010582,GO:0010629,GO:0006355</t>
  </si>
  <si>
    <t>nucleus|DNA binding|DNA-binding transcription factor activity|cell differentiation|floral meristem determinacy|negative regulation of gene expression|regulation of DNA-templated transcription</t>
  </si>
  <si>
    <t>J2O13_05G010679</t>
  </si>
  <si>
    <t>NAT2</t>
  </si>
  <si>
    <t>Nucleobase-ascorbate transporter 2</t>
  </si>
  <si>
    <t>GO:0016020,GO:0022857,GO:0071702</t>
  </si>
  <si>
    <t>membrane|transmembrane transporter activity|organic substance transport</t>
  </si>
  <si>
    <t>J2O13_05G010687</t>
  </si>
  <si>
    <t>DOT4</t>
  </si>
  <si>
    <t>Pentatricopeptide repeat-containing protein DOT4, chloroplastic</t>
  </si>
  <si>
    <t>GO:0009507,GO:0003723,GO:0008270,GO:1900865,GO:0010588,GO:0048366,GO:0010305,GO:0006397,GO:0010087</t>
  </si>
  <si>
    <t>chloroplast|RNA binding|zinc ion binding|chloroplast RNA modification|cotyledon vascular tissue pattern formation|leaf development|leaf vascular tissue pattern formation|mRNA processing|phloem or xylem histogenesis</t>
  </si>
  <si>
    <t>J2O13_05G010707</t>
  </si>
  <si>
    <t>CEP14</t>
  </si>
  <si>
    <t>Precursor of CEP14</t>
  </si>
  <si>
    <t>GO:0048046,GO:0005179,GO:0006995,GO:1902025,GO:2000280,GO:0010037,GO:0006970</t>
  </si>
  <si>
    <t>apoplast|hormone activity|cellular response to nitrogen starvation|nitrate import|regulation of root development|response to carbon dioxide|response to osmotic stress</t>
  </si>
  <si>
    <t>J2O13_05G010718</t>
  </si>
  <si>
    <t>J2O13_05G010720</t>
  </si>
  <si>
    <t>5.41E-05</t>
  </si>
  <si>
    <t>SD25</t>
  </si>
  <si>
    <t>G-type lectin S-receptor-like serine/threonine-protein kinase SD2-5</t>
  </si>
  <si>
    <t>GO:0005886,GO:0005524,GO:0005516,GO:0030246,GO:0004672,GO:0106310,GO:0004674,GO:0031625,GO:0046777</t>
  </si>
  <si>
    <t>plasma membrane|ATP binding|calmodulin binding|carbohydrate binding|protein kinase activity|protein serine kinase activity|protein serine/threonine kinase activity|ubiquitin protein ligase binding|protein autophosphorylation</t>
  </si>
  <si>
    <t>J2O13_05G010724</t>
  </si>
  <si>
    <t>1.95E-12</t>
  </si>
  <si>
    <t>BEH4</t>
  </si>
  <si>
    <t>BES1/BZR1 homolog protein 4</t>
  </si>
  <si>
    <t>GO:0003677,GO:0003700,GO:0009742,GO:0006355</t>
  </si>
  <si>
    <t>DNA binding|DNA-binding transcription factor activity|brassinosteroid mediated signaling pathway|regulation of DNA-templated transcription</t>
  </si>
  <si>
    <t>J2O13_05G010744</t>
  </si>
  <si>
    <t>AG1</t>
  </si>
  <si>
    <t>Floral homeotic protein AGAMOUS</t>
  </si>
  <si>
    <t>GO:0005634,GO:0003700,GO:0046983,GO:0000977,GO:0045944</t>
  </si>
  <si>
    <t>nucleus|DNA-binding transcription factor activity|protein dimerization activity|RNA polymerase II transcription regulatory region sequence-specific DNA binding|positive regulation of transcription by RNA polymerase II</t>
  </si>
  <si>
    <t>J2O13_05G010745</t>
  </si>
  <si>
    <t>4.60E-05</t>
  </si>
  <si>
    <t>At1g29670</t>
  </si>
  <si>
    <t>GDSL esterase/lipase At1g29670</t>
  </si>
  <si>
    <t>GO:0048046,GO:0009534,GO:0005634,GO:0016788,GO:0016042</t>
  </si>
  <si>
    <t>apoplast|chloroplast thylakoid|nucleus|hydrolase activity, acting on ester bonds|lipid catabolic process</t>
  </si>
  <si>
    <t>J2O13_05G010746</t>
  </si>
  <si>
    <t>9.64E-05</t>
  </si>
  <si>
    <t>J2O13_05G010749</t>
  </si>
  <si>
    <t>5.38E-12</t>
  </si>
  <si>
    <t>8.98E-11</t>
  </si>
  <si>
    <t>TPS1</t>
  </si>
  <si>
    <t>Alpha,alpha-trehalose-phosphate synthase [UDP-forming] 1</t>
  </si>
  <si>
    <t>GO:0005576,GO:0005634,GO:0005773,GO:0003825,GO:0051301,GO:0080186,GO:0009793,GO:0048574,GO:0009832,GO:0048364,GO:0010182,GO:0005992,GO:0005991,GO:0070413</t>
  </si>
  <si>
    <t>extracellular region|nucleus|vacuole|alpha,alpha-trehalose-phosphate synthase (UDP-forming) activity|cell division|developmental vegetative growth|embryo development ending in seed dormancy|long-day photoperiodism, flowering|plant-type cell wall biogenesis|root development|sugar mediated signaling pathway|trehalose biosynthetic process|trehalose metabolic process|trehalose metabolism in response to stress</t>
  </si>
  <si>
    <t>J2O13_05G010750</t>
  </si>
  <si>
    <t>8.23E-05</t>
  </si>
  <si>
    <t>SBT5.6</t>
  </si>
  <si>
    <t>Subtilisin-like protease SBT5.6</t>
  </si>
  <si>
    <t>GO:0005576,GO:0004252,GO:0006508</t>
  </si>
  <si>
    <t>extracellular region|serine-type endopeptidase activity|proteolysis</t>
  </si>
  <si>
    <t>J2O13_05G010755</t>
  </si>
  <si>
    <t>8.03E-12</t>
  </si>
  <si>
    <t>1.31E-10</t>
  </si>
  <si>
    <t>TPP2</t>
  </si>
  <si>
    <t>Probable thylakoidal processing peptidase 2, chloroplastic</t>
  </si>
  <si>
    <t>ko03060</t>
  </si>
  <si>
    <t>Protein export</t>
  </si>
  <si>
    <t>GO:0009535,GO:0005886,GO:0004252,GO:0006465,GO:0010027</t>
  </si>
  <si>
    <t>chloroplast thylakoid membrane|plasma membrane|serine-type endopeptidase activity|signal peptide processing|thylakoid membrane organization</t>
  </si>
  <si>
    <t>J2O13_05G010758</t>
  </si>
  <si>
    <t>1.79E-09</t>
  </si>
  <si>
    <t>F7ODM1</t>
  </si>
  <si>
    <t>Oxoglutarate-dependent flavonoid 7-O-demethylase 1</t>
  </si>
  <si>
    <t>GO:0005737,GO:0016706,GO:0046872,GO:0009805,GO:0002238</t>
  </si>
  <si>
    <t>cytoplasm|2-oxoglutarate-dependent dioxygenase activity|metal ion binding|coumarin biosynthetic process|response to molecule of fungal origin</t>
  </si>
  <si>
    <t>J2O13_05G010759</t>
  </si>
  <si>
    <t>2.85E-18</t>
  </si>
  <si>
    <t>1.05E-16</t>
  </si>
  <si>
    <t>J2O13_05G010760</t>
  </si>
  <si>
    <t>2.58E-10</t>
  </si>
  <si>
    <t>3.39E-09</t>
  </si>
  <si>
    <t>J2O13_05G010762</t>
  </si>
  <si>
    <t>3.93E-17</t>
  </si>
  <si>
    <t>1.26E-15</t>
  </si>
  <si>
    <t>J2O13_05G010763</t>
  </si>
  <si>
    <t>J2O13_05G010776</t>
  </si>
  <si>
    <t>2.55E-06</t>
  </si>
  <si>
    <t>COR413IM1</t>
  </si>
  <si>
    <t>Cold-regulated 413 inner membrane protein 1, chloroplastic</t>
  </si>
  <si>
    <t>GO:0009507,GO:0009941,GO:0009706,GO:0009535,GO:0070417,GO:0042631,GO:0009631,GO:0009737</t>
  </si>
  <si>
    <t>chloroplast|chloroplast envelope|chloroplast inner membrane|chloroplast thylakoid membrane|cellular response to cold|cellular response to water deprivation|cold acclimation|response to abscisic acid</t>
  </si>
  <si>
    <t>J2O13_05G010778</t>
  </si>
  <si>
    <t>1.93E-42</t>
  </si>
  <si>
    <t>5.28E-40</t>
  </si>
  <si>
    <t>CTPA1</t>
  </si>
  <si>
    <t>Carboxyl-terminal-processing peptidase 1, chloroplastic</t>
  </si>
  <si>
    <t>GO:0009543,GO:0031977,GO:0004175,GO:0004252,GO:0006508</t>
  </si>
  <si>
    <t>chloroplast thylakoid lumen|thylakoid lumen|endopeptidase activity|serine-type endopeptidase activity|proteolysis</t>
  </si>
  <si>
    <t>J2O13_05G010788</t>
  </si>
  <si>
    <t>1.42E-20</t>
  </si>
  <si>
    <t>6.61E-19</t>
  </si>
  <si>
    <t>WRKY28</t>
  </si>
  <si>
    <t>WRKY transcription factor 28</t>
  </si>
  <si>
    <t>GO:0005634,GO:0003700,GO:0043565,GO:1900057,GO:0042659</t>
  </si>
  <si>
    <t>nucleus|DNA-binding transcription factor activity|sequence-specific DNA binding|positive regulation of leaf senescence|regulation of cell fate specification</t>
  </si>
  <si>
    <t>J2O13_05G010800</t>
  </si>
  <si>
    <t>1.33E-15</t>
  </si>
  <si>
    <t>3.57E-14</t>
  </si>
  <si>
    <t>J2O13_05G010816</t>
  </si>
  <si>
    <t>At4g18260</t>
  </si>
  <si>
    <t>Cytochrome b561 domain-containing protein At4g18260</t>
  </si>
  <si>
    <t>GO:0016020,GO:0020037,GO:0046872,GO:0016491,GO:0140575</t>
  </si>
  <si>
    <t>membrane|heme binding|metal ion binding|oxidoreductase activity|transmembrane monodehydroascorbate reductase activity</t>
  </si>
  <si>
    <t>J2O13_05G010824</t>
  </si>
  <si>
    <t>7.05E-05</t>
  </si>
  <si>
    <t>KAT2</t>
  </si>
  <si>
    <t>Potassium channel KAT2</t>
  </si>
  <si>
    <t>GO:0016020,GO:0005249,GO:0007623,GO:0034765,GO:0009644,GO:0010118</t>
  </si>
  <si>
    <t>membrane|voltage-gated potassium channel activity|circadian rhythm|regulation of ion transmembrane transport|response to high light intensity|stomatal movement</t>
  </si>
  <si>
    <t>J2O13_05G010832</t>
  </si>
  <si>
    <t>4.58E-11</t>
  </si>
  <si>
    <t>6.73E-10</t>
  </si>
  <si>
    <t>GA2OX1</t>
  </si>
  <si>
    <t>Gibberellin 2-beta-dioxygenase</t>
  </si>
  <si>
    <t>GO:0052634,GO:0046872,GO:0009686</t>
  </si>
  <si>
    <t>C-19 gibberellin 2-beta-dioxygenase activity|metal ion binding|gibberellin biosynthetic process</t>
  </si>
  <si>
    <t>J2O13_05G010844</t>
  </si>
  <si>
    <t>6.55E-12</t>
  </si>
  <si>
    <t>1.08E-10</t>
  </si>
  <si>
    <t>OSCBPY</t>
  </si>
  <si>
    <t>Beta-amyrin synthase</t>
  </si>
  <si>
    <t>GO:0005811,GO:0042300,GO:0019745</t>
  </si>
  <si>
    <t>lipid droplet|beta-amyrin synthase activity|pentacyclic triterpenoid biosynthetic process</t>
  </si>
  <si>
    <t>J2O13_05G010848</t>
  </si>
  <si>
    <t>5.15E-19</t>
  </si>
  <si>
    <t>NCED2</t>
  </si>
  <si>
    <t>9-cis-epoxycarotenoid dioxygenase NCED2, chloroplastic</t>
  </si>
  <si>
    <t>GO:0009570,GO:0045549,GO:0010436,GO:0046872,GO:0009688,GO:0016121,GO:0009737,GO:0009414</t>
  </si>
  <si>
    <t>chloroplast stroma|9-cis-epoxycarotenoid dioxygenase activity|carotenoid dioxygenase activity|metal ion binding|abscisic acid biosynthetic process|carotene catabolic process|response to abscisic acid|response to water deprivation</t>
  </si>
  <si>
    <t>J2O13_05G010851</t>
  </si>
  <si>
    <t>6.81E-07</t>
  </si>
  <si>
    <t>5.06E-06</t>
  </si>
  <si>
    <t>TIFY5A</t>
  </si>
  <si>
    <t>Protein TIFY 5A</t>
  </si>
  <si>
    <t>J2O13_05G010853</t>
  </si>
  <si>
    <t>8.71E-06</t>
  </si>
  <si>
    <t>Glycolate oxidase OS=Spinacia oleracea OX=3562 PE=1 SV=1</t>
  </si>
  <si>
    <t>ko00630,ko04146</t>
  </si>
  <si>
    <t>Glyoxylate and dicarboxylate metabolism|Peroxisome</t>
  </si>
  <si>
    <t>GO:0005777,GO:0003973,GO:0010181,GO:0009854,GO:0051707</t>
  </si>
  <si>
    <t>peroxisome|(S)-2-hydroxy-acid oxidase activity|FMN binding|oxidative photosynthetic carbon pathway|response to other organism</t>
  </si>
  <si>
    <t>J2O13_05G010855</t>
  </si>
  <si>
    <t>J2O13_05G010856</t>
  </si>
  <si>
    <t>2.69E-06</t>
  </si>
  <si>
    <t>DEGP5</t>
  </si>
  <si>
    <t>Protease Do-like 5, chloroplastic</t>
  </si>
  <si>
    <t>GO:0009507,GO:0009543,GO:0005829,GO:0009579,GO:0031977,GO:0004252,GO:0010206,GO:0006508</t>
  </si>
  <si>
    <t>chloroplast|chloroplast thylakoid lumen|cytosol|thylakoid|thylakoid lumen|serine-type endopeptidase activity|photosystem II repair|proteolysis</t>
  </si>
  <si>
    <t>J2O13_05G010864</t>
  </si>
  <si>
    <t>6.65E-42</t>
  </si>
  <si>
    <t>1.69E-39</t>
  </si>
  <si>
    <t>INT2</t>
  </si>
  <si>
    <t>Probable inositol transporter 2</t>
  </si>
  <si>
    <t>GO:0016020,GO:0005886,GO:0090406,GO:0005366,GO:0022857,GO:0015798,GO:0023052,GO:0055085</t>
  </si>
  <si>
    <t>membrane|plasma membrane|pollen tube|myo-inositol:proton symporter activity|transmembrane transporter activity|myo-inositol transport|signaling|transmembrane transport</t>
  </si>
  <si>
    <t>J2O13_05G010877</t>
  </si>
  <si>
    <t>J2O13_05G010878</t>
  </si>
  <si>
    <t>3.63E-24</t>
  </si>
  <si>
    <t>2.32E-22</t>
  </si>
  <si>
    <t>J2O13_05G010894</t>
  </si>
  <si>
    <t>HIPP20</t>
  </si>
  <si>
    <t>Heavy metal-associated isoprenylated plant protein 20</t>
  </si>
  <si>
    <t>GO:0016020,GO:0046872,GO:0055073,GO:0071585</t>
  </si>
  <si>
    <t>membrane|metal ion binding|cadmium ion homeostasis|detoxification of cadmium ion</t>
  </si>
  <si>
    <t>J2O13_05G010895</t>
  </si>
  <si>
    <t>HIPP37</t>
  </si>
  <si>
    <t>Heavy metal-associated isoprenylated plant protein 37</t>
  </si>
  <si>
    <t>J2O13_05G010897</t>
  </si>
  <si>
    <t>1.57E-08</t>
  </si>
  <si>
    <t>LPR1</t>
  </si>
  <si>
    <t>Multicopper oxidase LPR1</t>
  </si>
  <si>
    <t>GO:0005783,GO:0005789,GO:0005507,GO:0016491,GO:0016682,GO:0016036,GO:0010073</t>
  </si>
  <si>
    <t>endoplasmic reticulum|endoplasmic reticulum membrane|copper ion binding|oxidoreductase activity|oxidoreductase activity, acting on diphenols and related substances as donors, oxygen as acceptor|cellular response to phosphate starvation|meristem maintenance</t>
  </si>
  <si>
    <t>J2O13_05G010898</t>
  </si>
  <si>
    <t>2.69E-09</t>
  </si>
  <si>
    <t>MYB308</t>
  </si>
  <si>
    <t>Myb-related protein 308</t>
  </si>
  <si>
    <t>GO:0005634,GO:0003677</t>
  </si>
  <si>
    <t>nucleus|DNA binding</t>
  </si>
  <si>
    <t>J2O13_05G010900</t>
  </si>
  <si>
    <t>At1g66480</t>
  </si>
  <si>
    <t>Uncharacterized protein At1g66480</t>
  </si>
  <si>
    <t>GO:0009620</t>
  </si>
  <si>
    <t>response to fungus</t>
  </si>
  <si>
    <t>J2O13_05G010904</t>
  </si>
  <si>
    <t>8.14E-05</t>
  </si>
  <si>
    <t>J2O13_05G010919</t>
  </si>
  <si>
    <t>J2O13_05G010926</t>
  </si>
  <si>
    <t>8.31E-06</t>
  </si>
  <si>
    <t>5.00E-05</t>
  </si>
  <si>
    <t>J2O13_05G010928</t>
  </si>
  <si>
    <t>4.33E-05</t>
  </si>
  <si>
    <t>J2O13_05G010930</t>
  </si>
  <si>
    <t>1.44E-40</t>
  </si>
  <si>
    <t>MLP34</t>
  </si>
  <si>
    <t>MLP-like protein 34</t>
  </si>
  <si>
    <t>GO:0006952</t>
  </si>
  <si>
    <t>defense response</t>
  </si>
  <si>
    <t>J2O13_05G010931</t>
  </si>
  <si>
    <t>7.57E-06</t>
  </si>
  <si>
    <t>J2O13_05G010932</t>
  </si>
  <si>
    <t>5.86E-41</t>
  </si>
  <si>
    <t>1.47E-38</t>
  </si>
  <si>
    <t>MLP31</t>
  </si>
  <si>
    <t>MLP-like protein 31</t>
  </si>
  <si>
    <t>J2O13_05G010933</t>
  </si>
  <si>
    <t>2.95E-07</t>
  </si>
  <si>
    <t>2.35E-06</t>
  </si>
  <si>
    <t>J2O13_05G010934</t>
  </si>
  <si>
    <t>7.39E-06</t>
  </si>
  <si>
    <t>J2O13_05G010935</t>
  </si>
  <si>
    <t>1.78E-05</t>
  </si>
  <si>
    <t>CAR10</t>
  </si>
  <si>
    <t>Protein C2-DOMAIN ABA-RELATED 10</t>
  </si>
  <si>
    <t>GO:0005634,GO:0000325,GO:0005886,GO:0005096,GO:0046872,GO:0005543,GO:0009738,GO:0009789,GO:0043547</t>
  </si>
  <si>
    <t>nucleus|plant-type vacuole|plasma membrane|GTPase activator activity|metal ion binding|phospholipid binding|abscisic acid-activated signaling pathway|positive regulation of abscisic acid-activated signaling pathway|positive regulation of GTPase activity</t>
  </si>
  <si>
    <t>J2O13_05G010942</t>
  </si>
  <si>
    <t>8.17E-07</t>
  </si>
  <si>
    <t>5.98E-06</t>
  </si>
  <si>
    <t>ndhL</t>
  </si>
  <si>
    <t>NAD(P)H-quinone oxidoreductase subunit L, chloroplastic</t>
  </si>
  <si>
    <t>GO:0009535,GO:0010598,GO:0042651,GO:0016655,GO:0048038,GO:0010258,GO:0009773</t>
  </si>
  <si>
    <t>chloroplast thylakoid membrane|NAD(P)H dehydrogenase complex (plastoquinone)|thylakoid membrane|oxidoreductase activity, acting on NAD(P)H, quinone or similar compound as acceptor|quinone binding|NADH dehydrogenase complex (plastoquinone) assembly|photosynthetic electron transport in photosystem I</t>
  </si>
  <si>
    <t>J2O13_05G010948</t>
  </si>
  <si>
    <t>7.95E-07</t>
  </si>
  <si>
    <t>5.84E-06</t>
  </si>
  <si>
    <t>HMG-Y-related protein A OS=Glycine max OX=3847 PE=2 SV=1</t>
  </si>
  <si>
    <t>GO:0005730,GO:0000786,GO:0005634,GO:0003690,GO:0008168,GO:0031492,GO:0030261,GO:0045910,GO:0006334,GO:0006355</t>
  </si>
  <si>
    <t>nucleolus|nucleosome|nucleus|double-stranded DNA binding|methyltransferase activity|nucleosomal DNA binding|chromosome condensation|negative regulation of DNA recombination|nucleosome assembly|regulation of DNA-templated transcription</t>
  </si>
  <si>
    <t>J2O13_05G010952</t>
  </si>
  <si>
    <t>1.64E-05</t>
  </si>
  <si>
    <t>9.22E-05</t>
  </si>
  <si>
    <t>PMEI7</t>
  </si>
  <si>
    <t>Pectinesterase inhibitor 7</t>
  </si>
  <si>
    <t>GO:0048046,GO:0004857,GO:0046910,GO:0043086,GO:0009641</t>
  </si>
  <si>
    <t>apoplast|enzyme inhibitor activity|pectinesterase inhibitor activity|negative regulation of catalytic activity|shade avoidance</t>
  </si>
  <si>
    <t>J2O13_05G010953</t>
  </si>
  <si>
    <t>CEL1</t>
  </si>
  <si>
    <t>Endoglucanase 8</t>
  </si>
  <si>
    <t>GO:0009507,GO:0005576,GO:0008810,GO:0042547,GO:0030245</t>
  </si>
  <si>
    <t>chloroplast|extracellular region|cellulase activity|cell wall modification involved in multidimensional cell growth|cellulose catabolic process</t>
  </si>
  <si>
    <t>J2O13_05G010962</t>
  </si>
  <si>
    <t>PDS5E</t>
  </si>
  <si>
    <t>Sister chromatid cohesion protein PDS5 homolog E</t>
  </si>
  <si>
    <t>GO:0000785,GO:0005634,GO:0009506,GO:0051301,GO:0006310,GO:0006281,GO:0035825,GO:0009556,GO:0007064</t>
  </si>
  <si>
    <t>chromatin|nucleus|plasmodesma|cell division|DNA recombination|DNA repair|homologous recombination|microsporogenesis|mitotic sister chromatid cohesion</t>
  </si>
  <si>
    <t>J2O13_05G010963</t>
  </si>
  <si>
    <t>CBP60B</t>
  </si>
  <si>
    <t>Calmodulin-binding protein 60 B</t>
  </si>
  <si>
    <t>GO:0005634,GO:0005516,GO:0003700,GO:0043565,GO:0080142</t>
  </si>
  <si>
    <t>nucleus|calmodulin binding|DNA-binding transcription factor activity|sequence-specific DNA binding|regulation of salicylic acid biosynthetic process</t>
  </si>
  <si>
    <t>J2O13_05G010971</t>
  </si>
  <si>
    <t>1.90E-08</t>
  </si>
  <si>
    <t>PERK8</t>
  </si>
  <si>
    <t>Proline-rich receptor-like protein kinase PERK8</t>
  </si>
  <si>
    <t>GO:0005886,GO:0005524,GO:0019901,GO:0106310,GO:0004674,GO:0006468</t>
  </si>
  <si>
    <t>plasma membrane|ATP binding|protein kinase binding|protein serine kinase activity|protein serine/threonine kinase activity|protein phosphorylation</t>
  </si>
  <si>
    <t>J2O13_05G010982</t>
  </si>
  <si>
    <t>J2O13_05G011000</t>
  </si>
  <si>
    <t>4.14E-17</t>
  </si>
  <si>
    <t>1.32E-15</t>
  </si>
  <si>
    <t>RGA4</t>
  </si>
  <si>
    <t>Putative disease resistance protein RGA4</t>
  </si>
  <si>
    <t>J2O13_05G011003</t>
  </si>
  <si>
    <t>1.63E-20</t>
  </si>
  <si>
    <t>7.53E-19</t>
  </si>
  <si>
    <t>J2O13_05G011005</t>
  </si>
  <si>
    <t>9.52E-10</t>
  </si>
  <si>
    <t>1.15E-08</t>
  </si>
  <si>
    <t>ycf2-A</t>
  </si>
  <si>
    <t>Protein Ycf2</t>
  </si>
  <si>
    <t>GO:0009570,GO:0005524,GO:0016887</t>
  </si>
  <si>
    <t>chloroplast stroma|ATP binding|ATP hydrolysis activity</t>
  </si>
  <si>
    <t>J2O13_05G011006</t>
  </si>
  <si>
    <t>1.55E-09</t>
  </si>
  <si>
    <t>J2O13_05G011010</t>
  </si>
  <si>
    <t>2.81E-08</t>
  </si>
  <si>
    <t>J2O13_05G011011</t>
  </si>
  <si>
    <t>AOC</t>
  </si>
  <si>
    <t>Allene oxide cyclase, chloroplastic</t>
  </si>
  <si>
    <t>GO:0009507,GO:0046423,GO:0009734,GO:0007623,GO:0050832,GO:0080186,GO:0009908,GO:0009864,GO:0009695,GO:0048573,GO:1900367,GO:0009737,GO:0009646,GO:0009637,GO:0009723,GO:0010218,GO:0042542,GO:0009625,GO:0010038,GO:0010114,GO:0009751,GO:0009651,GO:0033274,GO:0009611,GO:0006636</t>
  </si>
  <si>
    <t>chloroplast|allene-oxide cyclase activity|auxin-activated signaling pathway|circadian rhythm|defense response to fungus|developmental vegetative growth|flower development|induced systemic resistance, jasmonic acid mediated signaling pathway|jasmonic acid biosynthetic process|photoperiodism, flowering|positive regulation of defense response to insect|response to abscisic acid|response to absence of light|response to blue light|response to ethylene|response to far red light|response to hydrogen peroxide|response to insect|response to metal ion|response to red light|response to salicylic acid|response to salt stress|response to vitamin B2|response to wounding|unsaturated fatty acid biosynthetic process</t>
  </si>
  <si>
    <t>J2O13_05G011041</t>
  </si>
  <si>
    <t>7.15E-25</t>
  </si>
  <si>
    <t>4.94E-23</t>
  </si>
  <si>
    <t>CYP79D16</t>
  </si>
  <si>
    <t>Phenylalanine N-monooxygenase CYP79D16</t>
  </si>
  <si>
    <t>GO:0020037,GO:0005506,GO:0102684</t>
  </si>
  <si>
    <t>heme binding|iron ion binding|L-phenylalanine N-monooxygenase activity</t>
  </si>
  <si>
    <t>J2O13_05G011055</t>
  </si>
  <si>
    <t>9.79E-41</t>
  </si>
  <si>
    <t>2.39E-38</t>
  </si>
  <si>
    <t>J2O13_05G011068</t>
  </si>
  <si>
    <t>CYP735A1</t>
  </si>
  <si>
    <t>Cytokinin hydroxylase</t>
  </si>
  <si>
    <t>GO:0016020,GO:0099503,GO:0020037,GO:0005506,GO:0004497,GO:0016705,GO:0033466</t>
  </si>
  <si>
    <t>membrane|secretory vesicle|heme binding|iron ion binding|monooxygenase activity|oxidoreductase activity, acting on paired donors, with incorporation or reduction of molecular oxygen|trans-zeatin biosynthetic process</t>
  </si>
  <si>
    <t>J2O13_05G011070</t>
  </si>
  <si>
    <t>J2O13_05G011077</t>
  </si>
  <si>
    <t>2.55E-07</t>
  </si>
  <si>
    <t>2.05E-06</t>
  </si>
  <si>
    <t>J2O13_05G011080</t>
  </si>
  <si>
    <t>J2O13_05G011091</t>
  </si>
  <si>
    <t>6.15E-10</t>
  </si>
  <si>
    <t>7.63E-09</t>
  </si>
  <si>
    <t>J2O13_05G011114</t>
  </si>
  <si>
    <t>8.32E-07</t>
  </si>
  <si>
    <t>6.08E-06</t>
  </si>
  <si>
    <t>LRK10L-1.3</t>
  </si>
  <si>
    <t>LEAF RUST 10 DISEASE-RESISTANCE LOCUS RECEPTOR-LIKE PROTEIN KINASE-like 1.3</t>
  </si>
  <si>
    <t>GO:0005886,GO:0005524,GO:0030247,GO:0106310,GO:0004674,GO:0046777</t>
  </si>
  <si>
    <t>plasma membrane|ATP binding|polysaccharide binding|protein serine kinase activity|protein serine/threonine kinase activity|protein autophosphorylation</t>
  </si>
  <si>
    <t>J2O13_05G011119</t>
  </si>
  <si>
    <t>3.42E-07</t>
  </si>
  <si>
    <t>2.70E-06</t>
  </si>
  <si>
    <t>GAT1_2.1</t>
  </si>
  <si>
    <t>Putative glutamine amidotransferase GAT1_2.1</t>
  </si>
  <si>
    <t>GO:0016811,GO:0016740,GO:0006541,GO:2000032</t>
  </si>
  <si>
    <t>hydrolase activity, acting on carbon-nitrogen (but not peptide) bonds, in linear amides|transferase activity|glutamine metabolic process|regulation of secondary shoot formation</t>
  </si>
  <si>
    <t>J2O13_05G011138</t>
  </si>
  <si>
    <t>J2O13_05G011142</t>
  </si>
  <si>
    <t>MPH1</t>
  </si>
  <si>
    <t>Myb family transcription factor MPH1</t>
  </si>
  <si>
    <t>J2O13_05G011152</t>
  </si>
  <si>
    <t>3.97E-06</t>
  </si>
  <si>
    <t>FTSH2</t>
  </si>
  <si>
    <t>ATP-dependent zinc metalloprotease FTSH 2, chloroplastic</t>
  </si>
  <si>
    <t>GO:0009507,GO:0009941,GO:0009534,GO:0009535,GO:0005777,GO:0009579,GO:0031977,GO:0005524,GO:0016887,GO:0004176,GO:0046872,GO:0004222,GO:0008237,GO:0009658,GO:0010205,GO:0048564,GO:0010206,GO:0030163,GO:0006508,GO:0010304,GO:0072593,GO:0010027</t>
  </si>
  <si>
    <t>chloroplast|chloroplast envelope|chloroplast thylakoid|chloroplast thylakoid membrane|peroxisome|thylakoid|thylakoid lumen|ATP binding|ATP hydrolysis activity|ATP-dependent peptidase activity|metal ion binding|metalloendopeptidase activity|metallopeptidase activity|chloroplast organization|photoinhibition|photosystem I assembly|photosystem II repair|protein catabolic process|proteolysis|PSII associated light-harvesting complex II catabolic process|reactive oxygen species metabolic process|thylakoid membrane organization</t>
  </si>
  <si>
    <t>J2O13_05G011208</t>
  </si>
  <si>
    <t>4.54E-11</t>
  </si>
  <si>
    <t>6.67E-10</t>
  </si>
  <si>
    <t>NPF6.3</t>
  </si>
  <si>
    <t>Protein NRT1/ PTR FAMILY 6.3</t>
  </si>
  <si>
    <t>GO:0016020,GO:0005886,GO:0015112,GO:0015293,GO:0022857,GO:0009734,GO:0010540,GO:0048527,GO:0042128,GO:0015706,GO:0006857,GO:0048573,GO:0009635,GO:0010167,GO:0009414,GO:0055085</t>
  </si>
  <si>
    <t>membrane|plasma membrane|nitrate transmembrane transporter activity|symporter activity|transmembrane transporter activity|auxin-activated signaling pathway|basipetal auxin transport|lateral root development|nitrate assimilation|nitrate transmembrane transport|oligopeptide transport|photoperiodism, flowering|response to herbicide|response to nitrate|response to water deprivation|transmembrane transport</t>
  </si>
  <si>
    <t>J2O13_05G011214</t>
  </si>
  <si>
    <t>1.60E-11</t>
  </si>
  <si>
    <t>2.51E-10</t>
  </si>
  <si>
    <t>WRKY21</t>
  </si>
  <si>
    <t>Probable WRKY transcription factor 21</t>
  </si>
  <si>
    <t>GO:0005634,GO:0005516,GO:0003700,GO:0000976,GO:0019760</t>
  </si>
  <si>
    <t>nucleus|calmodulin binding|DNA-binding transcription factor activity|transcription cis-regulatory region binding|glucosinolate metabolic process</t>
  </si>
  <si>
    <t>J2O13_05G011226</t>
  </si>
  <si>
    <t>INVA</t>
  </si>
  <si>
    <t>Acid beta-fructofuranosidase</t>
  </si>
  <si>
    <t>ko00052,ko00500</t>
  </si>
  <si>
    <t>Galactose metabolism|Starch and sucrose metabolism</t>
  </si>
  <si>
    <t>GO:0016020,GO:0005775,GO:0004564,GO:0005985</t>
  </si>
  <si>
    <t>membrane|vacuolar lumen|beta-fructofuranosidase activity|sucrose metabolic process</t>
  </si>
  <si>
    <t>J2O13_05G011230</t>
  </si>
  <si>
    <t>5.96E-07</t>
  </si>
  <si>
    <t>TL20.3</t>
  </si>
  <si>
    <t>Thylakoid lumenal protein TL20.3, chloroplastic</t>
  </si>
  <si>
    <t>GO:0009507,GO:0009534,GO:0009543,GO:0009535,GO:0005576,GO:0009579</t>
  </si>
  <si>
    <t>chloroplast|chloroplast thylakoid|chloroplast thylakoid lumen|chloroplast thylakoid membrane|extracellular region|thylakoid</t>
  </si>
  <si>
    <t>J2O13_05G011235</t>
  </si>
  <si>
    <t>1.90E-11</t>
  </si>
  <si>
    <t>Glycine-rich RNA-binding protein GRP1A OS=Sinapis alba OX=3728 PE=2 SV=1</t>
  </si>
  <si>
    <t>GO:0005634,GO:0003723</t>
  </si>
  <si>
    <t>nucleus|RNA binding</t>
  </si>
  <si>
    <t>J2O13_05G011241</t>
  </si>
  <si>
    <t>J2O13_05G011254</t>
  </si>
  <si>
    <t>4.86E-12</t>
  </si>
  <si>
    <t>8.18E-11</t>
  </si>
  <si>
    <t>At3g27390</t>
  </si>
  <si>
    <t>Uncharacterized membrane protein At3g27390</t>
  </si>
  <si>
    <t>J2O13_05G011255</t>
  </si>
  <si>
    <t>1.09E-14</t>
  </si>
  <si>
    <t>2.62E-13</t>
  </si>
  <si>
    <t>LPE1</t>
  </si>
  <si>
    <t>Protein LOW PHOTOSYNTHETIC EFFICIENCY 1, chloroplastic</t>
  </si>
  <si>
    <t>GO:0009570,GO:0009535,GO:0003729,GO:0043022,GO:0003723,GO:0008494,GO:0010207,GO:0032544,GO:0009416,GO:0006413</t>
  </si>
  <si>
    <t>chloroplast stroma|chloroplast thylakoid membrane|mRNA binding|ribosome binding|RNA binding|translation activator activity|photosystem II assembly|plastid translation|response to light stimulus|translational initiation</t>
  </si>
  <si>
    <t>J2O13_05G011256</t>
  </si>
  <si>
    <t>5.99E-06</t>
  </si>
  <si>
    <t>BAG2</t>
  </si>
  <si>
    <t>BAG family molecular chaperone regulator 2</t>
  </si>
  <si>
    <t>GO:0000774,GO:0051087,GO:0050821</t>
  </si>
  <si>
    <t>adenyl-nucleotide exchange factor activity|chaperone binding|protein stabilization</t>
  </si>
  <si>
    <t>J2O13_05G011262</t>
  </si>
  <si>
    <t>2.84E-28</t>
  </si>
  <si>
    <t>2.72E-26</t>
  </si>
  <si>
    <t>Pectate lyase OS=Zinnia violacea OX=34245 PE=1 SV=1</t>
  </si>
  <si>
    <t>J2O13_05G011265</t>
  </si>
  <si>
    <t>GPDH</t>
  </si>
  <si>
    <t>Glycerol-3-phosphate dehydrogenase [NAD(+)]</t>
  </si>
  <si>
    <t>ko00564,ko04011</t>
  </si>
  <si>
    <t>Glycerophospholipid metabolism|MAPK signaling pathway - yeast</t>
  </si>
  <si>
    <t>GO:0009331,GO:0047952,GO:0051287,GO:0042803,GO:0005975,GO:0046168</t>
  </si>
  <si>
    <t>glycerol-3-phosphate dehydrogenase complex|glycerol-3-phosphate dehydrogenase [NAD(P)+] activity|NAD binding|protein homodimerization activity|carbohydrate metabolic process|glycerol-3-phosphate catabolic process</t>
  </si>
  <si>
    <t>J2O13_05G011274</t>
  </si>
  <si>
    <t>2.38E-05</t>
  </si>
  <si>
    <t>J2O13_05G011275</t>
  </si>
  <si>
    <t>CYP724B1</t>
  </si>
  <si>
    <t>Cytochrome P450 724B1</t>
  </si>
  <si>
    <t>ko00905</t>
  </si>
  <si>
    <t>Brassinosteroid biosynthesis</t>
  </si>
  <si>
    <t>GO:0016020,GO:0008199,GO:0020037,GO:0004497,GO:0016705,GO:0016132,GO:0006879,GO:0006826,GO:0009647</t>
  </si>
  <si>
    <t>membrane|ferric iron binding|heme binding|monooxygenase activity|oxidoreductase activity, acting on paired donors, with incorporation or reduction of molecular oxygen|brassinosteroid biosynthetic process|cellular iron ion homeostasis|iron ion transport|skotomorphogenesis</t>
  </si>
  <si>
    <t>J2O13_05G011276</t>
  </si>
  <si>
    <t>CYP72A397</t>
  </si>
  <si>
    <t>Cytochrome P450 72A397</t>
  </si>
  <si>
    <t>GO:0016020,GO:0020037,GO:0005506,GO:0016712,GO:0016134</t>
  </si>
  <si>
    <t>membrane|heme binding|iron ion binding|oxidoreductase activity, acting on paired donors, with incorporation or reduction of molecular oxygen, reduced flavin or flavoprotein as one donor, and incorporation of one atom of oxygen|saponin metabolic process</t>
  </si>
  <si>
    <t>J2O13_05G011287</t>
  </si>
  <si>
    <t>7.25E-12</t>
  </si>
  <si>
    <t>1.19E-10</t>
  </si>
  <si>
    <t>GLCAK1</t>
  </si>
  <si>
    <t>Glucuronokinase 1</t>
  </si>
  <si>
    <t>ko00040,ko00053,ko00520</t>
  </si>
  <si>
    <t>Pentose and glucuronate interconversions|Ascorbate and aldarate metabolism|Amino sugar and nucleotide sugar metabolism</t>
  </si>
  <si>
    <t>GO:0005829,GO:0005524,GO:0047940,GO:0046872,GO:0008266,GO:0042546,GO:0006020,GO:0016310,GO:0048868</t>
  </si>
  <si>
    <t>cytosol|ATP binding|glucuronokinase activity|metal ion binding|poly(U) RNA binding|cell wall biogenesis|inositol metabolic process|phosphorylation|pollen tube development</t>
  </si>
  <si>
    <t>J2O13_05G011294</t>
  </si>
  <si>
    <t>8.12E-20</t>
  </si>
  <si>
    <t>3.48E-18</t>
  </si>
  <si>
    <t>Putative glucose-6-phosphate 1-epimerase OS=Cenchrus ciliaris OX=35872 PE=2 SV=1</t>
  </si>
  <si>
    <t>GO:0030246,GO:0047938,GO:0005975</t>
  </si>
  <si>
    <t>carbohydrate binding|glucose-6-phosphate 1-epimerase activity|carbohydrate metabolic process</t>
  </si>
  <si>
    <t>J2O13_05G011295</t>
  </si>
  <si>
    <t>CHIL1</t>
  </si>
  <si>
    <t>Chalcone isomerase-like protein 1</t>
  </si>
  <si>
    <t>GO:0005737,GO:0045430,GO:0009813</t>
  </si>
  <si>
    <t>cytoplasm|chalcone isomerase activity|flavonoid biosynthetic process</t>
  </si>
  <si>
    <t>J2O13_05G011297</t>
  </si>
  <si>
    <t>9.50E-05</t>
  </si>
  <si>
    <t>J2O13_05G011302</t>
  </si>
  <si>
    <t>7.57E-05</t>
  </si>
  <si>
    <t>J2O13_05G011305</t>
  </si>
  <si>
    <t>3.71E-09</t>
  </si>
  <si>
    <t>4.11E-08</t>
  </si>
  <si>
    <t>J2O13_05G011345</t>
  </si>
  <si>
    <t>9.96E-25</t>
  </si>
  <si>
    <t>6.67E-23</t>
  </si>
  <si>
    <t>Os03g0255100</t>
  </si>
  <si>
    <t>Beta-galactosidase 6</t>
  </si>
  <si>
    <t>J2O13_05G011360</t>
  </si>
  <si>
    <t>J2O13_05G011368</t>
  </si>
  <si>
    <t>SCPL31</t>
  </si>
  <si>
    <t>Serine carboxypeptidase-like 31</t>
  </si>
  <si>
    <t>GO:0005576,GO:0004185,GO:0006508</t>
  </si>
  <si>
    <t>extracellular region|serine-type carboxypeptidase activity|proteolysis</t>
  </si>
  <si>
    <t>J2O13_05G011370</t>
  </si>
  <si>
    <t>1.28E-11</t>
  </si>
  <si>
    <t>2.04E-10</t>
  </si>
  <si>
    <t>GES</t>
  </si>
  <si>
    <t>(E,E)-geranyllinalool synthase</t>
  </si>
  <si>
    <t>GO:0005737,GO:0080013,GO:0000287,GO:0010333,GO:0016102,GO:0009617,GO:0080027,GO:0009753,GO:0000304,GO:0009611</t>
  </si>
  <si>
    <t>cytoplasm|(E,E)-geranyllinalool synthase activity|magnesium ion binding|terpene synthase activity|diterpenoid biosynthetic process|response to bacterium|response to herbivore|response to jasmonic acid|response to singlet oxygen|response to wounding</t>
  </si>
  <si>
    <t>J2O13_05G011374</t>
  </si>
  <si>
    <t>4.21E-07</t>
  </si>
  <si>
    <t>3.27E-06</t>
  </si>
  <si>
    <t>At4g04980</t>
  </si>
  <si>
    <t>Uncharacterized protein At4g04980</t>
  </si>
  <si>
    <t>GO:0009707,GO:0009658</t>
  </si>
  <si>
    <t>chloroplast outer membrane|chloroplast organization</t>
  </si>
  <si>
    <t>J2O13_05G011383</t>
  </si>
  <si>
    <t>7.30E-07</t>
  </si>
  <si>
    <t>5.39E-06</t>
  </si>
  <si>
    <t>DOF3.1</t>
  </si>
  <si>
    <t>Dof zinc finger protein DOF3.1</t>
  </si>
  <si>
    <t>J2O13_05G011387</t>
  </si>
  <si>
    <t>At4g19900</t>
  </si>
  <si>
    <t>Uncharacterized protein At4g19900</t>
  </si>
  <si>
    <t>ko00601,ko00603</t>
  </si>
  <si>
    <t>Glycosphingolipid biosynthesis - lacto and neolacto series|Glycosphingolipid biosynthesis - globo and isoglobo series</t>
  </si>
  <si>
    <t>J2O13_05G011389</t>
  </si>
  <si>
    <t>6.87E-05</t>
  </si>
  <si>
    <t>J2O13_05G011392</t>
  </si>
  <si>
    <t>CPL1</t>
  </si>
  <si>
    <t>RNA polymerase II C-terminal domain phosphatase-like 1</t>
  </si>
  <si>
    <t>GO:0016607,GO:0005634,GO:0046872,GO:0017018,GO:0016791,GO:0004721,GO:0004722,GO:0003723,GO:0008420,GO:0009738,GO:0070940,GO:0045892,GO:0000184,GO:0009651,GO:0009611</t>
  </si>
  <si>
    <t>nuclear speck|nucleus|metal ion binding|myosin phosphatase activity|phosphatase activity|phosphoprotein phosphatase activity|protein serine/threonine phosphatase activity|RNA binding|RNA polymerase II CTD heptapeptide repeat phosphatase activity|abscisic acid-activated signaling pathway|dephosphorylation of RNA polymerase II C-terminal domain|negative regulation of DNA-templated transcription|nuclear-transcribed mRNA catabolic process, nonsense-mediated decay|response to salt stress|response to wounding</t>
  </si>
  <si>
    <t>J2O13_05G011396</t>
  </si>
  <si>
    <t>4.44E-12</t>
  </si>
  <si>
    <t>7.52E-11</t>
  </si>
  <si>
    <t>TSJT1</t>
  </si>
  <si>
    <t>Stem-specific protein TSJT1</t>
  </si>
  <si>
    <t>J2O13_05G011399</t>
  </si>
  <si>
    <t>CBSX5</t>
  </si>
  <si>
    <t>CBS domain-containing protein CBSX5</t>
  </si>
  <si>
    <t>GO:0005737,GO:0031588,GO:0005634,GO:0016208,GO:0019901,GO:0019887,GO:0042149,GO:0071456,GO:0006468,GO:0050790</t>
  </si>
  <si>
    <t>cytoplasm|nucleotide-activated protein kinase complex|nucleus|AMP binding|protein kinase binding|protein kinase regulator activity|cellular response to glucose starvation|cellular response to hypoxia|protein phosphorylation|regulation of catalytic activity</t>
  </si>
  <si>
    <t>J2O13_05G011411</t>
  </si>
  <si>
    <t>4.48E-09</t>
  </si>
  <si>
    <t>4.89E-08</t>
  </si>
  <si>
    <t>At4g21705</t>
  </si>
  <si>
    <t>Pentatricopeptide repeat-containing protein At4g21705, mitochondrial</t>
  </si>
  <si>
    <t>J2O13_05G011414</t>
  </si>
  <si>
    <t>3.45E-21</t>
  </si>
  <si>
    <t>1.72E-19</t>
  </si>
  <si>
    <t>J2O13_05G011416</t>
  </si>
  <si>
    <t>1.18E-05</t>
  </si>
  <si>
    <t>LOL2</t>
  </si>
  <si>
    <t>Protein LOL2</t>
  </si>
  <si>
    <t>GO:0005634,GO:0009617</t>
  </si>
  <si>
    <t>nucleus|response to bacterium</t>
  </si>
  <si>
    <t>J2O13_05G011419</t>
  </si>
  <si>
    <t>1.44E-08</t>
  </si>
  <si>
    <t>At5g22620</t>
  </si>
  <si>
    <t>Probable 2-carboxy-D-arabinitol-1-phosphatase</t>
  </si>
  <si>
    <t>GO:0009507,GO:0009570,GO:0005737,GO:0047538,GO:0016791</t>
  </si>
  <si>
    <t>chloroplast|chloroplast stroma|cytoplasm|2-carboxy-D-arabinitol-1-phosphatase activity|phosphatase activity</t>
  </si>
  <si>
    <t>J2O13_05G011428</t>
  </si>
  <si>
    <t>J2O13_05G011431</t>
  </si>
  <si>
    <t>J2O13_05G011432</t>
  </si>
  <si>
    <t>USPL1</t>
  </si>
  <si>
    <t>BURP domain protein USPL1</t>
  </si>
  <si>
    <t>GO:0005795,GO:0000326,GO:0048316</t>
  </si>
  <si>
    <t>Golgi stack|protein storage vacuole|seed development</t>
  </si>
  <si>
    <t>J2O13_05G011452</t>
  </si>
  <si>
    <t>7.45E-12</t>
  </si>
  <si>
    <t>1.22E-10</t>
  </si>
  <si>
    <t>MTERF1</t>
  </si>
  <si>
    <t>Transcription termination factor MTEF1, chloroplastic</t>
  </si>
  <si>
    <t>GO:0009507,GO:0003690,GO:0071452,GO:0009658,GO:0032502,GO:0006353,GO:0009793,GO:0006355</t>
  </si>
  <si>
    <t>chloroplast|double-stranded DNA binding|cellular response to singlet oxygen|chloroplast organization|developmental process|DNA-templated transcription termination|embryo development ending in seed dormancy|regulation of DNA-templated transcription</t>
  </si>
  <si>
    <t>J2O13_05G011454</t>
  </si>
  <si>
    <t>2.37E-08</t>
  </si>
  <si>
    <t>DTX33</t>
  </si>
  <si>
    <t>Protein DETOXIFICATION 33</t>
  </si>
  <si>
    <t>GO:0016020,GO:0005634,GO:0000325,GO:0015297,GO:0022857,GO:0042910,GO:1990961</t>
  </si>
  <si>
    <t>membrane|nucleus|plant-type vacuole|antiporter activity|transmembrane transporter activity|xenobiotic transmembrane transporter activity|xenobiotic detoxification by transmembrane export across the plasma membrane</t>
  </si>
  <si>
    <t>J2O13_05G011456</t>
  </si>
  <si>
    <t>1.96E-28</t>
  </si>
  <si>
    <t>1.92E-26</t>
  </si>
  <si>
    <t>TIC62</t>
  </si>
  <si>
    <t>Protein TIC 62, chloroplastic</t>
  </si>
  <si>
    <t>GO:0009706,GO:0009570,GO:0098807,GO:0015031</t>
  </si>
  <si>
    <t>chloroplast inner membrane|chloroplast stroma|chloroplast thylakoid membrane protein complex|protein transport</t>
  </si>
  <si>
    <t>J2O13_05G011461</t>
  </si>
  <si>
    <t>J2O13_05G011464</t>
  </si>
  <si>
    <t>5.39E-10</t>
  </si>
  <si>
    <t>6.75E-09</t>
  </si>
  <si>
    <t>Os03g0405500</t>
  </si>
  <si>
    <t>Probable nucleoredoxin 1-1</t>
  </si>
  <si>
    <t>GO:0004791</t>
  </si>
  <si>
    <t>thioredoxin-disulfide reductase activity</t>
  </si>
  <si>
    <t>J2O13_05G011484</t>
  </si>
  <si>
    <t>CYP82C4</t>
  </si>
  <si>
    <t>Xanthotoxin 5-hydroxylase CYP82C4</t>
  </si>
  <si>
    <t>GO:0016020,GO:0106144,GO:0020037,GO:0005506,GO:0004497,GO:0071281,GO:0098542,GO:0010039,GO:0106146</t>
  </si>
  <si>
    <t>membrane|fraxetin 5-hydroxylase activity|heme binding|iron ion binding|monooxygenase activity|cellular response to iron ion|defense response to other organism|response to iron ion|sideretin biosynthesis</t>
  </si>
  <si>
    <t>J2O13_05G011488</t>
  </si>
  <si>
    <t>VRN1</t>
  </si>
  <si>
    <t>B3 domain-containing transcription factor VRN1</t>
  </si>
  <si>
    <t>GO:0005654,GO:0003677,GO:0000976,GO:0009909,GO:0010048</t>
  </si>
  <si>
    <t>nucleoplasm|DNA binding|transcription cis-regulatory region binding|regulation of flower development|vernalization response</t>
  </si>
  <si>
    <t>J2O13_05G011493</t>
  </si>
  <si>
    <t>1.48E-06</t>
  </si>
  <si>
    <t>1.03E-05</t>
  </si>
  <si>
    <t>J2O13_05G011501</t>
  </si>
  <si>
    <t>8.70E-40</t>
  </si>
  <si>
    <t>1.94E-37</t>
  </si>
  <si>
    <t>MJE1</t>
  </si>
  <si>
    <t>Methyl jasmonate esterase 1</t>
  </si>
  <si>
    <t>GO:0080030,GO:0080032,GO:0080031,GO:0009694,GO:0031408,GO:0009409,GO:0010224,GO:0009696</t>
  </si>
  <si>
    <t>methyl indole-3-acetate esterase activity|methyl jasmonate esterase activity|methyl salicylate esterase activity|jasmonic acid metabolic process|oxylipin biosynthetic process|response to cold|response to UV-B|salicylic acid metabolic process</t>
  </si>
  <si>
    <t>J2O13_05G011502</t>
  </si>
  <si>
    <t>1.74E-17</t>
  </si>
  <si>
    <t>5.88E-16</t>
  </si>
  <si>
    <t>J2O13_05G011504</t>
  </si>
  <si>
    <t>J2O13_05G011514</t>
  </si>
  <si>
    <t>PER10</t>
  </si>
  <si>
    <t>Peroxidase 10</t>
  </si>
  <si>
    <t>J2O13_05G011516</t>
  </si>
  <si>
    <t>7.12E-12</t>
  </si>
  <si>
    <t>1.17E-10</t>
  </si>
  <si>
    <t>CYP40</t>
  </si>
  <si>
    <t>Peptidyl-prolyl cis-trans isomerase CYP40</t>
  </si>
  <si>
    <t>ko04217,ko04218,ko05131,ko05010,ko05022</t>
  </si>
  <si>
    <t>Necroptosis|Cellular senescence|Shigellosis|Alzheimer disease|Pathways of neurodegeneration - multiple diseases</t>
  </si>
  <si>
    <t>GO:0005737,GO:0016018,GO:0003755,GO:0010582,GO:0006457,GO:0000413,GO:0010050</t>
  </si>
  <si>
    <t>cytoplasm|cyclosporin A binding|peptidyl-prolyl cis-trans isomerase activity|floral meristem determinacy|protein folding|protein peptidyl-prolyl isomerization|vegetative phase change</t>
  </si>
  <si>
    <t>J2O13_05G011519</t>
  </si>
  <si>
    <t>6.65E-17</t>
  </si>
  <si>
    <t>2.07E-15</t>
  </si>
  <si>
    <t>J2O13_05G011531</t>
  </si>
  <si>
    <t>2.78E-13</t>
  </si>
  <si>
    <t>5.54E-12</t>
  </si>
  <si>
    <t>J2O13_05G011549</t>
  </si>
  <si>
    <t>J2O13_05G011555</t>
  </si>
  <si>
    <t>8.80E-08</t>
  </si>
  <si>
    <t>GAD</t>
  </si>
  <si>
    <t>Glutamate decarboxylase</t>
  </si>
  <si>
    <t>GO:0005516,GO:0004351,GO:0030170,GO:0006536</t>
  </si>
  <si>
    <t>calmodulin binding|glutamate decarboxylase activity|pyridoxal phosphate binding|glutamate metabolic process</t>
  </si>
  <si>
    <t>J2O13_05G011556</t>
  </si>
  <si>
    <t>3.02E-08</t>
  </si>
  <si>
    <t>2.90E-07</t>
  </si>
  <si>
    <t>LTPG15</t>
  </si>
  <si>
    <t>Non-specific lipid transfer protein GPI-anchored 15</t>
  </si>
  <si>
    <t>GO:0005886,GO:0008289,GO:0005319,GO:0015908,GO:0010214,GO:0009845</t>
  </si>
  <si>
    <t>plasma membrane|lipid binding|lipid transporter activity|fatty acid transport|seed coat development|seed germination</t>
  </si>
  <si>
    <t>J2O13_05G011559</t>
  </si>
  <si>
    <t>HAK17</t>
  </si>
  <si>
    <t>Probable potassium transporter 17</t>
  </si>
  <si>
    <t>GO:0016020,GO:0015079,GO:0006813</t>
  </si>
  <si>
    <t>membrane|potassium ion transmembrane transporter activity|potassium ion transport</t>
  </si>
  <si>
    <t>J2O13_05G011562</t>
  </si>
  <si>
    <t>J2O13_05G011568</t>
  </si>
  <si>
    <t>1.17E-07</t>
  </si>
  <si>
    <t>BRL2</t>
  </si>
  <si>
    <t>Serine/threonine-protein kinase BRI1-like 2</t>
  </si>
  <si>
    <t>GO:0005886,GO:0005524,GO:0106310,GO:0004675,GO:0009734,GO:0009742,GO:0009755,GO:0010305,GO:0010233,GO:0006468,GO:0010051</t>
  </si>
  <si>
    <t>plasma membrane|ATP binding|protein serine kinase activity|transmembrane receptor protein serine/threonine kinase activity|auxin-activated signaling pathway|brassinosteroid mediated signaling pathway|hormone-mediated signaling pathway|leaf vascular tissue pattern formation|phloem transport|protein phosphorylation|xylem and phloem pattern formation</t>
  </si>
  <si>
    <t>J2O13_05G011581</t>
  </si>
  <si>
    <t>4.87E-10</t>
  </si>
  <si>
    <t>6.15E-09</t>
  </si>
  <si>
    <t>PAP3</t>
  </si>
  <si>
    <t>Purple acid phosphatase 3</t>
  </si>
  <si>
    <t>GO:0005576,GO:0000325,GO:0003993,GO:0008199,GO:0008198</t>
  </si>
  <si>
    <t>extracellular region|plant-type vacuole|acid phosphatase activity|ferric iron binding|ferrous iron binding</t>
  </si>
  <si>
    <t>J2O13_05G011592</t>
  </si>
  <si>
    <t>AHK4</t>
  </si>
  <si>
    <t>Histidine kinase 4</t>
  </si>
  <si>
    <t>GO:0005783,GO:0005789,GO:0005886,GO:0009884,GO:0019899,GO:0017018,GO:0004721,GO:0000155,GO:0004673,GO:0043424,GO:0019901,GO:0009885,GO:0033500,GO:0016036,GO:0071329,GO:0009736,GO:0042742,GO:0010086,GO:0007231,GO:0000160,GO:0006468,GO:0048509,GO:0010029,GO:0048831,GO:0009414,GO:0008272</t>
  </si>
  <si>
    <t>endoplasmic reticulum|endoplasmic reticulum membrane|plasma membrane|cytokinin receptor activity|enzyme binding|myosin phosphatase activity|phosphoprotein phosphatase activity|phosphorelay sensor kinase activity|protein histidine kinase activity|protein histidine kinase binding|protein kinase binding|transmembrane histidine kinase cytokinin receptor activity|carbohydrate homeostasis|cellular response to phosphate starvation|cellular response to sucrose stimulus|cytokinin-activated signaling pathway|defense response to bacterium|embryonic root morphogenesis|osmosensory signaling pathway|phosphorelay signal transduction system|protein phosphorylation|regulation of meristem development|regulation of seed germination|regulation of shoot system development|response to water deprivation|sulfate transport</t>
  </si>
  <si>
    <t>J2O13_05G011596</t>
  </si>
  <si>
    <t>J2O13_05G011603</t>
  </si>
  <si>
    <t>SDS</t>
  </si>
  <si>
    <t>Cyclin-SDS</t>
  </si>
  <si>
    <t>GO:0000307,GO:0005737,GO:0005634,GO:0016538,GO:0051301,GO:0051026,GO:0000724,GO:0044772,GO:0000079</t>
  </si>
  <si>
    <t>cyclin-dependent protein kinase holoenzyme complex|cytoplasm|nucleus|cyclin-dependent protein serine/threonine kinase regulator activity|cell division|chiasma assembly|double-strand break repair via homologous recombination|mitotic cell cycle phase transition|regulation of cyclin-dependent protein serine/threonine kinase activity</t>
  </si>
  <si>
    <t>J2O13_05G011608</t>
  </si>
  <si>
    <t>VIT1</t>
  </si>
  <si>
    <t>Vacuolar iron transporter 1</t>
  </si>
  <si>
    <t>GO:0005774,GO:0005384,GO:0046872,GO:0042803,GO:0030026,GO:0006880</t>
  </si>
  <si>
    <t>vacuolar membrane|manganese ion transmembrane transporter activity|metal ion binding|protein homodimerization activity|cellular manganese ion homeostasis|intracellular sequestering of iron ion</t>
  </si>
  <si>
    <t>J2O13_05G011609</t>
  </si>
  <si>
    <t>GO:0016020,GO:0005774,GO:0005381,GO:0005384,GO:0046872,GO:0030026,GO:0006880,GO:0055072</t>
  </si>
  <si>
    <t>membrane|vacuolar membrane|iron ion transmembrane transporter activity|manganese ion transmembrane transporter activity|metal ion binding|cellular manganese ion homeostasis|intracellular sequestering of iron ion|iron ion homeostasis</t>
  </si>
  <si>
    <t>J2O13_05G011612</t>
  </si>
  <si>
    <t>2.07E-05</t>
  </si>
  <si>
    <t>Caffeoyl-CoA O-methyltransferase OS=Populus kitakamiensis OX=34292 PE=2 SV=1</t>
  </si>
  <si>
    <t>GO:0042409,GO:0046872,GO:0009809,GO:0032259</t>
  </si>
  <si>
    <t>caffeoyl-CoA O-methyltransferase activity|metal ion binding|lignin biosynthetic process|methylation</t>
  </si>
  <si>
    <t>J2O13_05G011614</t>
  </si>
  <si>
    <t>5.42E-12</t>
  </si>
  <si>
    <t>9.03E-11</t>
  </si>
  <si>
    <t>Alpha,alpha-trehalose-phosphate synthase [UDP-forming] 6</t>
  </si>
  <si>
    <t>GO:0003825,GO:0004805,GO:0005992,GO:0070413</t>
  </si>
  <si>
    <t>alpha,alpha-trehalose-phosphate synthase (UDP-forming) activity|trehalose-phosphatase activity|trehalose biosynthetic process|trehalose metabolism in response to stress</t>
  </si>
  <si>
    <t>J2O13_05G011619</t>
  </si>
  <si>
    <t>J2O13_05G011627</t>
  </si>
  <si>
    <t>3.56E-71</t>
  </si>
  <si>
    <t>5.77E-68</t>
  </si>
  <si>
    <t>LAMT</t>
  </si>
  <si>
    <t>Loganic acid O-methyltransferase</t>
  </si>
  <si>
    <t>GO:0030749,GO:0046872,GO:0035834,GO:0032259</t>
  </si>
  <si>
    <t>loganate O-methyltransferase activity|metal ion binding|indole alkaloid metabolic process|methylation</t>
  </si>
  <si>
    <t>J2O13_05G011630</t>
  </si>
  <si>
    <t>1.64E-11</t>
  </si>
  <si>
    <t>2.57E-10</t>
  </si>
  <si>
    <t>lpxC</t>
  </si>
  <si>
    <t>UDP-3-O-acyl-N-acetylglucosamine deacetylase</t>
  </si>
  <si>
    <t>ko00540</t>
  </si>
  <si>
    <t>Lipopolysaccharide biosynthesis</t>
  </si>
  <si>
    <t>GO:0009507,GO:0046872,GO:0008759,GO:0103117,GO:0009245,GO:2001289</t>
  </si>
  <si>
    <t>chloroplast|metal ion binding|UDP-3-O-[3-hydroxymyristoyl] N-acetylglucosamine deacetylase activity|UDP-3-O-acyl-N-acetylglucosamine deacetylase activity|lipid A biosynthetic process|lipid X metabolic process</t>
  </si>
  <si>
    <t>J2O13_05G011636</t>
  </si>
  <si>
    <t>VAC14</t>
  </si>
  <si>
    <t>Protein VAC14 homolog</t>
  </si>
  <si>
    <t>ko05203,ko05166</t>
  </si>
  <si>
    <t>Viral carcinogenesis|Human T-cell leukemia virus 1 infection</t>
  </si>
  <si>
    <t>GO:0010008,GO:0070772,GO:0006661,GO:0033674</t>
  </si>
  <si>
    <t>endosome membrane|PAS complex|phosphatidylinositol biosynthetic process|positive regulation of kinase activity</t>
  </si>
  <si>
    <t>J2O13_05G011641</t>
  </si>
  <si>
    <t>J2O13_05G011642</t>
  </si>
  <si>
    <t>1.88E-25</t>
  </si>
  <si>
    <t>NUDT17</t>
  </si>
  <si>
    <t>Nudix hydrolase 17, mitochondrial</t>
  </si>
  <si>
    <t>GO:0005737,GO:0005739,GO:0005634,GO:0016787,GO:0046872</t>
  </si>
  <si>
    <t>cytoplasm|mitochondrion|nucleus|hydrolase activity|metal ion binding</t>
  </si>
  <si>
    <t>J2O13_05G011644</t>
  </si>
  <si>
    <t>At1g03400</t>
  </si>
  <si>
    <t>1-aminocyclopropane-1-carboxylate oxidase homolog 4</t>
  </si>
  <si>
    <t>GO:0009815,GO:0046872</t>
  </si>
  <si>
    <t>1-aminocyclopropane-1-carboxylate oxidase activity|metal ion binding</t>
  </si>
  <si>
    <t>J2O13_05G011653</t>
  </si>
  <si>
    <t>3.69E-18</t>
  </si>
  <si>
    <t>PDLP6</t>
  </si>
  <si>
    <t>Plasmodesmata-located protein 6</t>
  </si>
  <si>
    <t>GO:0005886,GO:0009506</t>
  </si>
  <si>
    <t>plasma membrane|plasmodesma</t>
  </si>
  <si>
    <t>J2O13_05G011663</t>
  </si>
  <si>
    <t>J2O13_05G011664</t>
  </si>
  <si>
    <t>ALIS2</t>
  </si>
  <si>
    <t>Putative ALA-interacting subunit 2</t>
  </si>
  <si>
    <t>GO:0005783,GO:0005794,GO:0005886,GO:0033036</t>
  </si>
  <si>
    <t>endoplasmic reticulum|Golgi apparatus|plasma membrane|macromolecule localization</t>
  </si>
  <si>
    <t>J2O13_05G011695</t>
  </si>
  <si>
    <t>1.36E-08</t>
  </si>
  <si>
    <t>1.38E-07</t>
  </si>
  <si>
    <t>J2O13_05G011709</t>
  </si>
  <si>
    <t>J2O13_05G011725</t>
  </si>
  <si>
    <t>J2O13_05G011748</t>
  </si>
  <si>
    <t>7.41E-11</t>
  </si>
  <si>
    <t>1.05E-09</t>
  </si>
  <si>
    <t>FULL</t>
  </si>
  <si>
    <t>Agamous-like MADS-box protein FUL-L</t>
  </si>
  <si>
    <t>J2O13_05G011755</t>
  </si>
  <si>
    <t>7.25E-07</t>
  </si>
  <si>
    <t>5.37E-06</t>
  </si>
  <si>
    <t>J2O13_05G011757</t>
  </si>
  <si>
    <t>UPTG2</t>
  </si>
  <si>
    <t>Probable UDP-arabinopyranose mutase 2</t>
  </si>
  <si>
    <t>GO:0005829,GO:0005576,GO:0005794,GO:0009506,GO:0052691,GO:0071555,GO:0030244,GO:0009832,GO:0006486,GO:0033356</t>
  </si>
  <si>
    <t>cytosol|extracellular region|Golgi apparatus|plasmodesma|UDP-arabinopyranose mutase activity|cell wall organization|cellulose biosynthetic process|plant-type cell wall biogenesis|protein glycosylation|UDP-L-arabinose metabolic process</t>
  </si>
  <si>
    <t>J2O13_05G011760</t>
  </si>
  <si>
    <t>4.01E-12</t>
  </si>
  <si>
    <t>6.84E-11</t>
  </si>
  <si>
    <t>At5g67130</t>
  </si>
  <si>
    <t>PI-PLC X domain-containing protein At5g67130</t>
  </si>
  <si>
    <t>GO:0005886,GO:0009536,GO:0008081,GO:0006629</t>
  </si>
  <si>
    <t>plasma membrane|plastid|phosphoric diester hydrolase activity|lipid metabolic process</t>
  </si>
  <si>
    <t>J2O13_05G011762</t>
  </si>
  <si>
    <t>J2O13_05G011780</t>
  </si>
  <si>
    <t>6.12E-06</t>
  </si>
  <si>
    <t>3.77E-05</t>
  </si>
  <si>
    <t>ZIP10</t>
  </si>
  <si>
    <t>Probable zinc transporter 10</t>
  </si>
  <si>
    <t>J2O13_05G011786</t>
  </si>
  <si>
    <t>3.06E-05</t>
  </si>
  <si>
    <t>RPL39A</t>
  </si>
  <si>
    <t>60S ribosomal protein L39-1</t>
  </si>
  <si>
    <t>GO:1990904,GO:0005840,GO:0003735,GO:0006412</t>
  </si>
  <si>
    <t>ribonucleoprotein complex|ribosome|structural constituent of ribosome|translation</t>
  </si>
  <si>
    <t>J2O13_05G011795</t>
  </si>
  <si>
    <t>3.49E-09</t>
  </si>
  <si>
    <t>3.89E-08</t>
  </si>
  <si>
    <t>PMAT1</t>
  </si>
  <si>
    <t>Phenolic glucoside malonyltransferase 1</t>
  </si>
  <si>
    <t>GO:0047165,GO:0050736,GO:0009636</t>
  </si>
  <si>
    <t>flavonol-3-O-beta-glucoside O-malonyltransferase activity|O-malonyltransferase activity|response to toxic substance</t>
  </si>
  <si>
    <t>J2O13_05G011800</t>
  </si>
  <si>
    <t>6.79E-06</t>
  </si>
  <si>
    <t>4.15E-05</t>
  </si>
  <si>
    <t>J2O13_05G011808</t>
  </si>
  <si>
    <t>1.95E-28</t>
  </si>
  <si>
    <t>CRR7</t>
  </si>
  <si>
    <t>Protein CHLORORESPIRATORY REDUCTION 7, chloroplastic</t>
  </si>
  <si>
    <t>GO:0009507,GO:0009570,GO:0016020,GO:0010275</t>
  </si>
  <si>
    <t>chloroplast|chloroplast stroma|membrane|NAD(P)H dehydrogenase complex assembly</t>
  </si>
  <si>
    <t>J2O13_05G011815</t>
  </si>
  <si>
    <t>J2O13_05G011829</t>
  </si>
  <si>
    <t>J2O13_05G011844</t>
  </si>
  <si>
    <t>3.75E-05</t>
  </si>
  <si>
    <t>AtMg00310</t>
  </si>
  <si>
    <t>Uncharacterized mitochondrial protein AtMg00310</t>
  </si>
  <si>
    <t>J2O13_05G011857</t>
  </si>
  <si>
    <t>3.82E-05</t>
  </si>
  <si>
    <t>CLPB3</t>
  </si>
  <si>
    <t>Chaperone protein ClpB3, chloroplastic</t>
  </si>
  <si>
    <t>GO:0009507,GO:0009570,GO:0005737,GO:0009536,GO:0009532,GO:0005524,GO:0016887,GO:0034605,GO:0009658,GO:0042026,GO:0009408</t>
  </si>
  <si>
    <t>chloroplast|chloroplast stroma|cytoplasm|plastid|plastid stroma|ATP binding|ATP hydrolysis activity|cellular response to heat|chloroplast organization|protein refolding|response to heat</t>
  </si>
  <si>
    <t>J2O13_05G011862</t>
  </si>
  <si>
    <t>7.72E-15</t>
  </si>
  <si>
    <t>J2O13_05G011865</t>
  </si>
  <si>
    <t>9.49E-06</t>
  </si>
  <si>
    <t>5.65E-05</t>
  </si>
  <si>
    <t>CNGC2</t>
  </si>
  <si>
    <t>Cyclic nucleotide-gated ion channel 2</t>
  </si>
  <si>
    <t>GO:0005886,GO:0005262,GO:0005516,GO:0030552,GO:0030553,GO:0005222,GO:0005221,GO:0005242,GO:0070509,GO:0006952,GO:0007263,GO:0009626</t>
  </si>
  <si>
    <t>plasma membrane|calcium channel activity|calmodulin binding|cAMP binding|cGMP binding|intracellular cAMP-activated cation channel activity|intracellular cyclic nucleotide activated cation channel activity|inward rectifier potassium channel activity|calcium ion import|defense response|nitric oxide mediated signal transduction|plant-type hypersensitive response</t>
  </si>
  <si>
    <t>J2O13_05G011875</t>
  </si>
  <si>
    <t>1.61E-16</t>
  </si>
  <si>
    <t>4.78E-15</t>
  </si>
  <si>
    <t>J2O13_05G011880</t>
  </si>
  <si>
    <t>3.43E-07</t>
  </si>
  <si>
    <t>J2O13_05G011883</t>
  </si>
  <si>
    <t>1.52E-17</t>
  </si>
  <si>
    <t>5.15E-16</t>
  </si>
  <si>
    <t>J2O13_05G011892</t>
  </si>
  <si>
    <t>5.31E-18</t>
  </si>
  <si>
    <t>1.91E-16</t>
  </si>
  <si>
    <t>J2O13_05G011894</t>
  </si>
  <si>
    <t>8.56E-10</t>
  </si>
  <si>
    <t>1.04E-08</t>
  </si>
  <si>
    <t>At5g39570</t>
  </si>
  <si>
    <t>Uncharacterized protein At5g39570</t>
  </si>
  <si>
    <t>GO:0005829,GO:0009536,GO:0003729,GO:0070300</t>
  </si>
  <si>
    <t>cytosol|plastid|mRNA binding|phosphatidic acid binding</t>
  </si>
  <si>
    <t>J2O13_05G011897</t>
  </si>
  <si>
    <t>1.31E-14</t>
  </si>
  <si>
    <t>3.12E-13</t>
  </si>
  <si>
    <t>PHO1-H9</t>
  </si>
  <si>
    <t>Phosphate transporter PHO1 homolog 9</t>
  </si>
  <si>
    <t>GO:0005737,GO:0005794,GO:0005886,GO:0005802,GO:0000822,GO:0015114,GO:0016036,GO:0006817</t>
  </si>
  <si>
    <t>cytoplasm|Golgi apparatus|plasma membrane|trans-Golgi network|inositol hexakisphosphate binding|phosphate ion transmembrane transporter activity|cellular response to phosphate starvation|phosphate ion transport</t>
  </si>
  <si>
    <t>J2O13_05G011903</t>
  </si>
  <si>
    <t>J2O13_05G011920</t>
  </si>
  <si>
    <t>6.96E-07</t>
  </si>
  <si>
    <t>5.16E-06</t>
  </si>
  <si>
    <t>J2O13_05G011925</t>
  </si>
  <si>
    <t>J2O13_05G011926</t>
  </si>
  <si>
    <t>1.84E-23</t>
  </si>
  <si>
    <t>1.10E-21</t>
  </si>
  <si>
    <t>J2O13_05G011927</t>
  </si>
  <si>
    <t>1.83E-06</t>
  </si>
  <si>
    <t>1.26E-05</t>
  </si>
  <si>
    <t>CDF2</t>
  </si>
  <si>
    <t>Cyclic dof factor 2</t>
  </si>
  <si>
    <t>GO:0005634,GO:0003677,GO:0003700,GO:0046872,GO:0000976,GO:0009908,GO:0006355</t>
  </si>
  <si>
    <t>nucleus|DNA binding|DNA-binding transcription factor activity|metal ion binding|transcription cis-regulatory region binding|flower development|regulation of DNA-templated transcription</t>
  </si>
  <si>
    <t>J2O13_05G011934</t>
  </si>
  <si>
    <t>4.44E-06</t>
  </si>
  <si>
    <t>FTSH6</t>
  </si>
  <si>
    <t>ATP-dependent zinc metalloprotease FTSH 6, chloroplastic</t>
  </si>
  <si>
    <t>GO:0009534,GO:0009535,GO:0005524,GO:0016887,GO:0004176,GO:0004222,GO:0008270,GO:0006508</t>
  </si>
  <si>
    <t>chloroplast thylakoid|chloroplast thylakoid membrane|ATP binding|ATP hydrolysis activity|ATP-dependent peptidase activity|metalloendopeptidase activity|zinc ion binding|proteolysis</t>
  </si>
  <si>
    <t>J2O13_05G011937</t>
  </si>
  <si>
    <t>7.68E-16</t>
  </si>
  <si>
    <t>2.10E-14</t>
  </si>
  <si>
    <t>J2O13_05G011939</t>
  </si>
  <si>
    <t>4.15E-08</t>
  </si>
  <si>
    <t>3.89E-07</t>
  </si>
  <si>
    <t>NIP2-1</t>
  </si>
  <si>
    <t>Aquaporin NIP2-1</t>
  </si>
  <si>
    <t>GO:0048226,GO:0016020,GO:0005886,GO:0015267,GO:0015115,GO:0015708</t>
  </si>
  <si>
    <t>Casparian strip|membrane|plasma membrane|channel activity|silicate transmembrane transporter activity|silicic acid import across plasma membrane</t>
  </si>
  <si>
    <t>J2O13_05G011941</t>
  </si>
  <si>
    <t>GASA4</t>
  </si>
  <si>
    <t>Gibberellin-regulated protein 4</t>
  </si>
  <si>
    <t>GO:0005576,GO:0045454,GO:0009740,GO:0009739</t>
  </si>
  <si>
    <t>extracellular region|cell redox homeostasis|gibberellic acid mediated signaling pathway|response to gibberellin</t>
  </si>
  <si>
    <t>J2O13_05G011945</t>
  </si>
  <si>
    <t>MYB306</t>
  </si>
  <si>
    <t>Myb-related protein 306</t>
  </si>
  <si>
    <t>J2O13_05G011946</t>
  </si>
  <si>
    <t>J2O13_05G011951</t>
  </si>
  <si>
    <t>6.82E-15</t>
  </si>
  <si>
    <t>1.69E-13</t>
  </si>
  <si>
    <t>DEGP8</t>
  </si>
  <si>
    <t>Protease Do-like 8, chloroplastic</t>
  </si>
  <si>
    <t>GO:0009507,GO:0009534,GO:0009543,GO:0009536,GO:0009579,GO:0031977,GO:0008233,GO:0004252,GO:0010206,GO:0006508</t>
  </si>
  <si>
    <t>chloroplast|chloroplast thylakoid|chloroplast thylakoid lumen|plastid|thylakoid|thylakoid lumen|peptidase activity|serine-type endopeptidase activity|photosystem II repair|proteolysis</t>
  </si>
  <si>
    <t>J2O13_05G011953</t>
  </si>
  <si>
    <t>RNP1</t>
  </si>
  <si>
    <t>Heterogeneous nuclear ribonucleoprotein 1</t>
  </si>
  <si>
    <t>GO:0005829,GO:0005634,GO:0005681,GO:0003729,GO:0006397,GO:0051028,GO:1901000,GO:2000070,GO:0008380,GO:0010228</t>
  </si>
  <si>
    <t>cytosol|nucleus|spliceosomal complex|mRNA binding|mRNA processing|mRNA transport|regulation of response to salt stress|regulation of response to water deprivation|RNA splicing|vegetative to reproductive phase transition of meristem</t>
  </si>
  <si>
    <t>J2O13_05G011954</t>
  </si>
  <si>
    <t>J2O13_05G011955</t>
  </si>
  <si>
    <t>4.98E-11</t>
  </si>
  <si>
    <t>7.27E-10</t>
  </si>
  <si>
    <t>J2O13_05G011964</t>
  </si>
  <si>
    <t>7.06E-15</t>
  </si>
  <si>
    <t>J2O13_05G011976</t>
  </si>
  <si>
    <t>6.01E-11</t>
  </si>
  <si>
    <t>8.66E-10</t>
  </si>
  <si>
    <t>GO:0005576,GO:0009653,GO:0019953</t>
  </si>
  <si>
    <t>extracellular region|anatomical structure morphogenesis|sexual reproduction</t>
  </si>
  <si>
    <t>J2O13_05G011989</t>
  </si>
  <si>
    <t>CER26L</t>
  </si>
  <si>
    <t>Protein ECERIFERUM 26-like</t>
  </si>
  <si>
    <t>GO:0009535,GO:0016747,GO:0071555,GO:0009555,GO:0042761</t>
  </si>
  <si>
    <t>chloroplast thylakoid membrane|acyltransferase activity, transferring groups other than amino-acyl groups|cell wall organization|pollen development|very long-chain fatty acid biosynthetic process</t>
  </si>
  <si>
    <t>J2O13_05G011991</t>
  </si>
  <si>
    <t>8.82E-05</t>
  </si>
  <si>
    <t>MO2</t>
  </si>
  <si>
    <t>Monooxygenase 2</t>
  </si>
  <si>
    <t>GO:0005886,GO:0071949,GO:0004497,GO:0002239</t>
  </si>
  <si>
    <t>plasma membrane|FAD binding|monooxygenase activity|response to oomycetes</t>
  </si>
  <si>
    <t>J2O13_05G011998</t>
  </si>
  <si>
    <t>2.39E-14</t>
  </si>
  <si>
    <t>5.50E-13</t>
  </si>
  <si>
    <t>At4g16820</t>
  </si>
  <si>
    <t>Phospholipase A1-Ibeta2, chloroplastic</t>
  </si>
  <si>
    <t>J2O13_05G012006</t>
  </si>
  <si>
    <t>J2O13_05G012009</t>
  </si>
  <si>
    <t>4.00E-10</t>
  </si>
  <si>
    <t>5.13E-09</t>
  </si>
  <si>
    <t>CSN7</t>
  </si>
  <si>
    <t>COP9 signalosome complex subunit 7</t>
  </si>
  <si>
    <t>GO:0008180,GO:0005737,GO:0010387,GO:0000338,GO:0009585</t>
  </si>
  <si>
    <t>COP9 signalosome|cytoplasm|COP9 signalosome assembly|protein deneddylation|red, far-red light phototransduction</t>
  </si>
  <si>
    <t>J2O13_05G012010</t>
  </si>
  <si>
    <t>1.61E-07</t>
  </si>
  <si>
    <t>ERF1A</t>
  </si>
  <si>
    <t>Ethylene-responsive transcription factor 1A</t>
  </si>
  <si>
    <t>GO:0005634,GO:0003700,GO:0000976,GO:0051301,GO:0006952,GO:0009873,GO:0010087,GO:0009624</t>
  </si>
  <si>
    <t>nucleus|DNA-binding transcription factor activity|transcription cis-regulatory region binding|cell division|defense response|ethylene-activated signaling pathway|phloem or xylem histogenesis|response to nematode</t>
  </si>
  <si>
    <t>J2O13_05G012012</t>
  </si>
  <si>
    <t>ERF5</t>
  </si>
  <si>
    <t>Ethylene-responsive transcription factor 5</t>
  </si>
  <si>
    <t>GO:0005634,GO:0003700,GO:0000976,GO:0006952,GO:0009873,GO:0009733,GO:0009409</t>
  </si>
  <si>
    <t>nucleus|DNA-binding transcription factor activity|transcription cis-regulatory region binding|defense response|ethylene-activated signaling pathway|response to auxin|response to cold</t>
  </si>
  <si>
    <t>J2O13_05G012032</t>
  </si>
  <si>
    <t>FLS5</t>
  </si>
  <si>
    <t>Probable flavonol synthase 5</t>
  </si>
  <si>
    <t>GO:0051213,GO:0045431,GO:0046872,GO:0009416</t>
  </si>
  <si>
    <t>dioxygenase activity|flavonol synthase activity|metal ion binding|response to light stimulus</t>
  </si>
  <si>
    <t>J2O13_05G012033</t>
  </si>
  <si>
    <t>1.30E-11</t>
  </si>
  <si>
    <t>2.06E-10</t>
  </si>
  <si>
    <t>ADH1</t>
  </si>
  <si>
    <t>Alcohol dehydrogenase 1</t>
  </si>
  <si>
    <t>ko00010,ko00620,ko00071,ko00592,ko00350</t>
  </si>
  <si>
    <t>Glycolysis / Gluconeogenesis|Pyruvate metabolism|Fatty acid degradation|alpha-Linolenic acid metabolism|Tyrosine metabolism</t>
  </si>
  <si>
    <t>GO:0005829,GO:0004024,GO:0051903,GO:0008270,GO:0046294</t>
  </si>
  <si>
    <t>cytosol|alcohol dehydrogenase activity, zinc-dependent|S-(hydroxymethyl)glutathione dehydrogenase activity|zinc ion binding|formaldehyde catabolic process</t>
  </si>
  <si>
    <t>J2O13_05G012034</t>
  </si>
  <si>
    <t>ERF039</t>
  </si>
  <si>
    <t>Ethylene-responsive transcription factor ERF039</t>
  </si>
  <si>
    <t>J2O13_05G012045</t>
  </si>
  <si>
    <t>4.33E-10</t>
  </si>
  <si>
    <t>5.54E-09</t>
  </si>
  <si>
    <t>MSH4</t>
  </si>
  <si>
    <t>DNA mismatch repair protein MSH4</t>
  </si>
  <si>
    <t>GO:0000794,GO:0043073,GO:0005634,GO:0009506,GO:0005524,GO:0140664,GO:0003690,GO:0030983,GO:0007129,GO:0045143,GO:0010777,GO:0007131</t>
  </si>
  <si>
    <t>condensed nuclear chromosome|germ cell nucleus|nucleus|plasmodesma|ATP binding|ATP-dependent DNA damage sensor activity|double-stranded DNA binding|mismatched DNA binding|homologous chromosome pairing at meiosis|homologous chromosome segregation|meiotic mismatch repair involved in reciprocal meiotic recombination|reciprocal meiotic recombination</t>
  </si>
  <si>
    <t>J2O13_05G012047</t>
  </si>
  <si>
    <t>2.82E-08</t>
  </si>
  <si>
    <t>2.73E-07</t>
  </si>
  <si>
    <t>PSD1</t>
  </si>
  <si>
    <t>Phosphatidylserine decarboxylase proenzyme 1, mitochondrial</t>
  </si>
  <si>
    <t>GO:0005743,GO:0005739,GO:0004609,GO:0006646,GO:0016540</t>
  </si>
  <si>
    <t>mitochondrial inner membrane|mitochondrion|phosphatidylserine decarboxylase activity|phosphatidylethanolamine biosynthetic process|protein autoprocessing</t>
  </si>
  <si>
    <t>J2O13_05G012049</t>
  </si>
  <si>
    <t>3.31E-06</t>
  </si>
  <si>
    <t>2.16E-05</t>
  </si>
  <si>
    <t>PURU1</t>
  </si>
  <si>
    <t>Formyltetrahydrofolate deformylase 1, mitochondrial</t>
  </si>
  <si>
    <t>ko00630,ko00670</t>
  </si>
  <si>
    <t>Glyoxylate and dicarboxylate metabolism|One carbon pool by folate</t>
  </si>
  <si>
    <t>GO:0005739,GO:0008864,GO:0006189,GO:0006730,GO:0009853,GO:0046653</t>
  </si>
  <si>
    <t>mitochondrion|formyltetrahydrofolate deformylase activity|'de novo' IMP biosynthetic process|one-carbon metabolic process|photorespiration|tetrahydrofolate metabolic process</t>
  </si>
  <si>
    <t>J2O13_05G012050</t>
  </si>
  <si>
    <t>3.17E-10</t>
  </si>
  <si>
    <t>4.12E-09</t>
  </si>
  <si>
    <t>VAB</t>
  </si>
  <si>
    <t>VAN3-binding protein</t>
  </si>
  <si>
    <t>GO:0009734,GO:0010305,GO:0010087,GO:0006892,GO:0009733</t>
  </si>
  <si>
    <t>auxin-activated signaling pathway|leaf vascular tissue pattern formation|phloem or xylem histogenesis|post-Golgi vesicle-mediated transport|response to auxin</t>
  </si>
  <si>
    <t>J2O13_05G012052</t>
  </si>
  <si>
    <t>1.11E-07</t>
  </si>
  <si>
    <t>J2O13_05G012054</t>
  </si>
  <si>
    <t>TIP2-2</t>
  </si>
  <si>
    <t>Probable aquaporin TIP2-2</t>
  </si>
  <si>
    <t>GO:0042807,GO:0016020,GO:0000325,GO:0009705,GO:0015250,GO:0006833</t>
  </si>
  <si>
    <t>central vacuole|membrane|plant-type vacuole|plant-type vacuole membrane|water channel activity|water transport</t>
  </si>
  <si>
    <t>J2O13_05G012063</t>
  </si>
  <si>
    <t>At5g47470</t>
  </si>
  <si>
    <t>WAT1-related protein At5g47470</t>
  </si>
  <si>
    <t>J2O13_05G012079</t>
  </si>
  <si>
    <t>SFH11</t>
  </si>
  <si>
    <t>Phosphatidylinositol/phosphatidylcholine transfer protein SFH11</t>
  </si>
  <si>
    <t>GO:0000139,GO:0005886,GO:0015031</t>
  </si>
  <si>
    <t>Golgi membrane|plasma membrane|protein transport</t>
  </si>
  <si>
    <t>J2O13_05G012089</t>
  </si>
  <si>
    <t>ATG8F</t>
  </si>
  <si>
    <t>Autophagy-related protein 8f</t>
  </si>
  <si>
    <t>ko04068,ko04140,ko04138,ko04136,ko04137,ko04139,ko04621,ko04727,ko04212</t>
  </si>
  <si>
    <t>FoxO signaling pathway|Autophagy - animal|Autophagy - yeast|Autophagy - other|Mitophagy - animal|Mitophagy - yeast|NOD-like receptor signaling pathway|GABAergic synapse|Longevity regulating pathway - worm</t>
  </si>
  <si>
    <t>GO:0005776,GO:0000421,GO:0031410,GO:0005874,GO:0006914,GO:0006995,GO:0015031</t>
  </si>
  <si>
    <t>autophagosome|autophagosome membrane|cytoplasmic vesicle|microtubule|autophagy|cellular response to nitrogen starvation|protein transport</t>
  </si>
  <si>
    <t>J2O13_05G012107</t>
  </si>
  <si>
    <t>J2O13_05G012108</t>
  </si>
  <si>
    <t>TBL43</t>
  </si>
  <si>
    <t>Protein trichome birefringence-like 43</t>
  </si>
  <si>
    <t>J2O13_05G012110</t>
  </si>
  <si>
    <t>HSP17.7</t>
  </si>
  <si>
    <t>17.7 kDa class II heat shock protein</t>
  </si>
  <si>
    <t>GO:0005829,GO:0043621,GO:0051082,GO:0071456,GO:0006972,GO:0051259,GO:0006457,GO:0009408,GO:0042542,GO:0009651</t>
  </si>
  <si>
    <t>cytosol|protein self-association|unfolded protein binding|cellular response to hypoxia|hyperosmotic response|protein complex oligomerization|protein folding|response to heat|response to hydrogen peroxide|response to salt stress</t>
  </si>
  <si>
    <t>J2O13_05G012113</t>
  </si>
  <si>
    <t>2.70E-40</t>
  </si>
  <si>
    <t>6.09E-38</t>
  </si>
  <si>
    <t>YSL7</t>
  </si>
  <si>
    <t>Probable metal-nicotianamine transporter YSL7</t>
  </si>
  <si>
    <t>GO:0016020,GO:0035673</t>
  </si>
  <si>
    <t>membrane|oligopeptide transmembrane transporter activity</t>
  </si>
  <si>
    <t>J2O13_05G012114</t>
  </si>
  <si>
    <t>CCL4</t>
  </si>
  <si>
    <t>2-methylpropanoate--CoA ligase CCL4</t>
  </si>
  <si>
    <t>GO:0005829,GO:0005524,GO:0047760,GO:0016405,GO:0043759,GO:0050218</t>
  </si>
  <si>
    <t>cytosol|ATP binding|butyrate-CoA ligase activity|CoA-ligase activity|methylbutanoate-CoA ligase activity|propionate-CoA ligase activity</t>
  </si>
  <si>
    <t>J2O13_05G012117</t>
  </si>
  <si>
    <t>J2O13_05G012119</t>
  </si>
  <si>
    <t>J2O13_05G012123</t>
  </si>
  <si>
    <t>4.42E-07</t>
  </si>
  <si>
    <t>3.42E-06</t>
  </si>
  <si>
    <t>KPI111</t>
  </si>
  <si>
    <t>Kunitz type trypsin inhibitor 111</t>
  </si>
  <si>
    <t>GO:0048046,GO:0004867,GO:0010466</t>
  </si>
  <si>
    <t>apoplast|serine-type endopeptidase inhibitor activity|negative regulation of peptidase activity</t>
  </si>
  <si>
    <t>J2O13_05G012125</t>
  </si>
  <si>
    <t>2.69E-05</t>
  </si>
  <si>
    <t>NHL6</t>
  </si>
  <si>
    <t>NDR1/HIN1-like protein 6</t>
  </si>
  <si>
    <t>GO:0005829,GO:0005886,GO:0009738,GO:0010116,GO:0009737,GO:0006970,GO:1902074</t>
  </si>
  <si>
    <t>cytosol|plasma membrane|abscisic acid-activated signaling pathway|positive regulation of abscisic acid biosynthetic process|response to abscisic acid|response to osmotic stress|response to salt</t>
  </si>
  <si>
    <t>J2O13_05G012136</t>
  </si>
  <si>
    <t>9.97E-05</t>
  </si>
  <si>
    <t>At1g07650</t>
  </si>
  <si>
    <t>Probable LRR receptor-like serine/threonine-protein kinase At1g07650</t>
  </si>
  <si>
    <t>J2O13_05G012138</t>
  </si>
  <si>
    <t>DIOX2</t>
  </si>
  <si>
    <t>Probable 2-oxoglutarate/Fe(II)-dependent dioxygenase</t>
  </si>
  <si>
    <t>GO:0051213,GO:0046872,GO:0016740</t>
  </si>
  <si>
    <t>dioxygenase activity|metal ion binding|transferase activity</t>
  </si>
  <si>
    <t>J2O13_05G012142</t>
  </si>
  <si>
    <t>J2O13_05G012160</t>
  </si>
  <si>
    <t>8.90E-10</t>
  </si>
  <si>
    <t>CNL</t>
  </si>
  <si>
    <t>Trans-cinnamate:CoA ligase, peroxisomal</t>
  </si>
  <si>
    <t>GO:0005777,GO:0106286,GO:0016207,GO:0005524,GO:0016405,GO:0106290,GO:0009800,GO:0009803,GO:0007623,GO:0010597,GO:0009698,GO:0052315,GO:0009723</t>
  </si>
  <si>
    <t>peroxisome|(E)-caffeate-CoA ligase activity|4-coumarate-CoA ligase activity|ATP binding|CoA-ligase activity|trans-cinnamate-CoA ligase activity|cinnamic acid biosynthetic process|cinnamic acid metabolic process|circadian rhythm|green leaf volatile biosynthetic process|phenylpropanoid metabolic process|phytoalexin biosynthetic process|response to ethylene</t>
  </si>
  <si>
    <t>J2O13_05G012163</t>
  </si>
  <si>
    <t>J2O13_05G012169</t>
  </si>
  <si>
    <t>7.66E-30</t>
  </si>
  <si>
    <t>8.64E-28</t>
  </si>
  <si>
    <t>PSY</t>
  </si>
  <si>
    <t>Phytoene synthase, chloroplastic</t>
  </si>
  <si>
    <t>GO:0010287,GO:0004311,GO:0016767,GO:0016117</t>
  </si>
  <si>
    <t>plastoglobule|farnesyltranstransferase activity|geranylgeranyl-diphosphate geranylgeranyltransferase activity|carotenoid biosynthetic process</t>
  </si>
  <si>
    <t>J2O13_05G012172</t>
  </si>
  <si>
    <t>J2O13_05G012197</t>
  </si>
  <si>
    <t>1.17E-08</t>
  </si>
  <si>
    <t>RVE1</t>
  </si>
  <si>
    <t>Protein REVEILLE 1</t>
  </si>
  <si>
    <t>GO:0005634,GO:0003677,GO:0003700,GO:0009734,GO:0007623,GO:0010600,GO:0006355</t>
  </si>
  <si>
    <t>nucleus|DNA binding|DNA-binding transcription factor activity|auxin-activated signaling pathway|circadian rhythm|regulation of auxin biosynthetic process|regulation of DNA-templated transcription</t>
  </si>
  <si>
    <t>J2O13_05G012233</t>
  </si>
  <si>
    <t>1.50E-08</t>
  </si>
  <si>
    <t>At4g09670</t>
  </si>
  <si>
    <t>Uncharacterized oxidoreductase At4g09670</t>
  </si>
  <si>
    <t>ko03013</t>
  </si>
  <si>
    <t>Nucleocytoplasmic transport</t>
  </si>
  <si>
    <t>GO:0005829,GO:0000166,GO:0016491</t>
  </si>
  <si>
    <t>cytosol|nucleotide binding|oxidoreductase activity</t>
  </si>
  <si>
    <t>J2O13_05G012244</t>
  </si>
  <si>
    <t>J2O13_05G012247</t>
  </si>
  <si>
    <t>J2O13_05G012248</t>
  </si>
  <si>
    <t>5.18E-19</t>
  </si>
  <si>
    <t>2.08E-17</t>
  </si>
  <si>
    <t>SKOR</t>
  </si>
  <si>
    <t>Potassium channel SKOR</t>
  </si>
  <si>
    <t>GO:0016020,GO:0015271,GO:0055075,GO:0006813,GO:0034765</t>
  </si>
  <si>
    <t>membrane|outward rectifier potassium channel activity|potassium ion homeostasis|potassium ion transport|regulation of ion transmembrane transport</t>
  </si>
  <si>
    <t>J2O13_05G012257</t>
  </si>
  <si>
    <t>2.05E-10</t>
  </si>
  <si>
    <t>2.73E-09</t>
  </si>
  <si>
    <t>UGT73C25</t>
  </si>
  <si>
    <t>UDP-glycosyltransferase 73C25</t>
  </si>
  <si>
    <t>GO:0046527,GO:0008194,GO:0016134</t>
  </si>
  <si>
    <t>glucosyltransferase activity|UDP-glycosyltransferase activity|saponin metabolic process</t>
  </si>
  <si>
    <t>J2O13_05G012271</t>
  </si>
  <si>
    <t>ko04111</t>
  </si>
  <si>
    <t>Cell cycle - yeast</t>
  </si>
  <si>
    <t>J2O13_05G012276</t>
  </si>
  <si>
    <t>8.29E-05</t>
  </si>
  <si>
    <t>PDLP7</t>
  </si>
  <si>
    <t>Plasmodesmata-located protein 7</t>
  </si>
  <si>
    <t>J2O13_05G012296</t>
  </si>
  <si>
    <t>1.16E-07</t>
  </si>
  <si>
    <t>1.00E-06</t>
  </si>
  <si>
    <t>PQL3</t>
  </si>
  <si>
    <t>PsbQ-like protein 3, chloroplastic</t>
  </si>
  <si>
    <t>GO:0009507,GO:0009543,GO:0009535,GO:0019898,GO:0009654,GO:0005509,GO:0045156,GO:0009767,GO:0009409</t>
  </si>
  <si>
    <t>chloroplast|chloroplast thylakoid lumen|chloroplast thylakoid membrane|extrinsic component of membrane|photosystem II oxygen evolving complex|calcium ion binding|electron transporter, transferring electrons within the cyclic electron transport pathway of photosynthesis activity|photosynthetic electron transport chain|response to cold</t>
  </si>
  <si>
    <t>J2O13_05G012298</t>
  </si>
  <si>
    <t>6.23E-34</t>
  </si>
  <si>
    <t>9.41E-32</t>
  </si>
  <si>
    <t>J2O13_05G012300</t>
  </si>
  <si>
    <t>MYOB3</t>
  </si>
  <si>
    <t>Myosin-binding protein 3</t>
  </si>
  <si>
    <t>GO:0016020,GO:0017022,GO:0080115</t>
  </si>
  <si>
    <t>membrane|myosin binding|myosin XI tail binding</t>
  </si>
  <si>
    <t>J2O13_05G012305</t>
  </si>
  <si>
    <t>RSI-1</t>
  </si>
  <si>
    <t>Protein RSI-1</t>
  </si>
  <si>
    <t>GO:0005576</t>
  </si>
  <si>
    <t>extracellular region</t>
  </si>
  <si>
    <t>J2O13_05G012349</t>
  </si>
  <si>
    <t>1.38E-11</t>
  </si>
  <si>
    <t>2.18E-10</t>
  </si>
  <si>
    <t>J2O13_05G012355</t>
  </si>
  <si>
    <t>HIPP21</t>
  </si>
  <si>
    <t>Heavy metal-associated isoprenylated plant protein 21</t>
  </si>
  <si>
    <t>J2O13_05G012362</t>
  </si>
  <si>
    <t>5.53E-31</t>
  </si>
  <si>
    <t>6.80E-29</t>
  </si>
  <si>
    <t>CLPP3</t>
  </si>
  <si>
    <t>ATP-dependent Clp protease proteolytic subunit 3, chloroplastic</t>
  </si>
  <si>
    <t>ko04112,ko04212</t>
  </si>
  <si>
    <t>Cell cycle - Caulobacter|Longevity regulating pathway - worm</t>
  </si>
  <si>
    <t>GO:0009507,GO:0009941,GO:0009570,GO:0009534,GO:0009840,GO:0009368,GO:0009532,GO:0004176,GO:0051117,GO:0004252,GO:0006515</t>
  </si>
  <si>
    <t>chloroplast|chloroplast envelope|chloroplast stroma|chloroplast thylakoid|chloroplastic endopeptidase Clp complex|endopeptidase Clp complex|plastid stroma|ATP-dependent peptidase activity|ATPase binding|serine-type endopeptidase activity|protein quality control for misfolded or incompletely synthesized proteins</t>
  </si>
  <si>
    <t>J2O13_05G012366</t>
  </si>
  <si>
    <t>J2O13_05G012389</t>
  </si>
  <si>
    <t>J2O13_05G012395</t>
  </si>
  <si>
    <t>J2O13_05G012401</t>
  </si>
  <si>
    <t>1.90E-05</t>
  </si>
  <si>
    <t>ZAR1</t>
  </si>
  <si>
    <t>Receptor protein kinase-like protein ZAR1</t>
  </si>
  <si>
    <t>GO:0009507,GO:0009570,GO:0009505,GO:0005886,GO:0090406,GO:0099503,GO:0005524,GO:0016301,GO:0106310,GO:0004674,GO:0046777,GO:0010070,GO:0010069</t>
  </si>
  <si>
    <t>chloroplast|chloroplast stroma|plant-type cell wall|plasma membrane|pollen tube|secretory vesicle|ATP binding|kinase activity|protein serine kinase activity|protein serine/threonine kinase activity|protein autophosphorylation|zygote asymmetric cell division|zygote asymmetric cytokinesis in embryo sac</t>
  </si>
  <si>
    <t>J2O13_05G012403</t>
  </si>
  <si>
    <t>9.02E-08</t>
  </si>
  <si>
    <t>PMI2</t>
  </si>
  <si>
    <t>Protein PLASTID MOVEMENT IMPAIRED 2</t>
  </si>
  <si>
    <t>GO:0005829,GO:0009904,GO:0009903,GO:0009637</t>
  </si>
  <si>
    <t>cytosol|chloroplast accumulation movement|chloroplast avoidance movement|response to blue light</t>
  </si>
  <si>
    <t>J2O13_05G012413</t>
  </si>
  <si>
    <t>2.82E-11</t>
  </si>
  <si>
    <t>4.27E-10</t>
  </si>
  <si>
    <t>PCMP-E75</t>
  </si>
  <si>
    <t>Pentatricopeptide repeat-containing protein At2g42920, chloroplastic</t>
  </si>
  <si>
    <t>GO:0009507,GO:0003723,GO:0009451</t>
  </si>
  <si>
    <t>chloroplast|RNA binding|RNA modification</t>
  </si>
  <si>
    <t>J2O13_05G012414</t>
  </si>
  <si>
    <t>9.06E-06</t>
  </si>
  <si>
    <t>GPAT1</t>
  </si>
  <si>
    <t>Glycerol-3-phosphate acyltransferase 1</t>
  </si>
  <si>
    <t>GO:0016020,GO:0005739,GO:0090447,GO:0004366,GO:0016791,GO:0102420,GO:0016024,GO:0010143,GO:0048235</t>
  </si>
  <si>
    <t>membrane|mitochondrion|glycerol-3-phosphate 2-O-acyltransferase activity|glycerol-3-phosphate O-acyltransferase activity|phosphatase activity|sn-1-glycerol-3-phosphate C16:0-DCA-CoA acyl transferase activity|CDP-diacylglycerol biosynthetic process|cutin biosynthetic process|pollen sperm cell differentiation</t>
  </si>
  <si>
    <t>J2O13_05G012427</t>
  </si>
  <si>
    <t>9.90E-08</t>
  </si>
  <si>
    <t>8.63E-07</t>
  </si>
  <si>
    <t>FHY</t>
  </si>
  <si>
    <t>Bifunctional riboflavin kinase/FMN phosphatase</t>
  </si>
  <si>
    <t>ko00740</t>
  </si>
  <si>
    <t>Riboflavin metabolism</t>
  </si>
  <si>
    <t>GO:0005524,GO:0003919,GO:0016787,GO:0000287,GO:0008531,GO:0009398,GO:0016310,GO:0009231,GO:0006771</t>
  </si>
  <si>
    <t>ATP binding|FMN adenylyltransferase activity|hydrolase activity|magnesium ion binding|riboflavin kinase activity|FMN biosynthetic process|phosphorylation|riboflavin biosynthetic process|riboflavin metabolic process</t>
  </si>
  <si>
    <t>J2O13_05G012428</t>
  </si>
  <si>
    <t>1.40E-07</t>
  </si>
  <si>
    <t>CGL160</t>
  </si>
  <si>
    <t>Protein CONSERVED ONLY IN THE GREEN LINEAGE 160, chloroplastic</t>
  </si>
  <si>
    <t>GO:0009534,GO:0009535,GO:0033614</t>
  </si>
  <si>
    <t>chloroplast thylakoid|chloroplast thylakoid membrane|chloroplast proton-transporting ATP synthase complex assembly</t>
  </si>
  <si>
    <t>J2O13_05G012436</t>
  </si>
  <si>
    <t>9.86E-08</t>
  </si>
  <si>
    <t>8.61E-07</t>
  </si>
  <si>
    <t>J2O13_05G012437</t>
  </si>
  <si>
    <t>VTL5</t>
  </si>
  <si>
    <t>Vacuolar iron transporter homolog 2.1</t>
  </si>
  <si>
    <t>GO:0016020,GO:0005774,GO:0005381,GO:0005384,GO:0006879,GO:0030026,GO:0006880,GO:0010039</t>
  </si>
  <si>
    <t>membrane|vacuolar membrane|iron ion transmembrane transporter activity|manganese ion transmembrane transporter activity|cellular iron ion homeostasis|cellular manganese ion homeostasis|intracellular sequestering of iron ion|response to iron ion</t>
  </si>
  <si>
    <t>J2O13_05G012442</t>
  </si>
  <si>
    <t>PILS3</t>
  </si>
  <si>
    <t>Protein PIN-LIKES 3</t>
  </si>
  <si>
    <t>GO:0005789,GO:0005739,GO:0009734,GO:0080162,GO:0009733</t>
  </si>
  <si>
    <t>endoplasmic reticulum membrane|mitochondrion|auxin-activated signaling pathway|endoplasmic reticulum to cytosol auxin transport|response to auxin</t>
  </si>
  <si>
    <t>J2O13_05G012447</t>
  </si>
  <si>
    <t>HMGR3</t>
  </si>
  <si>
    <t>3-hydroxy-3-methylglutaryl-coenzyme A reductase 3</t>
  </si>
  <si>
    <t>J2O13_05G012455</t>
  </si>
  <si>
    <t>MORC6</t>
  </si>
  <si>
    <t>Protein MICRORCHIDIA 6</t>
  </si>
  <si>
    <t>GO:0009941,GO:0005634,GO:0009506,GO:0005524,GO:0016887,GO:0003677,GO:0004519,GO:0042803,GO:0003723,GO:0006952,GO:0006281,GO:0080188,GO:1902290,GO:0006282,GO:0060966</t>
  </si>
  <si>
    <t>chloroplast envelope|nucleus|plasmodesma|ATP binding|ATP hydrolysis activity|DNA binding|endonuclease activity|protein homodimerization activity|RNA binding|defense response|DNA repair|gene silencing by RNA-directed DNA methylation|positive regulation of defense response to oomycetes|regulation of DNA repair|regulation of gene silencing by RNA</t>
  </si>
  <si>
    <t>J2O13_05G012466</t>
  </si>
  <si>
    <t>ATL80</t>
  </si>
  <si>
    <t>RING-H2 finger protein ATL80</t>
  </si>
  <si>
    <t>GO:0005886,GO:0046872,GO:0061630,GO:0070417,GO:0006952,GO:0009909,GO:0010966</t>
  </si>
  <si>
    <t>plasma membrane|metal ion binding|ubiquitin protein ligase activity|cellular response to cold|defense response|regulation of flower development|regulation of phosphate transport</t>
  </si>
  <si>
    <t>J2O13_05G012467</t>
  </si>
  <si>
    <t>8.55E-23</t>
  </si>
  <si>
    <t>4.87E-21</t>
  </si>
  <si>
    <t>MLO8</t>
  </si>
  <si>
    <t>MLO-like protein 8</t>
  </si>
  <si>
    <t>GO:0005886,GO:0005516,GO:0006952,GO:0009607</t>
  </si>
  <si>
    <t>plasma membrane|calmodulin binding|defense response|response to biotic stimulus</t>
  </si>
  <si>
    <t>J2O13_05G012471</t>
  </si>
  <si>
    <t>7.46E-31</t>
  </si>
  <si>
    <t>9.10E-29</t>
  </si>
  <si>
    <t>PILS7</t>
  </si>
  <si>
    <t>Protein PIN-LIKES 7</t>
  </si>
  <si>
    <t>GO:0005789,GO:0009734,GO:0080162,GO:0009733</t>
  </si>
  <si>
    <t>endoplasmic reticulum membrane|auxin-activated signaling pathway|endoplasmic reticulum to cytosol auxin transport|response to auxin</t>
  </si>
  <si>
    <t>J2O13_05G012473</t>
  </si>
  <si>
    <t>RRP44A</t>
  </si>
  <si>
    <t>Exosome complex exonuclease RRP44 homolog A</t>
  </si>
  <si>
    <t>GO:0000177,GO:0000178,GO:0000176,GO:0000175,GO:0004519,GO:0046872,GO:0003723,GO:0016075,GO:0006364</t>
  </si>
  <si>
    <t>cytoplasmic exosome (RNase complex)|exosome (RNase complex)|nuclear exosome (RNase complex)|3'-5'-exoribonuclease activity|endonuclease activity|metal ion binding|RNA binding|rRNA catabolic process|rRNA processing</t>
  </si>
  <si>
    <t>J2O13_05G012480</t>
  </si>
  <si>
    <t>2.68E-07</t>
  </si>
  <si>
    <t>2.14E-06</t>
  </si>
  <si>
    <t>At3g51470</t>
  </si>
  <si>
    <t>Probable protein phosphatase 2C 47</t>
  </si>
  <si>
    <t>J2O13_05G012488</t>
  </si>
  <si>
    <t>7.39E-09</t>
  </si>
  <si>
    <t>7.84E-08</t>
  </si>
  <si>
    <t>J2O13_05G012497</t>
  </si>
  <si>
    <t>2.07E-06</t>
  </si>
  <si>
    <t>1.40E-05</t>
  </si>
  <si>
    <t>PI206</t>
  </si>
  <si>
    <t>Disease resistance response protein 206</t>
  </si>
  <si>
    <t>GO:0048046,GO:0006952,GO:0009699,GO:0009607</t>
  </si>
  <si>
    <t>apoplast|defense response|phenylpropanoid biosynthetic process|response to biotic stimulus</t>
  </si>
  <si>
    <t>J2O13_05G012499</t>
  </si>
  <si>
    <t>3.19E-14</t>
  </si>
  <si>
    <t>7.20E-13</t>
  </si>
  <si>
    <t>CAT2</t>
  </si>
  <si>
    <t>Catalase isozyme 2</t>
  </si>
  <si>
    <t>ko00630,ko00380,ko04016,ko04011,ko04068,ko04146,ko04211,ko04212,ko04213,ko05208,ko05014,ko05022</t>
  </si>
  <si>
    <t>Glyoxylate and dicarboxylate metabolism|Tryptophan metabolism|MAPK signaling pathway - plant|MAPK signaling pathway - yeast|FoxO signaling pathway|Peroxisome|Longevity regulating pathway|Longevity regulating pathway - worm|Longevity regulating pathway - multiple species|Chemical carcinogenesis - reactive oxygen species|Amyotrophic lateral sclerosis|Pathways of neurodegeneration - multiple diseases</t>
  </si>
  <si>
    <t>GO:0005737,GO:0009514,GO:0005634,GO:0005777,GO:0005886,GO:0004096,GO:0020037,GO:0046872,GO:0042744,GO:0042542,GO:0009845</t>
  </si>
  <si>
    <t>cytoplasm|glyoxysome|nucleus|peroxisome|plasma membrane|catalase activity|heme binding|metal ion binding|hydrogen peroxide catabolic process|response to hydrogen peroxide|seed germination</t>
  </si>
  <si>
    <t>J2O13_05G012510</t>
  </si>
  <si>
    <t>5.51E-10</t>
  </si>
  <si>
    <t>6.89E-09</t>
  </si>
  <si>
    <t>SSL6</t>
  </si>
  <si>
    <t>Protein STRICTOSIDINE SYNTHASE-LIKE 6</t>
  </si>
  <si>
    <t>GO:0005783,GO:0005773,GO:0009058,GO:0009723,GO:0009620,GO:0009753,GO:0009751,GO:0009615,GO:0009611</t>
  </si>
  <si>
    <t>endoplasmic reticulum|vacuole|biosynthetic process|response to ethylene|response to fungus|response to jasmonic acid|response to salicylic acid|response to virus|response to wounding</t>
  </si>
  <si>
    <t>J2O13_05G012513</t>
  </si>
  <si>
    <t>6.99E-13</t>
  </si>
  <si>
    <t>1.33E-11</t>
  </si>
  <si>
    <t>AAE1</t>
  </si>
  <si>
    <t>Butanoate--CoA ligase AAE1</t>
  </si>
  <si>
    <t>GO:0005777,GO:0016874,GO:0006631</t>
  </si>
  <si>
    <t>peroxisome|ligase activity|fatty acid metabolic process</t>
  </si>
  <si>
    <t>J2O13_05G012515</t>
  </si>
  <si>
    <t>Endochitinase OS=Pisum sativum OX=3888 PE=2 SV=1</t>
  </si>
  <si>
    <t>ko00520,ko04016</t>
  </si>
  <si>
    <t>Amino sugar and nucleotide sugar metabolism|MAPK signaling pathway - plant</t>
  </si>
  <si>
    <t>GO:0008061,GO:0004568,GO:0016998,GO:0006032,GO:0006952,GO:0000272</t>
  </si>
  <si>
    <t>chitin binding|chitinase activity|cell wall macromolecule catabolic process|chitin catabolic process|defense response|polysaccharide catabolic process</t>
  </si>
  <si>
    <t>J2O13_05G012518</t>
  </si>
  <si>
    <t>J2O13_05G012530</t>
  </si>
  <si>
    <t>3.42E-22</t>
  </si>
  <si>
    <t>1.86E-20</t>
  </si>
  <si>
    <t>At2g17695</t>
  </si>
  <si>
    <t>UPF0548 protein At2g17695</t>
  </si>
  <si>
    <t>GO:0009507,GO:0009941,GO:0005739</t>
  </si>
  <si>
    <t>chloroplast|chloroplast envelope|mitochondrion</t>
  </si>
  <si>
    <t>J2O13_05G012537</t>
  </si>
  <si>
    <t>7.75E-05</t>
  </si>
  <si>
    <t>ko05166</t>
  </si>
  <si>
    <t>Human T-cell leukemia virus 1 infection</t>
  </si>
  <si>
    <t>J2O13_05G012553</t>
  </si>
  <si>
    <t>5.15E-07</t>
  </si>
  <si>
    <t>3.92E-06</t>
  </si>
  <si>
    <t>LFNR1</t>
  </si>
  <si>
    <t>Ferredoxin--NADP reductase, leaf isozyme 1, chloroplastic</t>
  </si>
  <si>
    <t>GO:0048046,GO:0009507,GO:0009941,GO:0009570,GO:0009534,GO:0009535,GO:0098807,GO:0009536,GO:0009579,GO:0031977,GO:0045156,GO:0045157,GO:0004324,GO:0008266,GO:0019904,GO:0009767</t>
  </si>
  <si>
    <t>apoplast|chloroplast|chloroplast envelope|chloroplast stroma|chloroplast thylakoid|chloroplast thylakoid membrane|chloroplast thylakoid membrane protein complex|plastid|thylakoid|thylakoid lumen|electron transporter, transferring electrons within the cyclic electron transport pathway of photosynthesis activity|electron transporter, transferring electrons within the noncyclic electron transport pathway of photosynthesis activity|ferredoxin-NADP+ reductase activity|poly(U) RNA binding|protein domain specific binding|photosynthetic electron transport chain</t>
  </si>
  <si>
    <t>J2O13_05G012554</t>
  </si>
  <si>
    <t>J2O13_05G012561</t>
  </si>
  <si>
    <t>3.69E-07</t>
  </si>
  <si>
    <t>2.90E-06</t>
  </si>
  <si>
    <t>J2O13_05G012566</t>
  </si>
  <si>
    <t>OPT7</t>
  </si>
  <si>
    <t>Oligopeptide transporter 7</t>
  </si>
  <si>
    <t>GO:0016020,GO:0005886,GO:0035673,GO:0015031</t>
  </si>
  <si>
    <t>membrane|plasma membrane|oligopeptide transmembrane transporter activity|protein transport</t>
  </si>
  <si>
    <t>J2O13_05G012571</t>
  </si>
  <si>
    <t>1.07E-08</t>
  </si>
  <si>
    <t>AHK1</t>
  </si>
  <si>
    <t>Histidine kinase 1</t>
  </si>
  <si>
    <t>GO:0005886,GO:0009927,GO:0005034,GO:0000155,GO:0009738,GO:0006970,GO:0009414,GO:0010431,GO:0010375</t>
  </si>
  <si>
    <t>plasma membrane|histidine phosphotransfer kinase activity|osmosensor activity|phosphorelay sensor kinase activity|abscisic acid-activated signaling pathway|response to osmotic stress|response to water deprivation|seed maturation|stomatal complex patterning</t>
  </si>
  <si>
    <t>J2O13_05G012573</t>
  </si>
  <si>
    <t>J2O13_05G012586</t>
  </si>
  <si>
    <t>2.69E-20</t>
  </si>
  <si>
    <t>1.21E-18</t>
  </si>
  <si>
    <t>HIPP27</t>
  </si>
  <si>
    <t>Heavy metal-associated isoprenylated plant protein 27</t>
  </si>
  <si>
    <t>GO:0005886,GO:0046872,GO:0050896</t>
  </si>
  <si>
    <t>plasma membrane|metal ion binding|response to stimulus</t>
  </si>
  <si>
    <t>J2O13_05G012599</t>
  </si>
  <si>
    <t>FD</t>
  </si>
  <si>
    <t>Protein FD</t>
  </si>
  <si>
    <t>GO:0005634,GO:0003677,GO:0003700,GO:0043621,GO:0009648,GO:0045893,GO:0009911,GO:0006355,GO:0009909,GO:2000028</t>
  </si>
  <si>
    <t>nucleus|DNA binding|DNA-binding transcription factor activity|protein self-association|photoperiodism|positive regulation of DNA-templated transcription|positive regulation of flower development|regulation of DNA-templated transcription|regulation of flower development|regulation of photoperiodism, flowering</t>
  </si>
  <si>
    <t>J2O13_05G012610</t>
  </si>
  <si>
    <t>J2O13_05G012644</t>
  </si>
  <si>
    <t>4.67E-08</t>
  </si>
  <si>
    <t>4.32E-07</t>
  </si>
  <si>
    <t>J2O13_05G012653</t>
  </si>
  <si>
    <t>2.74E-14</t>
  </si>
  <si>
    <t>6.23E-13</t>
  </si>
  <si>
    <t>MSRA5</t>
  </si>
  <si>
    <t>Peptide methionine sulfoxide reductase A5</t>
  </si>
  <si>
    <t>GO:0005737,GO:0036456,GO:0008113,GO:0034599</t>
  </si>
  <si>
    <t>cytoplasm|L-methionine-(S)-S-oxide reductase activity|peptide-methionine (S)-S-oxide reductase activity|cellular response to oxidative stress</t>
  </si>
  <si>
    <t>J2O13_05G012661</t>
  </si>
  <si>
    <t>NAC037</t>
  </si>
  <si>
    <t>NAC domain-containing protein 37</t>
  </si>
  <si>
    <t>GO:0005634,GO:0003700,GO:0043565,GO:0000976,GO:1990110,GO:0071555,GO:1901348,GO:0006355,GO:0048759</t>
  </si>
  <si>
    <t>nucleus|DNA-binding transcription factor activity|sequence-specific DNA binding|transcription cis-regulatory region binding|callus formation|cell wall organization|positive regulation of secondary cell wall biogenesis|regulation of DNA-templated transcription|xylem vessel member cell differentiation</t>
  </si>
  <si>
    <t>J2O13_05G012665</t>
  </si>
  <si>
    <t>J2O13_05G012668</t>
  </si>
  <si>
    <t>1.46E-38</t>
  </si>
  <si>
    <t>3.03E-36</t>
  </si>
  <si>
    <t>At3g51130</t>
  </si>
  <si>
    <t>PHAF1 protein At3g51130</t>
  </si>
  <si>
    <t>J2O13_05G012678</t>
  </si>
  <si>
    <t>9.34E-15</t>
  </si>
  <si>
    <t>2.27E-13</t>
  </si>
  <si>
    <t>J2O13_05G012681</t>
  </si>
  <si>
    <t>SHI</t>
  </si>
  <si>
    <t>Protein SHORT INTERNODES</t>
  </si>
  <si>
    <t>GO:0005634,GO:0003677,GO:0003700,GO:0046872,GO:0046982,GO:0000976,GO:0048653,GO:0009851,GO:0009734,GO:0009740,GO:0009938,GO:0009555,GO:0045893,GO:0009739</t>
  </si>
  <si>
    <t>nucleus|DNA binding|DNA-binding transcription factor activity|metal ion binding|protein heterodimerization activity|transcription cis-regulatory region binding|anther development|auxin biosynthetic process|auxin-activated signaling pathway|gibberellic acid mediated signaling pathway|negative regulation of gibberellic acid mediated signaling pathway|pollen development|positive regulation of DNA-templated transcription|response to gibberellin</t>
  </si>
  <si>
    <t>J2O13_05G012687</t>
  </si>
  <si>
    <t>7.48E-16</t>
  </si>
  <si>
    <t>PAP25</t>
  </si>
  <si>
    <t>Purple acid phosphatase 25</t>
  </si>
  <si>
    <t>GO:0005576,GO:0003993,GO:0046872,GO:0004721,GO:0006796</t>
  </si>
  <si>
    <t>extracellular region|acid phosphatase activity|metal ion binding|phosphoprotein phosphatase activity|phosphate-containing compound metabolic process</t>
  </si>
  <si>
    <t>J2O13_05G012689</t>
  </si>
  <si>
    <t>Thioredoxin H-type OS=Ricinus communis OX=3988 PE=3 SV=1</t>
  </si>
  <si>
    <t>J2O13_05G012693</t>
  </si>
  <si>
    <t>ARL2</t>
  </si>
  <si>
    <t>ADP-ribosylation factor-like protein 2</t>
  </si>
  <si>
    <t>GO:0005737,GO:0015630,GO:0005525,GO:0003924,GO:0009793,GO:0009558,GO:0009960,GO:0006457,GO:0007021</t>
  </si>
  <si>
    <t>cytoplasm|microtubule cytoskeleton|GTP binding|GTPase activity|embryo development ending in seed dormancy|embryo sac cellularization|endosperm development|protein folding|tubulin complex assembly</t>
  </si>
  <si>
    <t>J2O13_05G012696</t>
  </si>
  <si>
    <t>1.56E-26</t>
  </si>
  <si>
    <t>1.26E-24</t>
  </si>
  <si>
    <t>At4g36390</t>
  </si>
  <si>
    <t>CDK5RAP1-like protein</t>
  </si>
  <si>
    <t>GO:0005829,GO:0005739,GO:0051539,GO:0046872,GO:0035597,GO:0045736,GO:0000079</t>
  </si>
  <si>
    <t>cytosol|mitochondrion|4 iron, 4 sulfur cluster binding|metal ion binding|N6-isopentenyladenosine methylthiotransferase activity|negative regulation of cyclin-dependent protein serine/threonine kinase activity|regulation of cyclin-dependent protein serine/threonine kinase activity</t>
  </si>
  <si>
    <t>J2O13_05G012699</t>
  </si>
  <si>
    <t>8.04E-21</t>
  </si>
  <si>
    <t>3.88E-19</t>
  </si>
  <si>
    <t>At1g50180</t>
  </si>
  <si>
    <t>Putative disease resistance protein At1g50180</t>
  </si>
  <si>
    <t>GO:0009506,GO:0043531,GO:0005524,GO:0006952,GO:0051707</t>
  </si>
  <si>
    <t>plasmodesma|ADP binding|ATP binding|defense response|response to other organism</t>
  </si>
  <si>
    <t>J2O13_05G012701</t>
  </si>
  <si>
    <t>BDG2</t>
  </si>
  <si>
    <t>Probable lysophospholipase BODYGUARD 2</t>
  </si>
  <si>
    <t>GO:0005576,GO:0005886,GO:0016787,GO:0071555</t>
  </si>
  <si>
    <t>extracellular region|plasma membrane|hydrolase activity|cell wall organization</t>
  </si>
  <si>
    <t>J2O13_05G012704</t>
  </si>
  <si>
    <t>J2O13_05G012712</t>
  </si>
  <si>
    <t>5.10E-14</t>
  </si>
  <si>
    <t>At1g43910</t>
  </si>
  <si>
    <t>AAA-ATPase At1g43910</t>
  </si>
  <si>
    <t>GO:0005783,GO:0005794,GO:0016020,GO:0009506,GO:0005524,GO:0016887,GO:0051365</t>
  </si>
  <si>
    <t>endoplasmic reticulum|Golgi apparatus|membrane|plasmodesma|ATP binding|ATP hydrolysis activity|cellular response to potassium ion starvation</t>
  </si>
  <si>
    <t>J2O13_05G012714</t>
  </si>
  <si>
    <t>2.28E-05</t>
  </si>
  <si>
    <t>BZIP11</t>
  </si>
  <si>
    <t>bZIP transcription factor 11</t>
  </si>
  <si>
    <t>GO:0005634,GO:0003700,GO:0046982,GO:0043565,GO:0000976,GO:0017148,GO:0045893,GO:0009744,GO:0080149</t>
  </si>
  <si>
    <t>nucleus|DNA-binding transcription factor activity|protein heterodimerization activity|sequence-specific DNA binding|transcription cis-regulatory region binding|negative regulation of translation|positive regulation of DNA-templated transcription|response to sucrose|sucrose induced translational repression</t>
  </si>
  <si>
    <t>J2O13_05G012725</t>
  </si>
  <si>
    <t>7.69E-37</t>
  </si>
  <si>
    <t>1.41E-34</t>
  </si>
  <si>
    <t>HSR4</t>
  </si>
  <si>
    <t>Protein HYPER-SENSITIVITY-RELATED 4</t>
  </si>
  <si>
    <t>GO:0005740,GO:0005741,GO:0005739,GO:0005524,GO:0016887,GO:0042802,GO:0008219,GO:0009626,GO:0009617,GO:0002237,GO:0009411,GO:0009863</t>
  </si>
  <si>
    <t>mitochondrial envelope|mitochondrial outer membrane|mitochondrion|ATP binding|ATP hydrolysis activity|identical protein binding|cell death|plant-type hypersensitive response|response to bacterium|response to molecule of bacterial origin|response to UV|salicylic acid mediated signaling pathway</t>
  </si>
  <si>
    <t>J2O13_05G012730</t>
  </si>
  <si>
    <t>1.44E-25</t>
  </si>
  <si>
    <t>1.05E-23</t>
  </si>
  <si>
    <t>BSMT2</t>
  </si>
  <si>
    <t>S-adenosyl-L-methionine:benzoic acid/salicylic acid carboxyl methyltransferase 2</t>
  </si>
  <si>
    <t>GO:0046872,GO:0008168,GO:0019438,GO:0032259,GO:0009723</t>
  </si>
  <si>
    <t>metal ion binding|methyltransferase activity|aromatic compound biosynthetic process|methylation|response to ethylene</t>
  </si>
  <si>
    <t>J2O13_05G012736</t>
  </si>
  <si>
    <t>7.78E-08</t>
  </si>
  <si>
    <t>6.93E-07</t>
  </si>
  <si>
    <t>J2O13_05G012738</t>
  </si>
  <si>
    <t>1.14E-09</t>
  </si>
  <si>
    <t>J2O13_05G012740</t>
  </si>
  <si>
    <t>J2O13_05G012748</t>
  </si>
  <si>
    <t>RFC3</t>
  </si>
  <si>
    <t>Replication factor C subunit 3</t>
  </si>
  <si>
    <t>ko03030,ko03410,ko03420,ko03430</t>
  </si>
  <si>
    <t>DNA replication|Base excision repair|Nucleotide excision repair|Mismatch repair</t>
  </si>
  <si>
    <t>GO:0005663,GO:0005634,GO:0005524,GO:0003677,GO:0006281,GO:0006261</t>
  </si>
  <si>
    <t>DNA replication factor C complex|nucleus|ATP binding|DNA binding|DNA repair|DNA-templated DNA replication</t>
  </si>
  <si>
    <t>J2O13_05G012751</t>
  </si>
  <si>
    <t>4.49E-15</t>
  </si>
  <si>
    <t>1.14E-13</t>
  </si>
  <si>
    <t>PCMP-H61</t>
  </si>
  <si>
    <t>Pentatricopeptide repeat-containing protein At5g66520</t>
  </si>
  <si>
    <t>GO:0009507,GO:0003729,GO:0008270,GO:1900865,GO:0016554</t>
  </si>
  <si>
    <t>chloroplast|mRNA binding|zinc ion binding|chloroplast RNA modification|cytidine to uridine editing</t>
  </si>
  <si>
    <t>J2O13_05G012752</t>
  </si>
  <si>
    <t>J2O13_05G012758</t>
  </si>
  <si>
    <t>2.24E-07</t>
  </si>
  <si>
    <t>J2O13_05G012759</t>
  </si>
  <si>
    <t>2.51E-13</t>
  </si>
  <si>
    <t>5.03E-12</t>
  </si>
  <si>
    <t>ZHD6</t>
  </si>
  <si>
    <t>Zinc-finger homeodomain protein 6</t>
  </si>
  <si>
    <t>GO:0005634,GO:0003677,GO:0003700,GO:0046872,GO:0042803,GO:0000976,GO:0006355</t>
  </si>
  <si>
    <t>nucleus|DNA binding|DNA-binding transcription factor activity|metal ion binding|protein homodimerization activity|transcription cis-regulatory region binding|regulation of DNA-templated transcription</t>
  </si>
  <si>
    <t>J2O13_05G012761</t>
  </si>
  <si>
    <t>PHYLLO</t>
  </si>
  <si>
    <t>Protein PHYLLO, chloroplastic</t>
  </si>
  <si>
    <t>GO:0031969,GO:0070204,GO:0070205,GO:0046872,GO:0043748,GO:0030976,GO:0009063,GO:0009234,GO:0042550,GO:0042372</t>
  </si>
  <si>
    <t>chloroplast membrane|2-succinyl-5-enolpyruvyl-6-hydroxy-3-cyclohexene-1-carboxylic-acid synthase activity|2-succinyl-6-hydroxy-2,4-cyclohexadiene-1-carboxylate synthase activity|metal ion binding|O-succinylbenzoate synthase activity|thiamine pyrophosphate binding|amino acid catabolic process|menaquinone biosynthetic process|photosystem I stabilization|phylloquinone biosynthetic process</t>
  </si>
  <si>
    <t>J2O13_05G012769</t>
  </si>
  <si>
    <t>At1g06690</t>
  </si>
  <si>
    <t>Uncharacterized oxidoreductase At1g06690, chloroplastic</t>
  </si>
  <si>
    <t>GO:0009507,GO:0009941,GO:0009535,GO:0005737,GO:0005576,GO:0010287,GO:0004033</t>
  </si>
  <si>
    <t>chloroplast|chloroplast envelope|chloroplast thylakoid membrane|cytoplasm|extracellular region|plastoglobule|aldo-keto reductase (NADP) activity</t>
  </si>
  <si>
    <t>J2O13_05G012777</t>
  </si>
  <si>
    <t>5.73E-05</t>
  </si>
  <si>
    <t>J2O13_05G012787</t>
  </si>
  <si>
    <t>DDM1</t>
  </si>
  <si>
    <t>ATP-dependent DNA helicase DDM1</t>
  </si>
  <si>
    <t>GO:0000786,GO:0005634,GO:0005524,GO:0016887,GO:0008094,GO:0140658,GO:0003677,GO:0003678,GO:0006346,GO:0009294,GO:0040029,GO:0090241,GO:0051574,GO:0044030,GO:0006349,GO:0032197</t>
  </si>
  <si>
    <t>nucleosome|nucleus|ATP binding|ATP hydrolysis activity|ATP-dependent activity, acting on DNA|ATP-dependent chromatin remodeler activity|DNA binding|DNA helicase activity|DNA methylation-dependent heterochromatin formation|DNA-mediated transformation|epigenetic regulation of gene expression|negative regulation of histone H4 acetylation|positive regulation of histone H3-K9 methylation|regulation of DNA methylation|regulation of gene expression by genomic imprinting|transposition, RNA-mediated</t>
  </si>
  <si>
    <t>J2O13_05G012792</t>
  </si>
  <si>
    <t>PPC1</t>
  </si>
  <si>
    <t>Phosphoenolpyruvate carboxylase 1</t>
  </si>
  <si>
    <t>GO:0048046,GO:0005829,GO:0005634,GO:0008964,GO:0015977,GO:0016036,GO:0048366,GO:0015979,GO:0051262,GO:0006099</t>
  </si>
  <si>
    <t>apoplast|cytosol|nucleus|phosphoenolpyruvate carboxylase activity|carbon fixation|cellular response to phosphate starvation|leaf development|photosynthesis|protein tetramerization|tricarboxylic acid cycle</t>
  </si>
  <si>
    <t>J2O13_06G012806</t>
  </si>
  <si>
    <t>Os05g0567100</t>
  </si>
  <si>
    <t>Aspartic proteinase oryzasin-1</t>
  </si>
  <si>
    <t>GO:0005773,GO:0004190,GO:0006629,GO:0006508</t>
  </si>
  <si>
    <t>vacuole|aspartic-type endopeptidase activity|lipid metabolic process|proteolysis</t>
  </si>
  <si>
    <t>J2O13_06G012808</t>
  </si>
  <si>
    <t>5.22E-08</t>
  </si>
  <si>
    <t>DGAT3</t>
  </si>
  <si>
    <t>Diacylglycerol O-acyltransferase 3</t>
  </si>
  <si>
    <t>GO:0005829,GO:0051537,GO:0004144,GO:0046872,GO:0006071,GO:0019432</t>
  </si>
  <si>
    <t>cytosol|2 iron, 2 sulfur cluster binding|diacylglycerol O-acyltransferase activity|metal ion binding|glycerol metabolic process|triglyceride biosynthetic process</t>
  </si>
  <si>
    <t>J2O13_06G012829</t>
  </si>
  <si>
    <t>1.07E-09</t>
  </si>
  <si>
    <t>1.28E-08</t>
  </si>
  <si>
    <t>PDR3</t>
  </si>
  <si>
    <t>Pleiotropic drug resistance protein 3</t>
  </si>
  <si>
    <t>GO:0016020,GO:0140359,GO:0005524</t>
  </si>
  <si>
    <t>membrane|ABC-type transporter activity|ATP binding</t>
  </si>
  <si>
    <t>J2O13_06G012843</t>
  </si>
  <si>
    <t>J2O13_06G012844</t>
  </si>
  <si>
    <t>1-Cys peroxiredoxin OS=Medicago truncatula OX=3880 PE=2 SV=1</t>
  </si>
  <si>
    <t>ko00480,ko00940</t>
  </si>
  <si>
    <t>Glutathione metabolism|Phenylpropanoid biosynthesis</t>
  </si>
  <si>
    <t>GO:0005737,GO:0005634,GO:0140824</t>
  </si>
  <si>
    <t>cytoplasm|nucleus|thioredoxin-dependent peroxiredoxin activity</t>
  </si>
  <si>
    <t>J2O13_06G012853</t>
  </si>
  <si>
    <t>J2O13_06G012855</t>
  </si>
  <si>
    <t>GALT3</t>
  </si>
  <si>
    <t>Hydroxyproline O-galactosyltransferase GALT3</t>
  </si>
  <si>
    <t>GO:0005794,GO:0000139,GO:0030246,GO:0008378,GO:0016757,GO:1990714,GO:0010405,GO:0048354,GO:0018258,GO:0080147</t>
  </si>
  <si>
    <t>Golgi apparatus|Golgi membrane|carbohydrate binding|galactosyltransferase activity|glycosyltransferase activity|hydroxyproline O-galactosyltransferase activity|arabinogalactan protein metabolic process|mucilage biosynthetic process involved in seed coat development|protein O-linked glycosylation via hydroxyproline|root hair cell development</t>
  </si>
  <si>
    <t>J2O13_06G012857</t>
  </si>
  <si>
    <t>6.80E-20</t>
  </si>
  <si>
    <t>2.95E-18</t>
  </si>
  <si>
    <t>LPD1</t>
  </si>
  <si>
    <t>Dihydrolipoyl dehydrogenase 1, mitochondrial</t>
  </si>
  <si>
    <t>ko00010,ko00020,ko00620,ko00630,ko00640,ko00260,ko00280,ko00310,ko00380</t>
  </si>
  <si>
    <t>Glycolysis / Gluconeogenesis|Citrate cycle (TCA cycle)|Pyruvate metabolism|Glyoxylate and dicarboxylate metabolism|Propanoate metabolism|Glycine, serine and threonine metabolism|Valine, leucine and isoleucine degradation|Lysine degradation|Tryptophan metabolism</t>
  </si>
  <si>
    <t>GO:0048046,GO:0005759,GO:0005747,GO:0005739,GO:0005634,GO:0045252,GO:0005524,GO:0050897,GO:0005507,GO:0004148,GO:0050660,GO:0008270,GO:0046686</t>
  </si>
  <si>
    <t>apoplast|mitochondrial matrix|mitochondrial respiratory chain complex I|mitochondrion|nucleus|oxoglutarate dehydrogenase complex|ATP binding|cobalt ion binding|copper ion binding|dihydrolipoyl dehydrogenase activity|flavin adenine dinucleotide binding|zinc ion binding|response to cadmium ion</t>
  </si>
  <si>
    <t>J2O13_06G012861</t>
  </si>
  <si>
    <t>2.72E-13</t>
  </si>
  <si>
    <t>5.44E-12</t>
  </si>
  <si>
    <t>RPS1</t>
  </si>
  <si>
    <t>30S ribosomal protein S1, chloroplastic</t>
  </si>
  <si>
    <t>GO:0009507,GO:0022627,GO:0003729,GO:0003735,GO:0006412</t>
  </si>
  <si>
    <t>chloroplast|cytosolic small ribosomal subunit|mRNA binding|structural constituent of ribosome|translation</t>
  </si>
  <si>
    <t>J2O13_06G012864</t>
  </si>
  <si>
    <t>INVC</t>
  </si>
  <si>
    <t>Alkaline/neutral invertase C, mitochondrial</t>
  </si>
  <si>
    <t>GO:0005739,GO:0033926,GO:0004575,GO:0007623,GO:0010029,GO:0048510,GO:0005987</t>
  </si>
  <si>
    <t>mitochondrion|glycopeptide alpha-N-acetylgalactosaminidase activity|sucrose alpha-glucosidase activity|circadian rhythm|regulation of seed germination|regulation of timing of transition from vegetative to reproductive phase|sucrose catabolic process</t>
  </si>
  <si>
    <t>J2O13_06G012894</t>
  </si>
  <si>
    <t>J2O13_06G012902</t>
  </si>
  <si>
    <t>FIPS5</t>
  </si>
  <si>
    <t>FIP1[V]-like protein</t>
  </si>
  <si>
    <t>ko03015</t>
  </si>
  <si>
    <t>mRNA surveillance pathway</t>
  </si>
  <si>
    <t>GO:0005634,GO:0042802,GO:0003723,GO:0006397</t>
  </si>
  <si>
    <t>nucleus|identical protein binding|RNA binding|mRNA processing</t>
  </si>
  <si>
    <t>J2O13_06G012904</t>
  </si>
  <si>
    <t>3.14E-10</t>
  </si>
  <si>
    <t>4.09E-09</t>
  </si>
  <si>
    <t>At2g23060</t>
  </si>
  <si>
    <t>Probable N-acetyltransferase HLS1-like</t>
  </si>
  <si>
    <t>GO:0016747</t>
  </si>
  <si>
    <t>acyltransferase activity, transferring groups other than amino-acyl groups</t>
  </si>
  <si>
    <t>J2O13_06G012905</t>
  </si>
  <si>
    <t>1.49E-09</t>
  </si>
  <si>
    <t>J2O13_06G012910</t>
  </si>
  <si>
    <t>RAM1</t>
  </si>
  <si>
    <t>GRAS family protein RAM1</t>
  </si>
  <si>
    <t>GO:0005737,GO:0005634,GO:0036377,GO:0006355,GO:0009610</t>
  </si>
  <si>
    <t>cytoplasm|nucleus|arbuscular mycorrhizal association|regulation of DNA-templated transcription|response to symbiotic fungus</t>
  </si>
  <si>
    <t>J2O13_06G012916</t>
  </si>
  <si>
    <t>BZIP1</t>
  </si>
  <si>
    <t>Basic leucine zipper 1</t>
  </si>
  <si>
    <t>GO:0005634,GO:0003700,GO:0046982,GO:0043565,GO:0000976,GO:0009901,GO:0071333,GO:0009267,GO:0045893,GO:0006521,GO:0009617,GO:0006970,GO:0009651,GO:0010182</t>
  </si>
  <si>
    <t>nucleus|DNA-binding transcription factor activity|protein heterodimerization activity|sequence-specific DNA binding|transcription cis-regulatory region binding|anther dehiscence|cellular response to glucose stimulus|cellular response to starvation|positive regulation of DNA-templated transcription|regulation of cellular amino acid metabolic process|response to bacterium|response to osmotic stress|response to salt stress|sugar mediated signaling pathway</t>
  </si>
  <si>
    <t>J2O13_06G012929</t>
  </si>
  <si>
    <t>ISY1</t>
  </si>
  <si>
    <t>(S)-8-oxocitronellyl enol synthase ISY1</t>
  </si>
  <si>
    <t>J2O13_06G012934</t>
  </si>
  <si>
    <t>J2O13_06G012939</t>
  </si>
  <si>
    <t>At3g14460</t>
  </si>
  <si>
    <t>Putative disease resistance protein At3g14460</t>
  </si>
  <si>
    <t>GO:0004016,GO:0043531,GO:0005524,GO:0042742,GO:0050832</t>
  </si>
  <si>
    <t>adenylate cyclase activity|ADP binding|ATP binding|defense response to bacterium|defense response to fungus</t>
  </si>
  <si>
    <t>J2O13_06G012950</t>
  </si>
  <si>
    <t>6.04E-05</t>
  </si>
  <si>
    <t>Major allergen Pru ar 1 OS=Prunus armeniaca OX=36596 PE=1 SV=1</t>
  </si>
  <si>
    <t>GO:0010427,GO:0004864,GO:0038023,GO:0009738,GO:0006952,GO:0009607</t>
  </si>
  <si>
    <t>abscisic acid binding|protein phosphatase inhibitor activity|signaling receptor activity|abscisic acid-activated signaling pathway|defense response|response to biotic stimulus</t>
  </si>
  <si>
    <t>J2O13_06G012955</t>
  </si>
  <si>
    <t>PRUA1</t>
  </si>
  <si>
    <t>Major allergen Pru av 1</t>
  </si>
  <si>
    <t>J2O13_06G012957</t>
  </si>
  <si>
    <t>J2O13_06G012963</t>
  </si>
  <si>
    <t>1.54E-10</t>
  </si>
  <si>
    <t>2.08E-09</t>
  </si>
  <si>
    <t>APUM24</t>
  </si>
  <si>
    <t>Pumilio homolog 24</t>
  </si>
  <si>
    <t>GO:0005730,GO:0003729,GO:0003723,GO:0009793,GO:0006417</t>
  </si>
  <si>
    <t>nucleolus|mRNA binding|RNA binding|embryo development ending in seed dormancy|regulation of translation</t>
  </si>
  <si>
    <t>J2O13_06G012972</t>
  </si>
  <si>
    <t>RAP2-3</t>
  </si>
  <si>
    <t>Ethylene-responsive transcription factor RAP2-3</t>
  </si>
  <si>
    <t>GO:0005737,GO:0005634,GO:0005886,GO:0003677,GO:0003700,GO:0000976,GO:0008219,GO:0009873,GO:0010286,GO:0045893,GO:0009735,GO:0009723,GO:0009753,GO:0051707</t>
  </si>
  <si>
    <t>cytoplasm|nucleus|plasma membrane|DNA binding|DNA-binding transcription factor activity|transcription cis-regulatory region binding|cell death|ethylene-activated signaling pathway|heat acclimation|positive regulation of DNA-templated transcription|response to cytokinin|response to ethylene|response to jasmonic acid|response to other organism</t>
  </si>
  <si>
    <t>J2O13_06G012977</t>
  </si>
  <si>
    <t>J2O13_06G012978</t>
  </si>
  <si>
    <t>J2O13_06G012979</t>
  </si>
  <si>
    <t>7.34E-14</t>
  </si>
  <si>
    <t>1.59E-12</t>
  </si>
  <si>
    <t>IBR3</t>
  </si>
  <si>
    <t>Probable acyl-CoA dehydrogenase IBR3</t>
  </si>
  <si>
    <t>ko00071,ko00280,ko03320,ko04936</t>
  </si>
  <si>
    <t>Fatty acid degradation|Valine, leucine and isoleucine degradation|PPAR signaling pathway|Alcoholic liver disease</t>
  </si>
  <si>
    <t>GO:0005737,GO:0005777,GO:0003995,GO:0050660,GO:0033539,GO:0048767</t>
  </si>
  <si>
    <t>cytoplasm|peroxisome|acyl-CoA dehydrogenase activity|flavin adenine dinucleotide binding|fatty acid beta-oxidation using acyl-CoA dehydrogenase|root hair elongation</t>
  </si>
  <si>
    <t>J2O13_06G012982</t>
  </si>
  <si>
    <t>CAPH2</t>
  </si>
  <si>
    <t>Condensin-2 complex subunit H2</t>
  </si>
  <si>
    <t>GO:0000793,GO:0000796,GO:0005730,GO:0005634,GO:0003682,GO:0010032,GO:0051306,GO:0045739,GO:2001022</t>
  </si>
  <si>
    <t>condensed chromosome|condensin complex|nucleolus|nucleus|chromatin binding|meiotic chromosome condensation|mitotic sister chromatid separation|positive regulation of DNA repair|positive regulation of response to DNA damage stimulus</t>
  </si>
  <si>
    <t>J2O13_06G012986</t>
  </si>
  <si>
    <t>J2O13_06G012988</t>
  </si>
  <si>
    <t>J2O13_06G012995</t>
  </si>
  <si>
    <t>J2O13_06G013000</t>
  </si>
  <si>
    <t>9.34E-07</t>
  </si>
  <si>
    <t>6.77E-06</t>
  </si>
  <si>
    <t>J2O13_06G013001</t>
  </si>
  <si>
    <t>4.15E-07</t>
  </si>
  <si>
    <t>LEA5</t>
  </si>
  <si>
    <t>Late embryogenesis abundant protein Lea5</t>
  </si>
  <si>
    <t>J2O13_06G013002</t>
  </si>
  <si>
    <t>6.11E-06</t>
  </si>
  <si>
    <t>Phylloplanin OS=Nicotiana tabacum OX=4097 PE=1 SV=1</t>
  </si>
  <si>
    <t>J2O13_06G013007</t>
  </si>
  <si>
    <t>3.89E-05</t>
  </si>
  <si>
    <t>J2O13_06G013013</t>
  </si>
  <si>
    <t>6.76E-78</t>
  </si>
  <si>
    <t>1.72E-74</t>
  </si>
  <si>
    <t>TCTP</t>
  </si>
  <si>
    <t>Translationally-controlled tumor protein homolog</t>
  </si>
  <si>
    <t>GO:0005737,GO:0005509</t>
  </si>
  <si>
    <t>cytoplasm|calcium ion binding</t>
  </si>
  <si>
    <t>J2O13_06G013049</t>
  </si>
  <si>
    <t>PERK13</t>
  </si>
  <si>
    <t>Proline-rich receptor-like protein kinase PERK13</t>
  </si>
  <si>
    <t>J2O13_06G013053</t>
  </si>
  <si>
    <t>GRXS2</t>
  </si>
  <si>
    <t>Monothiol glutaredoxin-S2</t>
  </si>
  <si>
    <t>GO:0005737,GO:0051537,GO:0046872,GO:0000122</t>
  </si>
  <si>
    <t>cytoplasm|2 iron, 2 sulfur cluster binding|metal ion binding|negative regulation of transcription by RNA polymerase II</t>
  </si>
  <si>
    <t>J2O13_06G013071</t>
  </si>
  <si>
    <t>9.38E-07</t>
  </si>
  <si>
    <t>BAM9</t>
  </si>
  <si>
    <t>Inactive beta-amylase 9</t>
  </si>
  <si>
    <t>GO:0005737,GO:0016161,GO:0000272</t>
  </si>
  <si>
    <t>cytoplasm|beta-amylase activity|polysaccharide catabolic process</t>
  </si>
  <si>
    <t>J2O13_06G013092</t>
  </si>
  <si>
    <t>1.99E-06</t>
  </si>
  <si>
    <t>TKT2</t>
  </si>
  <si>
    <t>Probable 1-deoxy-D-xylulose-5-phosphate synthase, chloroplastic</t>
  </si>
  <si>
    <t>GO:0009507,GO:0008661,GO:0046872,GO:0052865,GO:0016114,GO:0009228</t>
  </si>
  <si>
    <t>chloroplast|1-deoxy-D-xylulose-5-phosphate synthase activity|metal ion binding|1-deoxy-D-xylulose 5-phosphate biosynthetic process|terpenoid biosynthetic process|thiamine biosynthetic process</t>
  </si>
  <si>
    <t>J2O13_06G013098</t>
  </si>
  <si>
    <t>1.75E-06</t>
  </si>
  <si>
    <t>1.21E-05</t>
  </si>
  <si>
    <t>NSH3</t>
  </si>
  <si>
    <t>Nucleoside hydrolase 3</t>
  </si>
  <si>
    <t>GO:0048046,GO:0047622,GO:0047724,GO:0006154,GO:0006148,GO:0009753,GO:0009611</t>
  </si>
  <si>
    <t>apoplast|adenosine nucleosidase activity|inosine nucleosidase activity|adenosine catabolic process|inosine catabolic process|response to jasmonic acid|response to wounding</t>
  </si>
  <si>
    <t>J2O13_06G013101</t>
  </si>
  <si>
    <t>RBK2</t>
  </si>
  <si>
    <t>Receptor-like cytosolic serine/threonine-protein kinase RBK2</t>
  </si>
  <si>
    <t>GO:0005737,GO:0005634,GO:0005524,GO:0051020,GO:0106310,GO:0004674,GO:0006468</t>
  </si>
  <si>
    <t>cytoplasm|nucleus|ATP binding|GTPase binding|protein serine kinase activity|protein serine/threonine kinase activity|protein phosphorylation</t>
  </si>
  <si>
    <t>J2O13_06G013102</t>
  </si>
  <si>
    <t>8.46E-09</t>
  </si>
  <si>
    <t>8.87E-08</t>
  </si>
  <si>
    <t>At4g15545</t>
  </si>
  <si>
    <t>Uncharacterized protein At4g15545</t>
  </si>
  <si>
    <t>GO:0005829,GO:0005783,GO:0010168,GO:0043621,GO:0080119</t>
  </si>
  <si>
    <t>cytosol|endoplasmic reticulum|ER body|protein self-association|ER body organization</t>
  </si>
  <si>
    <t>J2O13_06G013105</t>
  </si>
  <si>
    <t>9.72E-08</t>
  </si>
  <si>
    <t>8.50E-07</t>
  </si>
  <si>
    <t>J2O13_06G013107</t>
  </si>
  <si>
    <t>PPD</t>
  </si>
  <si>
    <t>Pyruvate, phosphate dikinase, chloroplastic</t>
  </si>
  <si>
    <t>ko00010,ko00620,ko00710,ko00720</t>
  </si>
  <si>
    <t>Glycolysis / Gluconeogenesis|Pyruvate metabolism|Carbon fixation in photosynthetic organisms|Carbon fixation pathways in prokaryotes</t>
  </si>
  <si>
    <t>GO:0009507,GO:0005524,GO:0016301,GO:0046872,GO:0050242,GO:0016310,GO:0015979,GO:0006090</t>
  </si>
  <si>
    <t>chloroplast|ATP binding|kinase activity|metal ion binding|pyruvate, phosphate dikinase activity|phosphorylation|photosynthesis|pyruvate metabolic process</t>
  </si>
  <si>
    <t>J2O13_06G013112</t>
  </si>
  <si>
    <t>At3g07870</t>
  </si>
  <si>
    <t>F-box protein At3g07870</t>
  </si>
  <si>
    <t>GO:0009506,GO:0008284</t>
  </si>
  <si>
    <t>plasmodesma|positive regulation of cell population proliferation</t>
  </si>
  <si>
    <t>J2O13_06G013117</t>
  </si>
  <si>
    <t>8.63E-06</t>
  </si>
  <si>
    <t>SAMDC4</t>
  </si>
  <si>
    <t>S-adenosylmethionine decarboxylase proenzyme 4</t>
  </si>
  <si>
    <t>GO:0005829,GO:0004014,GO:0099402,GO:0008295,GO:0006597</t>
  </si>
  <si>
    <t>cytosol|adenosylmethionine decarboxylase activity|plant organ development|spermidine biosynthetic process|spermine biosynthetic process</t>
  </si>
  <si>
    <t>J2O13_06G013134</t>
  </si>
  <si>
    <t>2.45E-17</t>
  </si>
  <si>
    <t>8.11E-16</t>
  </si>
  <si>
    <t>TUFA</t>
  </si>
  <si>
    <t>Elongation factor Tu, mitochondrial</t>
  </si>
  <si>
    <t>GO:0005829,GO:0005739,GO:0009505,GO:0005524,GO:0050897,GO:0005525,GO:0003924,GO:0003746,GO:0008270,GO:0070125,GO:0046686,GO:0006414</t>
  </si>
  <si>
    <t>cytosol|mitochondrion|plant-type cell wall|ATP binding|cobalt ion binding|GTP binding|GTPase activity|translation elongation factor activity|zinc ion binding|mitochondrial translational elongation|response to cadmium ion|translational elongation</t>
  </si>
  <si>
    <t>J2O13_06G013142</t>
  </si>
  <si>
    <t>3.16E-06</t>
  </si>
  <si>
    <t>Endo-1,3;1,4-beta-D-glucanase OS=Zea mays OX=4577 PE=1 SV=1</t>
  </si>
  <si>
    <t>ko00364,ko00361,ko00623</t>
  </si>
  <si>
    <t>Fluorobenzoate degradation|Chlorocyclohexane and chlorobenzene degradation|Toluene degradation</t>
  </si>
  <si>
    <t>GO:0005576,GO:0016787</t>
  </si>
  <si>
    <t>extracellular region|hydrolase activity</t>
  </si>
  <si>
    <t>J2O13_06G013144</t>
  </si>
  <si>
    <t>MED33A</t>
  </si>
  <si>
    <t>Mediator of RNA polymerase II transcription subunit 33A</t>
  </si>
  <si>
    <t>GO:0016592,GO:0009698,GO:2000762</t>
  </si>
  <si>
    <t>mediator complex|phenylpropanoid metabolic process|regulation of phenylpropanoid metabolic process</t>
  </si>
  <si>
    <t>J2O13_06G013154</t>
  </si>
  <si>
    <t>9.01E-08</t>
  </si>
  <si>
    <t>7.91E-07</t>
  </si>
  <si>
    <t>Primary amine oxidase (Fragment) OS=Lens culinaris OX=3864 PE=1 SV=3</t>
  </si>
  <si>
    <t>GO:0052594,GO:0005507,GO:0052596,GO:0048038,GO:0052593,GO:0009308,GO:0042221</t>
  </si>
  <si>
    <t>aminoacetone:oxygen oxidoreductase(deaminating) activity|copper ion binding|phenethylamine:oxygen oxidoreductase (deaminating) activity|quinone binding|tryptamine:oxygen oxidoreductase (deaminating) activity|amine metabolic process|response to chemical</t>
  </si>
  <si>
    <t>J2O13_06G013156</t>
  </si>
  <si>
    <t>ACL5</t>
  </si>
  <si>
    <t>Thermospermine synthase ACAULIS5</t>
  </si>
  <si>
    <t>GO:0005737,GO:0016768,GO:0010487,GO:0009926,GO:0010087,GO:0006596,GO:0048759</t>
  </si>
  <si>
    <t>cytoplasm|spermine synthase activity|thermospermine synthase activity|auxin polar transport|phloem or xylem histogenesis|polyamine biosynthetic process|xylem vessel member cell differentiation</t>
  </si>
  <si>
    <t>J2O13_06G013157</t>
  </si>
  <si>
    <t>1.90E-07</t>
  </si>
  <si>
    <t>J2O13_06G013159</t>
  </si>
  <si>
    <t>2.84E-10</t>
  </si>
  <si>
    <t>LOX5</t>
  </si>
  <si>
    <t>Linoleate 9S-lipoxygenase 5</t>
  </si>
  <si>
    <t>ko00591</t>
  </si>
  <si>
    <t>Linoleic acid metabolism</t>
  </si>
  <si>
    <t>GO:1990136,GO:0046872,GO:0016702,GO:0006952,GO:0006633,GO:0010311,GO:0034440,GO:1900366,GO:0031408,GO:0048364</t>
  </si>
  <si>
    <t>linoleate 9S-lipoxygenase activity|metal ion binding|oxidoreductase activity, acting on single donors with incorporation of molecular oxygen, incorporation of two atoms of oxygen|defense response|fatty acid biosynthetic process|lateral root formation|lipid oxidation|negative regulation of defense response to insect|oxylipin biosynthetic process|root development</t>
  </si>
  <si>
    <t>J2O13_06G013164</t>
  </si>
  <si>
    <t>MAKR1</t>
  </si>
  <si>
    <t>Probable membrane-associated kinase regulator 1</t>
  </si>
  <si>
    <t>GO:0005829,GO:0005886,GO:0009536,GO:0019210,GO:0009742,GO:0006629,GO:0009741</t>
  </si>
  <si>
    <t>cytosol|plasma membrane|plastid|kinase inhibitor activity|brassinosteroid mediated signaling pathway|lipid metabolic process|response to brassinosteroid</t>
  </si>
  <si>
    <t>J2O13_06G013173</t>
  </si>
  <si>
    <t>J2O13_06G013174</t>
  </si>
  <si>
    <t>FAF3</t>
  </si>
  <si>
    <t>Protein FANTASTIC FOUR 3</t>
  </si>
  <si>
    <t>J2O13_06G013178</t>
  </si>
  <si>
    <t>1.17E-29</t>
  </si>
  <si>
    <t>1.28E-27</t>
  </si>
  <si>
    <t>ADG2</t>
  </si>
  <si>
    <t>Glucose-1-phosphate adenylyltransferase large subunit 1, chloroplastic</t>
  </si>
  <si>
    <t>ko00500,ko00520,ko02026</t>
  </si>
  <si>
    <t>Starch and sucrose metabolism|Amino sugar and nucleotide sugar metabolism|Biofilm formation - Escherichia coli</t>
  </si>
  <si>
    <t>GO:0009507,GO:0009941,GO:0009570,GO:0005524,GO:0008878,GO:0005978,GO:0019252</t>
  </si>
  <si>
    <t>chloroplast|chloroplast envelope|chloroplast stroma|ATP binding|glucose-1-phosphate adenylyltransferase activity|glycogen biosynthetic process|starch biosynthetic process</t>
  </si>
  <si>
    <t>J2O13_06G013183</t>
  </si>
  <si>
    <t>At3g05260</t>
  </si>
  <si>
    <t>Glucose and ribitol dehydrogenase homolog 2</t>
  </si>
  <si>
    <t>J2O13_06G013184</t>
  </si>
  <si>
    <t>CAISE5</t>
  </si>
  <si>
    <t>Glucose and ribitol dehydrogenase</t>
  </si>
  <si>
    <t>J2O13_06G013188</t>
  </si>
  <si>
    <t>6.10E-10</t>
  </si>
  <si>
    <t>7.58E-09</t>
  </si>
  <si>
    <t>J2O13_06G013200</t>
  </si>
  <si>
    <t>GIP2</t>
  </si>
  <si>
    <t>Probable aspartic proteinase GIP2</t>
  </si>
  <si>
    <t>GO:0048046,GO:0004190,GO:0006952,GO:0006508</t>
  </si>
  <si>
    <t>apoplast|aspartic-type endopeptidase activity|defense response|proteolysis</t>
  </si>
  <si>
    <t>J2O13_06G013205</t>
  </si>
  <si>
    <t>J2O13_06G013206</t>
  </si>
  <si>
    <t>2.37E-06</t>
  </si>
  <si>
    <t>DSPTP1</t>
  </si>
  <si>
    <t>Dual specificity protein phosphatase 1</t>
  </si>
  <si>
    <t>GO:0005737,GO:0005634,GO:0005516,GO:0017017,GO:0017018,GO:0004721,GO:0004725,GO:0008138,GO:0008330,GO:0043409,GO:0006470</t>
  </si>
  <si>
    <t>cytoplasm|nucleus|calmodulin binding|MAP kinase tyrosine/serine/threonine phosphatase activity|myosin phosphatase activity|phosphoprotein phosphatase activity|protein tyrosine phosphatase activity|protein tyrosine/serine/threonine phosphatase activity|protein tyrosine/threonine phosphatase activity|negative regulation of MAPK cascade|protein dephosphorylation</t>
  </si>
  <si>
    <t>J2O13_06G013210</t>
  </si>
  <si>
    <t>2.64E-06</t>
  </si>
  <si>
    <t>HIPP32</t>
  </si>
  <si>
    <t>Heavy metal-associated isoprenylated plant protein 32</t>
  </si>
  <si>
    <t>GO:0009505,GO:0046872</t>
  </si>
  <si>
    <t>plant-type cell wall|metal ion binding</t>
  </si>
  <si>
    <t>J2O13_06G013217</t>
  </si>
  <si>
    <t>3.38E-10</t>
  </si>
  <si>
    <t>4.39E-09</t>
  </si>
  <si>
    <t>IPT5</t>
  </si>
  <si>
    <t>Adenylate isopentenyltransferase 5, chloroplastic</t>
  </si>
  <si>
    <t>GO:0009507,GO:0005739,GO:0009536,GO:0052623,GO:0009824,GO:0005524,GO:0052622,GO:0052381,GO:0009691,GO:0006400</t>
  </si>
  <si>
    <t>chloroplast|mitochondrion|plastid|ADP dimethylallyltransferase activity|AMP dimethylallyltransferase activity|ATP binding|ATP dimethylallyltransferase activity|tRNA dimethylallyltransferase activity|cytokinin biosynthetic process|tRNA modification</t>
  </si>
  <si>
    <t>J2O13_06G013218</t>
  </si>
  <si>
    <t>J2O13_06G013221</t>
  </si>
  <si>
    <t>1.53E-16</t>
  </si>
  <si>
    <t>4.56E-15</t>
  </si>
  <si>
    <t>WNK1</t>
  </si>
  <si>
    <t>Serine/threonine-protein kinase WNK1</t>
  </si>
  <si>
    <t>GO:0005737,GO:0005524,GO:0004672,GO:0106310,GO:0004674,GO:0007623,GO:0035556,GO:0006468</t>
  </si>
  <si>
    <t>cytoplasm|ATP binding|protein kinase activity|protein serine kinase activity|protein serine/threonine kinase activity|circadian rhythm|intracellular signal transduction|protein phosphorylation</t>
  </si>
  <si>
    <t>J2O13_06G013226</t>
  </si>
  <si>
    <t>2.16E-17</t>
  </si>
  <si>
    <t>7.20E-16</t>
  </si>
  <si>
    <t>PSB27-2</t>
  </si>
  <si>
    <t>Photosystem II D1 precursor processing protein PSB27-H2, chloroplastic</t>
  </si>
  <si>
    <t>GO:0009507,GO:0009543,GO:0005829,GO:0009523,GO:0010207,GO:0010206</t>
  </si>
  <si>
    <t>chloroplast|chloroplast thylakoid lumen|cytosol|photosystem II|photosystem II assembly|photosystem II repair</t>
  </si>
  <si>
    <t>J2O13_06G013231</t>
  </si>
  <si>
    <t>Cysteine synthase OS=Citrullus lanatus OX=3654 PE=1 SV=1</t>
  </si>
  <si>
    <t>ko00920,ko00270</t>
  </si>
  <si>
    <t>Sulfur metabolism|Cysteine and methionine metabolism</t>
  </si>
  <si>
    <t>GO:0005737,GO:0047458,GO:0004124,GO:0050461,GO:0050234,GO:0006535</t>
  </si>
  <si>
    <t>cytoplasm|beta-pyrazolylalanine synthase activity|cysteine synthase activity|L-mimosine synthase activity|pyrazolylalanine synthase activity|cysteine biosynthetic process from serine</t>
  </si>
  <si>
    <t>J2O13_06G013234</t>
  </si>
  <si>
    <t>J2O13_06G013242</t>
  </si>
  <si>
    <t>PCMP-H3</t>
  </si>
  <si>
    <t>Pentatricopeptide repeat-containing protein At4g14820</t>
  </si>
  <si>
    <t>GO:0003723,GO:0008270,GO:0009451</t>
  </si>
  <si>
    <t>RNA binding|zinc ion binding|RNA modification</t>
  </si>
  <si>
    <t>J2O13_06G013243</t>
  </si>
  <si>
    <t>J2O13_06G013244</t>
  </si>
  <si>
    <t>At2g32040</t>
  </si>
  <si>
    <t>Folate-biopterin transporter 1, chloroplastic</t>
  </si>
  <si>
    <t>GO:0009941,GO:0031969,GO:0015231,GO:0008517,GO:0015350,GO:0051958</t>
  </si>
  <si>
    <t>chloroplast envelope|chloroplast membrane|5-formyltetrahydrofolate transmembrane transporter activity|folic acid transmembrane transporter activity|methotrexate transmembrane transporter activity|methotrexate transport</t>
  </si>
  <si>
    <t>J2O13_06G013245</t>
  </si>
  <si>
    <t>J2O13_06G013249</t>
  </si>
  <si>
    <t>4.46E-05</t>
  </si>
  <si>
    <t>J2O13_06G013253</t>
  </si>
  <si>
    <t>LTPG20</t>
  </si>
  <si>
    <t>Non-specific lipid transfer protein GPI-anchored 20</t>
  </si>
  <si>
    <t>GO:0009941,GO:0005886</t>
  </si>
  <si>
    <t>chloroplast envelope|plasma membrane</t>
  </si>
  <si>
    <t>J2O13_06G013255</t>
  </si>
  <si>
    <t>1.09E-07</t>
  </si>
  <si>
    <t>9.44E-07</t>
  </si>
  <si>
    <t>STP14</t>
  </si>
  <si>
    <t>Sugar transport protein 14</t>
  </si>
  <si>
    <t>GO:0005886,GO:0015145,GO:0015293</t>
  </si>
  <si>
    <t>plasma membrane|monosaccharide transmembrane transporter activity|symporter activity</t>
  </si>
  <si>
    <t>J2O13_06G013267</t>
  </si>
  <si>
    <t>HMT3</t>
  </si>
  <si>
    <t>Homocysteine S-methyltransferase 3</t>
  </si>
  <si>
    <t>ko00270</t>
  </si>
  <si>
    <t>Cysteine and methionine metabolism</t>
  </si>
  <si>
    <t>GO:0008898,GO:0061627,GO:0008270,GO:0009086,GO:0032259,GO:0033528</t>
  </si>
  <si>
    <t>S-adenosylmethionine-homocysteine S-methyltransferase activity|S-methylmethionine-homocysteine S-methyltransferase activity|zinc ion binding|methionine biosynthetic process|methylation|S-methylmethionine cycle</t>
  </si>
  <si>
    <t>J2O13_06G013274</t>
  </si>
  <si>
    <t>LRX6</t>
  </si>
  <si>
    <t>Leucine-rich repeat extensin-like protein 6</t>
  </si>
  <si>
    <t>GO:0005576,GO:0005199,GO:0071555</t>
  </si>
  <si>
    <t>extracellular region|structural constituent of cell wall|cell wall organization</t>
  </si>
  <si>
    <t>J2O13_06G013276</t>
  </si>
  <si>
    <t>J2O13_06G013282</t>
  </si>
  <si>
    <t>2.87E-07</t>
  </si>
  <si>
    <t>2.29E-06</t>
  </si>
  <si>
    <t>CLH2</t>
  </si>
  <si>
    <t>Chlorophyllase-2</t>
  </si>
  <si>
    <t>GO:0009507,GO:0005829,GO:0047746,GO:0102293,GO:0015996</t>
  </si>
  <si>
    <t>chloroplast|cytosol|chlorophyllase activity|pheophytinase b activity|chlorophyll catabolic process</t>
  </si>
  <si>
    <t>J2O13_06G013284</t>
  </si>
  <si>
    <t>EPFL5</t>
  </si>
  <si>
    <t>EPIDERMAL PATTERNING FACTOR-like protein 5</t>
  </si>
  <si>
    <t>J2O13_06G013288</t>
  </si>
  <si>
    <t>2.58E-16</t>
  </si>
  <si>
    <t>7.44E-15</t>
  </si>
  <si>
    <t>PR</t>
  </si>
  <si>
    <t>Perakine reductase</t>
  </si>
  <si>
    <t>GO:0016491,GO:0009820</t>
  </si>
  <si>
    <t>oxidoreductase activity|alkaloid metabolic process</t>
  </si>
  <si>
    <t>J2O13_06G013289</t>
  </si>
  <si>
    <t>J2O13_06G013292</t>
  </si>
  <si>
    <t>Meiotic recombination protein DMC1 homolog OS=Glycine max OX=3847 PE=2 SV=1</t>
  </si>
  <si>
    <t>ko04113</t>
  </si>
  <si>
    <t>Meiosis - yeast</t>
  </si>
  <si>
    <t>GO:0000794,GO:0005524,GO:0008094,GO:0140664,GO:0000150,GO:0003690,GO:0003697,GO:0070192,GO:0000730,GO:0006312,GO:0007131,GO:0042148</t>
  </si>
  <si>
    <t>condensed nuclear chromosome|ATP binding|ATP-dependent activity, acting on DNA|ATP-dependent DNA damage sensor activity|DNA strand exchange activity|double-stranded DNA binding|single-stranded DNA binding|chromosome organization involved in meiotic cell cycle|DNA recombinase assembly|mitotic recombination|reciprocal meiotic recombination|strand invasion</t>
  </si>
  <si>
    <t>J2O13_06G013294</t>
  </si>
  <si>
    <t>4.43E-07</t>
  </si>
  <si>
    <t>3.43E-06</t>
  </si>
  <si>
    <t>J2O13_06G013296</t>
  </si>
  <si>
    <t>AGO10</t>
  </si>
  <si>
    <t>Protein argonaute 10</t>
  </si>
  <si>
    <t>GO:0005737,GO:0009536,GO:1990904,GO:0004521,GO:0035198,GO:0003723,GO:0051607,GO:0010586,GO:0010072,GO:0009934,GO:1902183,GO:0006417,GO:0035194,GO:0035019</t>
  </si>
  <si>
    <t>cytoplasm|plastid|ribonucleoprotein complex|endoribonuclease activity|miRNA binding|RNA binding|defense response to virus|miRNA metabolic process|primary shoot apical meristem specification|regulation of meristem structural organization|regulation of shoot apical meristem development|regulation of translation|RNA-mediated post-transcriptional gene silencing|somatic stem cell population maintenance</t>
  </si>
  <si>
    <t>J2O13_06G013300</t>
  </si>
  <si>
    <t>1.53E-05</t>
  </si>
  <si>
    <t>8.70E-05</t>
  </si>
  <si>
    <t>ACA13</t>
  </si>
  <si>
    <t>Putative calcium-transporting ATPase 13, plasma membrane-type</t>
  </si>
  <si>
    <t>J2O13_06G013302</t>
  </si>
  <si>
    <t>CAM1</t>
  </si>
  <si>
    <t>Calmodulin-1</t>
  </si>
  <si>
    <t>GO:0005737,GO:0005886,GO:0005509</t>
  </si>
  <si>
    <t>cytoplasm|plasma membrane|calcium ion binding</t>
  </si>
  <si>
    <t>J2O13_06G013306</t>
  </si>
  <si>
    <t>3.68E-42</t>
  </si>
  <si>
    <t>9.94E-40</t>
  </si>
  <si>
    <t>LESV</t>
  </si>
  <si>
    <t>Protein LIKE EARLY STARVATION, chloroplastic</t>
  </si>
  <si>
    <t>GO:0009507,GO:0009570,GO:0005829,GO:0043036,GO:2001070,GO:2000904,GO:0005982</t>
  </si>
  <si>
    <t>chloroplast|chloroplast stroma|cytosol|starch grain|starch binding|regulation of starch metabolic process|starch metabolic process</t>
  </si>
  <si>
    <t>J2O13_06G013307</t>
  </si>
  <si>
    <t>J2O13_06G013324</t>
  </si>
  <si>
    <t>2.40E-12</t>
  </si>
  <si>
    <t>4.27E-11</t>
  </si>
  <si>
    <t>PNSB5</t>
  </si>
  <si>
    <t>Photosynthetic NDH subunit of subcomplex B 5, chloroplastic</t>
  </si>
  <si>
    <t>GO:0009507,GO:0031969,GO:0009535,GO:0009536,GO:0006979</t>
  </si>
  <si>
    <t>chloroplast|chloroplast membrane|chloroplast thylakoid membrane|plastid|response to oxidative stress</t>
  </si>
  <si>
    <t>J2O13_06G013331</t>
  </si>
  <si>
    <t>J2O13_06G013339</t>
  </si>
  <si>
    <t>9.37E-29</t>
  </si>
  <si>
    <t>9.48E-27</t>
  </si>
  <si>
    <t>BHLH92</t>
  </si>
  <si>
    <t>Transcription factor bHLH92</t>
  </si>
  <si>
    <t>GO:0005634,GO:0003700,GO:0046983,GO:0000976,GO:0006355</t>
  </si>
  <si>
    <t>nucleus|DNA-binding transcription factor activity|protein dimerization activity|transcription cis-regulatory region binding|regulation of DNA-templated transcription</t>
  </si>
  <si>
    <t>J2O13_06G013352</t>
  </si>
  <si>
    <t>BLUS1</t>
  </si>
  <si>
    <t>Serine/threonine-protein kinase BLUS1</t>
  </si>
  <si>
    <t>GO:0005829,GO:0005524,GO:0046872,GO:0106310,GO:0004674,GO:0006468,GO:1902456</t>
  </si>
  <si>
    <t>cytosol|ATP binding|metal ion binding|protein serine kinase activity|protein serine/threonine kinase activity|protein phosphorylation|regulation of stomatal opening</t>
  </si>
  <si>
    <t>J2O13_06G013355</t>
  </si>
  <si>
    <t>2.36E-08</t>
  </si>
  <si>
    <t>2.30E-07</t>
  </si>
  <si>
    <t>ETR2</t>
  </si>
  <si>
    <t>Ethylene receptor 2</t>
  </si>
  <si>
    <t>GO:0005783,GO:0005789,GO:0005524,GO:0051740,GO:0038199,GO:0046872,GO:0000155,GO:0004674,GO:0071456,GO:0010105</t>
  </si>
  <si>
    <t>endoplasmic reticulum|endoplasmic reticulum membrane|ATP binding|ethylene binding|ethylene receptor activity|metal ion binding|phosphorelay sensor kinase activity|protein serine/threonine kinase activity|cellular response to hypoxia|negative regulation of ethylene-activated signaling pathway</t>
  </si>
  <si>
    <t>J2O13_06G013370</t>
  </si>
  <si>
    <t>4.36E-07</t>
  </si>
  <si>
    <t>3.38E-06</t>
  </si>
  <si>
    <t>At2g39510</t>
  </si>
  <si>
    <t>WAT1-related protein At2g39510</t>
  </si>
  <si>
    <t>GO:0005886,GO:0015186,GO:0098712,GO:0048316</t>
  </si>
  <si>
    <t>plasma membrane|L-glutamine transmembrane transporter activity|L-glutamate import across plasma membrane|seed development</t>
  </si>
  <si>
    <t>J2O13_06G013373</t>
  </si>
  <si>
    <t>ATL16</t>
  </si>
  <si>
    <t>RING-H2 finger protein ATL16</t>
  </si>
  <si>
    <t>J2O13_06G013379</t>
  </si>
  <si>
    <t>J2O13_06G013380</t>
  </si>
  <si>
    <t>J2O13_06G013381</t>
  </si>
  <si>
    <t>6.66E-16</t>
  </si>
  <si>
    <t>1.84E-14</t>
  </si>
  <si>
    <t>J2O13_06G013382</t>
  </si>
  <si>
    <t>J2O13_06G013385</t>
  </si>
  <si>
    <t>5.64E-14</t>
  </si>
  <si>
    <t>1.24E-12</t>
  </si>
  <si>
    <t>PT1</t>
  </si>
  <si>
    <t>Low affinity inorganic phosphate transporter 1</t>
  </si>
  <si>
    <t>GO:0005886,GO:0005315,GO:0015293,GO:0009873,GO:0080187,GO:0006817,GO:0009723</t>
  </si>
  <si>
    <t>plasma membrane|inorganic phosphate transmembrane transporter activity|symporter activity|ethylene-activated signaling pathway|floral organ senescence|phosphate ion transport|response to ethylene</t>
  </si>
  <si>
    <t>J2O13_06G013386</t>
  </si>
  <si>
    <t>7.35E-10</t>
  </si>
  <si>
    <t>9.03E-09</t>
  </si>
  <si>
    <t>PPCK1</t>
  </si>
  <si>
    <t>Phosphoenolpyruvate carboxylase kinase 1</t>
  </si>
  <si>
    <t>GO:0005737,GO:0005634,GO:0005524,GO:0009931,GO:0005516,GO:0004683,GO:0106310,GO:0004674,GO:0035556,GO:0018105,GO:0046777,GO:0046898,GO:0009416</t>
  </si>
  <si>
    <t>cytoplasm|nucleus|ATP binding|calcium-dependent protein serine/threonine kinase activity|calmodulin binding|calmodulin-dependent protein kinase activity|protein serine kinase activity|protein serine/threonine kinase activity|intracellular signal transduction|peptidyl-serine phosphorylation|protein autophosphorylation|response to cycloheximide|response to light stimulus</t>
  </si>
  <si>
    <t>J2O13_06G013395</t>
  </si>
  <si>
    <t>LEGB</t>
  </si>
  <si>
    <t>Legumin B</t>
  </si>
  <si>
    <t>GO:0045735,GO:0010431</t>
  </si>
  <si>
    <t>nutrient reservoir activity|seed maturation</t>
  </si>
  <si>
    <t>J2O13_06G013397</t>
  </si>
  <si>
    <t>2.81E-07</t>
  </si>
  <si>
    <t>PRAF1</t>
  </si>
  <si>
    <t>PH, RCC1 and FYVE domains-containing protein 1</t>
  </si>
  <si>
    <t>GO:0005085,GO:0046872,GO:0070300,GO:0035091</t>
  </si>
  <si>
    <t>guanyl-nucleotide exchange factor activity|metal ion binding|phosphatidic acid binding|phosphatidylinositol binding</t>
  </si>
  <si>
    <t>J2O13_06G013398</t>
  </si>
  <si>
    <t>2.08E-07</t>
  </si>
  <si>
    <t>1.71E-06</t>
  </si>
  <si>
    <t>J2O13_06G013400</t>
  </si>
  <si>
    <t>LSH4</t>
  </si>
  <si>
    <t>Protein LIGHT-DEPENDENT SHORT HYPOCOTYLS 4</t>
  </si>
  <si>
    <t>J2O13_06G013414</t>
  </si>
  <si>
    <t>7.78E-11</t>
  </si>
  <si>
    <t>1.10E-09</t>
  </si>
  <si>
    <t>J2O13_06G013419</t>
  </si>
  <si>
    <t>1.32E-16</t>
  </si>
  <si>
    <t>3.97E-15</t>
  </si>
  <si>
    <t>FAO1</t>
  </si>
  <si>
    <t>Long-chain-alcohol oxidase FAO1</t>
  </si>
  <si>
    <t>GO:0016020,GO:0050660,GO:0046577,GO:0006066,GO:0009409</t>
  </si>
  <si>
    <t>membrane|flavin adenine dinucleotide binding|long-chain-alcohol oxidase activity|alcohol metabolic process|response to cold</t>
  </si>
  <si>
    <t>J2O13_06G013420</t>
  </si>
  <si>
    <t>8.07E-07</t>
  </si>
  <si>
    <t>PHO1</t>
  </si>
  <si>
    <t>Phosphate transporter PHO1</t>
  </si>
  <si>
    <t>GO:0005737,GO:0005789,GO:0005794,GO:0000139,GO:0005886,GO:0005802,GO:0000822,GO:0015114,GO:0016036,GO:0048016,GO:0006817,GO:0006799</t>
  </si>
  <si>
    <t>cytoplasm|endoplasmic reticulum membrane|Golgi apparatus|Golgi membrane|plasma membrane|trans-Golgi network|inositol hexakisphosphate binding|phosphate ion transmembrane transporter activity|cellular response to phosphate starvation|inositol phosphate-mediated signaling|phosphate ion transport|polyphosphate biosynthetic process</t>
  </si>
  <si>
    <t>J2O13_06G013424</t>
  </si>
  <si>
    <t>2.18E-17</t>
  </si>
  <si>
    <t>7.27E-16</t>
  </si>
  <si>
    <t>J2O13_06G013426</t>
  </si>
  <si>
    <t>7.51E-07</t>
  </si>
  <si>
    <t>5.53E-06</t>
  </si>
  <si>
    <t>VIT_11s0016g00830</t>
  </si>
  <si>
    <t>Methylthioribose-1-phosphate isomerase</t>
  </si>
  <si>
    <t>ko05168</t>
  </si>
  <si>
    <t>Herpes simplex virus 1 infection</t>
  </si>
  <si>
    <t>GO:0005737,GO:0005634,GO:0046523,GO:0019509,GO:0019284</t>
  </si>
  <si>
    <t>cytoplasm|nucleus|S-methyl-5-thioribose-1-phosphate isomerase activity|L-methionine salvage from methylthioadenosine|L-methionine salvage from S-adenosylmethionine</t>
  </si>
  <si>
    <t>J2O13_06G013427</t>
  </si>
  <si>
    <t>1.36E-23</t>
  </si>
  <si>
    <t>8.19E-22</t>
  </si>
  <si>
    <t>RPL28</t>
  </si>
  <si>
    <t>50S ribosomal protein L28, chloroplastic</t>
  </si>
  <si>
    <t>GO:0009507,GO:0009941,GO:0009570,GO:0005783,GO:0005762,GO:0003729,GO:0003735,GO:0006412</t>
  </si>
  <si>
    <t>chloroplast|chloroplast envelope|chloroplast stroma|endoplasmic reticulum|mitochondrial large ribosomal subunit|mRNA binding|structural constituent of ribosome|translation</t>
  </si>
  <si>
    <t>J2O13_06G013429</t>
  </si>
  <si>
    <t>1.25E-06</t>
  </si>
  <si>
    <t>8.85E-06</t>
  </si>
  <si>
    <t>NPF5.2</t>
  </si>
  <si>
    <t>Protein NRT1/ PTR FAMILY 5.2</t>
  </si>
  <si>
    <t>GO:0016020,GO:0071916,GO:0022857,GO:0042937,GO:0042742,GO:0042938,GO:0042538,GO:0009737,GO:0080052,GO:0009753,GO:0043201,GO:0080053,GO:0009751,GO:0009611,GO:0055085,GO:0042939</t>
  </si>
  <si>
    <t>membrane|dipeptide transmembrane transporter activity|transmembrane transporter activity|tripeptide transmembrane transporter activity|defense response to bacterium|dipeptide transport|hyperosmotic salinity response|response to abscisic acid|response to histidine|response to jasmonic acid|response to leucine|response to phenylalanine|response to salicylic acid|response to wounding|transmembrane transport|tripeptide transport</t>
  </si>
  <si>
    <t>J2O13_06G013431</t>
  </si>
  <si>
    <t>7.28E-21</t>
  </si>
  <si>
    <t>3.52E-19</t>
  </si>
  <si>
    <t>J2O13_06G013434</t>
  </si>
  <si>
    <t>J2O13_06G013435</t>
  </si>
  <si>
    <t>J2O13_06G013439</t>
  </si>
  <si>
    <t>4.80E-17</t>
  </si>
  <si>
    <t>1.53E-15</t>
  </si>
  <si>
    <t>YSL6</t>
  </si>
  <si>
    <t>Probable metal-nicotianamine transporter YSL6</t>
  </si>
  <si>
    <t>GO:0016020,GO:0000325,GO:0009705,GO:0009526,GO:0005774,GO:0035673,GO:0034755</t>
  </si>
  <si>
    <t>membrane|plant-type vacuole|plant-type vacuole membrane|plastid envelope|vacuolar membrane|oligopeptide transmembrane transporter activity|iron ion transmembrane transport</t>
  </si>
  <si>
    <t>J2O13_06G013442</t>
  </si>
  <si>
    <t>1.71E-09</t>
  </si>
  <si>
    <t>PGR5</t>
  </si>
  <si>
    <t>Protein PROTON GRADIENT REGULATION 5, chloroplastic</t>
  </si>
  <si>
    <t>GO:0009507,GO:0009534,GO:0009535,GO:0009055,GO:0071484,GO:0010117,GO:0009773,GO:0009644,GO:0009414</t>
  </si>
  <si>
    <t>chloroplast|chloroplast thylakoid|chloroplast thylakoid membrane|electron transfer activity|cellular response to light intensity|photoprotection|photosynthetic electron transport in photosystem I|response to high light intensity|response to water deprivation</t>
  </si>
  <si>
    <t>J2O13_06G013449</t>
  </si>
  <si>
    <t>J2O13_06G013452</t>
  </si>
  <si>
    <t>2.98E-13</t>
  </si>
  <si>
    <t>5.93E-12</t>
  </si>
  <si>
    <t>PDLP2</t>
  </si>
  <si>
    <t>Plasmodesmata-located protein 2</t>
  </si>
  <si>
    <t>GO:0005886,GO:0009506,GO:0010497,GO:0046739</t>
  </si>
  <si>
    <t>plasma membrane|plasmodesma|plasmodesmata-mediated intercellular transport|transport of virus in multicellular host</t>
  </si>
  <si>
    <t>J2O13_06G013453</t>
  </si>
  <si>
    <t>2.26E-07</t>
  </si>
  <si>
    <t>1.84E-06</t>
  </si>
  <si>
    <t>PCMP-H52</t>
  </si>
  <si>
    <t>Putative pentatricopeptide repeat-containing protein At5g52630</t>
  </si>
  <si>
    <t>GO:0003723,GO:0008270,GO:0016554</t>
  </si>
  <si>
    <t>RNA binding|zinc ion binding|cytidine to uridine editing</t>
  </si>
  <si>
    <t>J2O13_06G013457</t>
  </si>
  <si>
    <t>6.66E-43</t>
  </si>
  <si>
    <t>1.91E-40</t>
  </si>
  <si>
    <t>NTF2</t>
  </si>
  <si>
    <t>Nuclear transport factor 2</t>
  </si>
  <si>
    <t>GO:0005737,GO:0005829,GO:0005634,GO:0009536,GO:1990904,GO:0003729,GO:0031047</t>
  </si>
  <si>
    <t>cytoplasm|cytosol|nucleus|plastid|ribonucleoprotein complex|mRNA binding|RNA-mediated gene silencing</t>
  </si>
  <si>
    <t>J2O13_06G013458</t>
  </si>
  <si>
    <t>J2O13_06G013460</t>
  </si>
  <si>
    <t>3.84E-05</t>
  </si>
  <si>
    <t>IAA13</t>
  </si>
  <si>
    <t>Auxin-responsive protein IAA13</t>
  </si>
  <si>
    <t>GO:0005634,GO:0003700,GO:0042802,GO:0009734,GO:0009733</t>
  </si>
  <si>
    <t>nucleus|DNA-binding transcription factor activity|identical protein binding|auxin-activated signaling pathway|response to auxin</t>
  </si>
  <si>
    <t>J2O13_06G013461</t>
  </si>
  <si>
    <t>2.97E-10</t>
  </si>
  <si>
    <t>IIL1</t>
  </si>
  <si>
    <t>3-isopropylmalate dehydratase large subunit, chloroplastic</t>
  </si>
  <si>
    <t>ko00660,ko00290,ko00966</t>
  </si>
  <si>
    <t>C5-Branched dibasic acid metabolism|Valine, leucine and isoleucine biosynthesis|Glucosinolate biosynthesis</t>
  </si>
  <si>
    <t>GO:0009507,GO:0009570,GO:0009536,GO:0003861,GO:0051539,GO:0050486,GO:0046872,GO:0019761,GO:0009098</t>
  </si>
  <si>
    <t>chloroplast|chloroplast stroma|plastid|3-isopropylmalate dehydratase activity|4 iron, 4 sulfur cluster binding|intramolecular transferase activity, transferring hydroxy groups|metal ion binding|glucosinolate biosynthetic process|leucine biosynthetic process</t>
  </si>
  <si>
    <t>J2O13_06G013463</t>
  </si>
  <si>
    <t>7.26E-10</t>
  </si>
  <si>
    <t>8.94E-09</t>
  </si>
  <si>
    <t>J2O13_06G013476</t>
  </si>
  <si>
    <t>At1g04570</t>
  </si>
  <si>
    <t>Probable folate-biopterin transporter 8, chloroplastic</t>
  </si>
  <si>
    <t>GO:0031969</t>
  </si>
  <si>
    <t>chloroplast membrane</t>
  </si>
  <si>
    <t>J2O13_06G013480</t>
  </si>
  <si>
    <t>AMT1-1</t>
  </si>
  <si>
    <t>Ammonium transporter 1 member 1</t>
  </si>
  <si>
    <t>GO:0110067,GO:0005886,GO:0009506,GO:0008519,GO:0043621,GO:0097272,GO:0072488,GO:0080181,GO:0010311,GO:0051258</t>
  </si>
  <si>
    <t>ammonium transmembrane transporter complex|plasma membrane|plasmodesma|ammonium transmembrane transporter activity|protein self-association|ammonium homeostasis|ammonium transmembrane transport|lateral root branching|lateral root formation|protein polymerization</t>
  </si>
  <si>
    <t>J2O13_06G013482</t>
  </si>
  <si>
    <t>5.37E-27</t>
  </si>
  <si>
    <t>4.60E-25</t>
  </si>
  <si>
    <t>CTPA2</t>
  </si>
  <si>
    <t>Carboxyl-terminal-processing peptidase 2, chloroplastic</t>
  </si>
  <si>
    <t>GO:0009543,GO:0005739,GO:0009579,GO:0031977,GO:0004175,GO:0008233,GO:0004252,GO:0006508</t>
  </si>
  <si>
    <t>chloroplast thylakoid lumen|mitochondrion|thylakoid|thylakoid lumen|endopeptidase activity|peptidase activity|serine-type endopeptidase activity|proteolysis</t>
  </si>
  <si>
    <t>J2O13_06G013484</t>
  </si>
  <si>
    <t>SMAP1</t>
  </si>
  <si>
    <t>Small acidic protein 1</t>
  </si>
  <si>
    <t>GO:0009734,GO:0040029,GO:0009733</t>
  </si>
  <si>
    <t>auxin-activated signaling pathway|epigenetic regulation of gene expression|response to auxin</t>
  </si>
  <si>
    <t>J2O13_06G013490</t>
  </si>
  <si>
    <t>1.63E-11</t>
  </si>
  <si>
    <t>2.56E-10</t>
  </si>
  <si>
    <t>J2O13_06G013493</t>
  </si>
  <si>
    <t>6.49E-11</t>
  </si>
  <si>
    <t>9.30E-10</t>
  </si>
  <si>
    <t>HCAR</t>
  </si>
  <si>
    <t>7-hydroxymethyl chlorophyll a reductase, chloroplastic</t>
  </si>
  <si>
    <t>GO:0009507,GO:0090415,GO:0051536,GO:0046872,GO:0052592,GO:0033354</t>
  </si>
  <si>
    <t>chloroplast|7-hydroxymethyl chlorophyll a reductase activity|iron-sulfur cluster binding|metal ion binding|oxidoreductase activity, acting on CH or CH2 groups, with an iron-sulfur protein as acceptor|chlorophyll cycle</t>
  </si>
  <si>
    <t>J2O13_06G013495</t>
  </si>
  <si>
    <t>Glutathione transferase GST 23 OS=Zea mays OX=4577 PE=2 SV=1</t>
  </si>
  <si>
    <t>GO:0005737,GO:0004364,GO:0006952,GO:0006749,GO:0042221</t>
  </si>
  <si>
    <t>cytoplasm|glutathione transferase activity|defense response|glutathione metabolic process|response to chemical</t>
  </si>
  <si>
    <t>J2O13_06G013496</t>
  </si>
  <si>
    <t>2.39E-07</t>
  </si>
  <si>
    <t>1.93E-06</t>
  </si>
  <si>
    <t>J2O13_06G013497</t>
  </si>
  <si>
    <t>Probable glutathione S-transferase OS=Nicotiana tabacum OX=4097 PE=2 SV=1</t>
  </si>
  <si>
    <t>GO:0005737,GO:0004364,GO:0009734,GO:0006749</t>
  </si>
  <si>
    <t>cytoplasm|glutathione transferase activity|auxin-activated signaling pathway|glutathione metabolic process</t>
  </si>
  <si>
    <t>J2O13_06G013498</t>
  </si>
  <si>
    <t>J2O13_06G013517</t>
  </si>
  <si>
    <t>J2O13_06G013518</t>
  </si>
  <si>
    <t>SPH2</t>
  </si>
  <si>
    <t>S-protein homolog 2</t>
  </si>
  <si>
    <t>GO:0005576,GO:0060320</t>
  </si>
  <si>
    <t>extracellular region|rejection of self pollen</t>
  </si>
  <si>
    <t>J2O13_06G013534</t>
  </si>
  <si>
    <t>NCED6</t>
  </si>
  <si>
    <t>9-cis-epoxycarotenoid dioxygenase NCED6, chloroplastic</t>
  </si>
  <si>
    <t>GO:0009570,GO:0009535,GO:0045549,GO:0010436,GO:0046872,GO:0009688,GO:0016121,GO:0010114,GO:0009639</t>
  </si>
  <si>
    <t>chloroplast stroma|chloroplast thylakoid membrane|9-cis-epoxycarotenoid dioxygenase activity|carotenoid dioxygenase activity|metal ion binding|abscisic acid biosynthetic process|carotene catabolic process|response to red light|response to red or far red light</t>
  </si>
  <si>
    <t>J2O13_06G013542</t>
  </si>
  <si>
    <t>6.71E-08</t>
  </si>
  <si>
    <t>ABC1K3</t>
  </si>
  <si>
    <t>Protein ACTIVITY OF BC1 COMPLEX KINASE 3, chloroplastic</t>
  </si>
  <si>
    <t>GO:0009507,GO:0005739,GO:0010287,GO:0005524,GO:0004672,GO:0106310,GO:0004674,GO:0006995,GO:0009658,GO:0080177,GO:0006468,GO:0050821,GO:1902171,GO:0009644,GO:0080183,GO:0010114,GO:0009414</t>
  </si>
  <si>
    <t>chloroplast|mitochondrion|plastoglobule|ATP binding|protein kinase activity|protein serine kinase activity|protein serine/threonine kinase activity|cellular response to nitrogen starvation|chloroplast organization|plastoglobule organization|protein phosphorylation|protein stabilization|regulation of tocopherol cyclase activity|response to high light intensity|response to photooxidative stress|response to red light|response to water deprivation</t>
  </si>
  <si>
    <t>J2O13_06G013544</t>
  </si>
  <si>
    <t>5.53E-15</t>
  </si>
  <si>
    <t>1.38E-13</t>
  </si>
  <si>
    <t>At1g04770</t>
  </si>
  <si>
    <t>Protein SULFUR DEFICIENCY-INDUCED 2</t>
  </si>
  <si>
    <t>GO:0005634,GO:0010438,GO:0009658,GO:0010439</t>
  </si>
  <si>
    <t>nucleus|cellular response to sulfur starvation|chloroplast organization|regulation of glucosinolate biosynthetic process</t>
  </si>
  <si>
    <t>J2O13_06G013556</t>
  </si>
  <si>
    <t>9.40E-11</t>
  </si>
  <si>
    <t>1.31E-09</t>
  </si>
  <si>
    <t>J2O13_06G013562</t>
  </si>
  <si>
    <t>FAMA</t>
  </si>
  <si>
    <t>Transcription factor FAMA</t>
  </si>
  <si>
    <t>GO:0005634,GO:0003677,GO:0003700,GO:0046983,GO:0010052,GO:0010377,GO:0010444,GO:0051782,GO:0045597,GO:0045893,GO:0090547,GO:0010374</t>
  </si>
  <si>
    <t>nucleus|DNA binding|DNA-binding transcription factor activity|protein dimerization activity|guard cell differentiation|guard cell fate commitment|guard mother cell differentiation|negative regulation of cell division|positive regulation of cell differentiation|positive regulation of DNA-templated transcription|response to low humidity|stomatal complex development</t>
  </si>
  <si>
    <t>J2O13_06G013571</t>
  </si>
  <si>
    <t>5.98E-12</t>
  </si>
  <si>
    <t>9.94E-11</t>
  </si>
  <si>
    <t>ITN1</t>
  </si>
  <si>
    <t>Ankyrin repeat-containing protein ITN1</t>
  </si>
  <si>
    <t>GO:0016020,GO:0005634,GO:0005886,GO:0009651</t>
  </si>
  <si>
    <t>membrane|nucleus|plasma membrane|response to salt stress</t>
  </si>
  <si>
    <t>J2O13_06G013572</t>
  </si>
  <si>
    <t>6.73E-07</t>
  </si>
  <si>
    <t>HMGB15</t>
  </si>
  <si>
    <t>High mobility group B protein 15</t>
  </si>
  <si>
    <t>GO:0005634,GO:0090406,GO:0003700,GO:0000400,GO:0000976,GO:0019760,GO:0009846,GO:0009860,GO:0006355</t>
  </si>
  <si>
    <t>nucleus|pollen tube|DNA-binding transcription factor activity|four-way junction DNA binding|transcription cis-regulatory region binding|glucosinolate metabolic process|pollen germination|pollen tube growth|regulation of DNA-templated transcription</t>
  </si>
  <si>
    <t>J2O13_06G013584</t>
  </si>
  <si>
    <t>1.32E-12</t>
  </si>
  <si>
    <t>2.40E-11</t>
  </si>
  <si>
    <t>SNL2</t>
  </si>
  <si>
    <t>Paired amphipathic helix protein Sin3-like 2</t>
  </si>
  <si>
    <t>GO:0000785,GO:0000118,GO:0016580,GO:0003714,GO:0016575,GO:0000122</t>
  </si>
  <si>
    <t>chromatin|histone deacetylase complex|Sin3 complex|transcription corepressor activity|histone deacetylation|negative regulation of transcription by RNA polymerase II</t>
  </si>
  <si>
    <t>J2O13_06G013605</t>
  </si>
  <si>
    <t>4.95E-05</t>
  </si>
  <si>
    <t>J2O13_06G013612</t>
  </si>
  <si>
    <t>SPS3</t>
  </si>
  <si>
    <t>Probable sucrose-phosphate synthase 3</t>
  </si>
  <si>
    <t>GO:0005794,GO:0016157,GO:0046524,GO:0005986</t>
  </si>
  <si>
    <t>Golgi apparatus|sucrose synthase activity|sucrose-phosphate synthase activity|sucrose biosynthetic process</t>
  </si>
  <si>
    <t>J2O13_06G013627</t>
  </si>
  <si>
    <t>ATJ20</t>
  </si>
  <si>
    <t>Chaperone protein dnaJ 20, chloroplastic</t>
  </si>
  <si>
    <t>GO:0009507,GO:0005634,GO:0061077,GO:1902395,GO:0010322</t>
  </si>
  <si>
    <t>chloroplast|nucleus|chaperone-mediated protein folding|regulation of 1-deoxy-D-xylulose-5-phosphate synthase activity|regulation of isopentenyl diphosphate biosynthetic process, methylerythritol 4-phosphate pathway</t>
  </si>
  <si>
    <t>J2O13_06G013628</t>
  </si>
  <si>
    <t>CER26</t>
  </si>
  <si>
    <t>Protein ECERIFERUM 26</t>
  </si>
  <si>
    <t>GO:0005829,GO:0016747,GO:0071555,GO:0042761,GO:0010025</t>
  </si>
  <si>
    <t>cytosol|acyltransferase activity, transferring groups other than amino-acyl groups|cell wall organization|very long-chain fatty acid biosynthetic process|wax biosynthetic process</t>
  </si>
  <si>
    <t>J2O13_06G013638</t>
  </si>
  <si>
    <t>3.37E-05</t>
  </si>
  <si>
    <t>FPS1</t>
  </si>
  <si>
    <t>Farnesyl pyrophosphate synthase 1</t>
  </si>
  <si>
    <t>ko00900,ko05166,ko05164</t>
  </si>
  <si>
    <t>Terpenoid backbone biosynthesis|Human T-cell leukemia virus 1 infection|Influenza A</t>
  </si>
  <si>
    <t>GO:0005737,GO:0004161,GO:0004337,GO:0046872,GO:0006695,GO:0045337,GO:0033384</t>
  </si>
  <si>
    <t>cytoplasm|dimethylallyltranstransferase activity|geranyltranstransferase activity|metal ion binding|cholesterol biosynthetic process|farnesyl diphosphate biosynthetic process|geranyl diphosphate biosynthetic process</t>
  </si>
  <si>
    <t>J2O13_06G013640</t>
  </si>
  <si>
    <t>J2O13_06G013672</t>
  </si>
  <si>
    <t>J2O13_06G013677</t>
  </si>
  <si>
    <t>J2O13_06G013679</t>
  </si>
  <si>
    <t>J2O13_06G013693</t>
  </si>
  <si>
    <t>7.30E-19</t>
  </si>
  <si>
    <t>2.87E-17</t>
  </si>
  <si>
    <t>TIC20-V</t>
  </si>
  <si>
    <t>Protein TIC 20-v, chloroplastic</t>
  </si>
  <si>
    <t>GO:0009507,GO:0009706,GO:0009535,GO:0009579,GO:0015031</t>
  </si>
  <si>
    <t>chloroplast|chloroplast inner membrane|chloroplast thylakoid membrane|thylakoid|protein transport</t>
  </si>
  <si>
    <t>J2O13_06G013695</t>
  </si>
  <si>
    <t>4.63E-10</t>
  </si>
  <si>
    <t>NUDT2</t>
  </si>
  <si>
    <t>Nudix hydrolase 2</t>
  </si>
  <si>
    <t>GO:0005829,GO:0047631,GO:0046872,GO:0051287,GO:0000210,GO:0035529,GO:0006979</t>
  </si>
  <si>
    <t>cytosol|ADP-ribose diphosphatase activity|metal ion binding|NAD binding|NAD+ diphosphatase activity|NADH pyrophosphatase activity|response to oxidative stress</t>
  </si>
  <si>
    <t>J2O13_06G013698</t>
  </si>
  <si>
    <t>NFYB6</t>
  </si>
  <si>
    <t>Nuclear transcription factor Y subunit B-6</t>
  </si>
  <si>
    <t>ko04612,ko05166,ko05152</t>
  </si>
  <si>
    <t>Antigen processing and presentation|Human T-cell leukemia virus 1 infection|Tuberculosis</t>
  </si>
  <si>
    <t>GO:0016602,GO:0001228,GO:0003700,GO:0000981,GO:0046982,GO:0043565,GO:0009738,GO:0045893,GO:0006355,GO:0006357,GO:0009414</t>
  </si>
  <si>
    <t>CCAAT-binding factor complex|DNA-binding transcription activator activity, RNA polymerase II-specific|DNA-binding transcription factor activity|DNA-binding transcription factor activity, RNA polymerase II-specific|protein heterodimerization activity|sequence-specific DNA binding|abscisic acid-activated signaling pathway|positive regulation of DNA-templated transcription|regulation of DNA-templated transcription|regulation of transcription by RNA polymerase II|response to water deprivation</t>
  </si>
  <si>
    <t>J2O13_06G013702</t>
  </si>
  <si>
    <t>MIK2</t>
  </si>
  <si>
    <t>MDIS1-interacting receptor like kinase 2</t>
  </si>
  <si>
    <t>GO:0005886,GO:0009506,GO:0090406,GO:0005524,GO:0042277,GO:0001653,GO:0106310,GO:0004674,GO:1901653,GO:0002213,GO:0009755,GO:0009759,GO:0009695,GO:0010183,GO:0031349,GO:0006468,GO:0080027,GO:0002237</t>
  </si>
  <si>
    <t>plasma membrane|plasmodesma|pollen tube|ATP binding|peptide binding|peptide receptor activity|protein serine kinase activity|protein serine/threonine kinase activity|cellular response to peptide|defense response to insect|hormone-mediated signaling pathway|indole glucosinolate biosynthetic process|jasmonic acid biosynthetic process|pollen tube guidance|positive regulation of defense response|protein phosphorylation|response to herbivore|response to molecule of bacterial origin</t>
  </si>
  <si>
    <t>J2O13_06G013709</t>
  </si>
  <si>
    <t>2.32E-34</t>
  </si>
  <si>
    <t>3.62E-32</t>
  </si>
  <si>
    <t>RPS10</t>
  </si>
  <si>
    <t>30S ribosomal protein S10, chloroplastic</t>
  </si>
  <si>
    <t>GO:0009507,GO:1990904,GO:0005840,GO:0003723,GO:0003735,GO:0006412</t>
  </si>
  <si>
    <t>chloroplast|ribonucleoprotein complex|ribosome|RNA binding|structural constituent of ribosome|translation</t>
  </si>
  <si>
    <t>J2O13_06G013725</t>
  </si>
  <si>
    <t>MTERF9</t>
  </si>
  <si>
    <t>Transcription termination factor MTERF9, chloroplastic</t>
  </si>
  <si>
    <t>GO:0009507,GO:0003690,GO:1904821,GO:0009658,GO:0032502,GO:0006353,GO:0006355,GO:0009651,GO:0048364,GO:0048367,GO:0010343</t>
  </si>
  <si>
    <t>chloroplast|double-stranded DNA binding|chloroplast disassembly|chloroplast organization|developmental process|DNA-templated transcription termination|regulation of DNA-templated transcription|response to salt stress|root development|shoot system development|singlet oxygen-mediated programmed cell death</t>
  </si>
  <si>
    <t>J2O13_06G013726</t>
  </si>
  <si>
    <t>2.11E-11</t>
  </si>
  <si>
    <t>3.25E-10</t>
  </si>
  <si>
    <t>J2O13_06G013733</t>
  </si>
  <si>
    <t>J2O13_06G013759</t>
  </si>
  <si>
    <t>J2O13_06G013760</t>
  </si>
  <si>
    <t>3.45E-33</t>
  </si>
  <si>
    <t>4.96E-31</t>
  </si>
  <si>
    <t>J2O13_06G013761</t>
  </si>
  <si>
    <t>3.49E-06</t>
  </si>
  <si>
    <t>2.26E-05</t>
  </si>
  <si>
    <t>J2O13_06G013763</t>
  </si>
  <si>
    <t>J2O13_06G013766</t>
  </si>
  <si>
    <t>1.10E-32</t>
  </si>
  <si>
    <t>J2O13_06G013773</t>
  </si>
  <si>
    <t>1.71E-11</t>
  </si>
  <si>
    <t>IAMT1</t>
  </si>
  <si>
    <t>Indole-3-acetate O-methyltransferase 1</t>
  </si>
  <si>
    <t>GO:0042802,GO:0051749,GO:0103007,GO:0000287,GO:0008757,GO:0010252,GO:0032259,GO:0009944</t>
  </si>
  <si>
    <t>identical protein binding|indole acetic acid carboxyl methyltransferase activity|indole-3-acetate carboxyl methyltransferase activity|magnesium ion binding|S-adenosylmethionine-dependent methyltransferase activity|auxin homeostasis|methylation|polarity specification of adaxial/abaxial axis</t>
  </si>
  <si>
    <t>J2O13_06G013791</t>
  </si>
  <si>
    <t>7.13E-07</t>
  </si>
  <si>
    <t>At2g01630</t>
  </si>
  <si>
    <t>Glucan endo-1,3-beta-glucosidase 3</t>
  </si>
  <si>
    <t>GO:0005739,GO:0005886,GO:0042973,GO:0005975,GO:0006952</t>
  </si>
  <si>
    <t>mitochondrion|plasma membrane|glucan endo-1,3-beta-D-glucosidase activity|carbohydrate metabolic process|defense response</t>
  </si>
  <si>
    <t>J2O13_06G013796</t>
  </si>
  <si>
    <t>3.28E-07</t>
  </si>
  <si>
    <t>J2O13_06G013798</t>
  </si>
  <si>
    <t>4.50E-12</t>
  </si>
  <si>
    <t>7.61E-11</t>
  </si>
  <si>
    <t>PYRB2</t>
  </si>
  <si>
    <t>Aspartate carbamoyltransferase 2, chloroplastic</t>
  </si>
  <si>
    <t>ko00240,ko00250</t>
  </si>
  <si>
    <t>Pyrimidine metabolism|Alanine, aspartate and glutamate metabolism</t>
  </si>
  <si>
    <t>GO:0009507,GO:0016597,GO:0004070,GO:0006207,GO:0044205,GO:0006520</t>
  </si>
  <si>
    <t>chloroplast|amino acid binding|aspartate carbamoyltransferase activity|'de novo' pyrimidine nucleobase biosynthetic process|'de novo' UMP biosynthetic process|amino acid metabolic process</t>
  </si>
  <si>
    <t>J2O13_06G013818</t>
  </si>
  <si>
    <t>5.26E-12</t>
  </si>
  <si>
    <t>8.79E-11</t>
  </si>
  <si>
    <t>WRKY42</t>
  </si>
  <si>
    <t>WRKY transcription factor 42</t>
  </si>
  <si>
    <t>GO:0005634,GO:0003677,GO:0003700,GO:0043565,GO:0045892</t>
  </si>
  <si>
    <t>nucleus|DNA binding|DNA-binding transcription factor activity|sequence-specific DNA binding|negative regulation of DNA-templated transcription</t>
  </si>
  <si>
    <t>J2O13_06G013821</t>
  </si>
  <si>
    <t>1.24E-06</t>
  </si>
  <si>
    <t>8.80E-06</t>
  </si>
  <si>
    <t>J2O13_06G013825</t>
  </si>
  <si>
    <t>9.78E-22</t>
  </si>
  <si>
    <t>5.05E-20</t>
  </si>
  <si>
    <t>J2O13_06G013826</t>
  </si>
  <si>
    <t>J2O13_06G013828</t>
  </si>
  <si>
    <t>9.63E-07</t>
  </si>
  <si>
    <t>J2O13_06G013830</t>
  </si>
  <si>
    <t>6.69E-13</t>
  </si>
  <si>
    <t>At5g55050</t>
  </si>
  <si>
    <t>GDSL esterase/lipase At5g55050</t>
  </si>
  <si>
    <t>GO:0005576,GO:0009536,GO:0016298,GO:0016042</t>
  </si>
  <si>
    <t>extracellular region|plastid|lipase activity|lipid catabolic process</t>
  </si>
  <si>
    <t>J2O13_06G013859</t>
  </si>
  <si>
    <t>3.36E-05</t>
  </si>
  <si>
    <t>J2O13_06G013866</t>
  </si>
  <si>
    <t>MNM1</t>
  </si>
  <si>
    <t>Protein METABOLIC NETWORK MODULATOR 1</t>
  </si>
  <si>
    <t>GO:0000976,GO:0044238,GO:2000028</t>
  </si>
  <si>
    <t>transcription cis-regulatory region binding|primary metabolic process|regulation of photoperiodism, flowering</t>
  </si>
  <si>
    <t>J2O13_06G013878</t>
  </si>
  <si>
    <t>J2O13_06G013879</t>
  </si>
  <si>
    <t>J2O13_06G013882</t>
  </si>
  <si>
    <t>At5g54890</t>
  </si>
  <si>
    <t>CRS2-associated factor 2, mitochondrial</t>
  </si>
  <si>
    <t>GO:0005739,GO:1990904,GO:0003723,GO:0000373,GO:0006397</t>
  </si>
  <si>
    <t>mitochondrion|ribonucleoprotein complex|RNA binding|Group II intron splicing|mRNA processing</t>
  </si>
  <si>
    <t>J2O13_06G013888</t>
  </si>
  <si>
    <t>2.04E-08</t>
  </si>
  <si>
    <t>FAD4</t>
  </si>
  <si>
    <t>Fatty acid desaturase 4, chloroplastic</t>
  </si>
  <si>
    <t>GO:0009507,GO:0031969,GO:0102654,GO:0102851,GO:0052637,GO:0046471,GO:0006636</t>
  </si>
  <si>
    <t>chloroplast|chloroplast membrane|1-18:1-2-16:0-phosphatidylglycerol trans-3 desaturase activity|1-18:2-2-16:0-phosphatidylglycerol desaturase activity|delta 3-trans-hexadecenoic acid phosphatidylglycerol desaturase activity|phosphatidylglycerol metabolic process|unsaturated fatty acid biosynthetic process</t>
  </si>
  <si>
    <t>J2O13_06G013896</t>
  </si>
  <si>
    <t>J2O13_06G013905</t>
  </si>
  <si>
    <t>J2O13_06G013907</t>
  </si>
  <si>
    <t>J2O13_06G013941</t>
  </si>
  <si>
    <t>PME2.1</t>
  </si>
  <si>
    <t>Pectinesterase 2.1</t>
  </si>
  <si>
    <t>GO:0005576,GO:0045330,GO:0030599,GO:0046910,GO:0042545,GO:0009835,GO:0045490</t>
  </si>
  <si>
    <t>extracellular region|aspartyl esterase activity|pectinesterase activity|pectinesterase inhibitor activity|cell wall modification|fruit ripening|pectin catabolic process</t>
  </si>
  <si>
    <t>J2O13_06G013942</t>
  </si>
  <si>
    <t>2.93E-10</t>
  </si>
  <si>
    <t>3.83E-09</t>
  </si>
  <si>
    <t>THI1</t>
  </si>
  <si>
    <t>Thiamine thiazole synthase, chloroplastic</t>
  </si>
  <si>
    <t>GO:0009570,GO:0005829,GO:0005506,GO:0016763,GO:0009228,GO:0052837</t>
  </si>
  <si>
    <t>chloroplast stroma|cytosol|iron ion binding|pentosyltransferase activity|thiamine biosynthetic process|thiazole biosynthetic process</t>
  </si>
  <si>
    <t>J2O13_06G013943</t>
  </si>
  <si>
    <t>THI1-1</t>
  </si>
  <si>
    <t>Thiamine thiazole synthase 1, chloroplastic</t>
  </si>
  <si>
    <t>J2O13_06G013969</t>
  </si>
  <si>
    <t>8.09E-27</t>
  </si>
  <si>
    <t>6.77E-25</t>
  </si>
  <si>
    <t>PNSL3</t>
  </si>
  <si>
    <t>Photosynthetic NDH subunit of lumenal location 3, chloroplastic</t>
  </si>
  <si>
    <t>GO:0009507,GO:0009534,GO:0009535,GO:0005829,GO:0019898,GO:0009344,GO:0009654,GO:0005509,GO:0045156,GO:0019684,GO:0009767</t>
  </si>
  <si>
    <t>chloroplast|chloroplast thylakoid|chloroplast thylakoid membrane|cytosol|extrinsic component of membrane|nitrite reductase complex [NAD(P)H]|photosystem II oxygen evolving complex|calcium ion binding|electron transporter, transferring electrons within the cyclic electron transport pathway of photosynthesis activity|photosynthesis, light reaction|photosynthetic electron transport chain</t>
  </si>
  <si>
    <t>J2O13_06G013970</t>
  </si>
  <si>
    <t>KIN14N</t>
  </si>
  <si>
    <t>Kinesin-like protein KIN-14N</t>
  </si>
  <si>
    <t>ko04814</t>
  </si>
  <si>
    <t>Motor proteins</t>
  </si>
  <si>
    <t>GO:0005737,GO:0005871,GO:0005874,GO:0005524,GO:0016887,GO:0008017,GO:0003777,GO:0007018,GO:0051225</t>
  </si>
  <si>
    <t>cytoplasm|kinesin complex|microtubule|ATP binding|ATP hydrolysis activity|microtubule binding|microtubule motor activity|microtubule-based movement|spindle assembly</t>
  </si>
  <si>
    <t>J2O13_06G013977</t>
  </si>
  <si>
    <t>9.67E-26</t>
  </si>
  <si>
    <t>7.21E-24</t>
  </si>
  <si>
    <t>At1g51060</t>
  </si>
  <si>
    <t>Probable histone H2A.1</t>
  </si>
  <si>
    <t>GO:0005730,GO:0000786,GO:0005634,GO:0009505,GO:0003677,GO:0046982,GO:0030527</t>
  </si>
  <si>
    <t>nucleolus|nucleosome|nucleus|plant-type cell wall|DNA binding|protein heterodimerization activity|structural constituent of chromatin</t>
  </si>
  <si>
    <t>J2O13_06G013980</t>
  </si>
  <si>
    <t>J2O13_06G013986</t>
  </si>
  <si>
    <t>4.93E-14</t>
  </si>
  <si>
    <t>CIGR1</t>
  </si>
  <si>
    <t>Chitin-inducible gibberellin-responsive protein 1</t>
  </si>
  <si>
    <t>GO:0005634,GO:0003700,GO:0043565,GO:0006355</t>
  </si>
  <si>
    <t>nucleus|DNA-binding transcription factor activity|sequence-specific DNA binding|regulation of DNA-templated transcription</t>
  </si>
  <si>
    <t>J2O13_06G013989</t>
  </si>
  <si>
    <t>Alpha-copaene synthase</t>
  </si>
  <si>
    <t>GO:0047461,GO:0102877,GO:0000287,GO:1901928,GO:0016102</t>
  </si>
  <si>
    <t>(+)-delta-cadinene synthase activity|alpha-copaene synthase activity|magnesium ion binding|cadinene biosynthetic process|diterpenoid biosynthetic process</t>
  </si>
  <si>
    <t>J2O13_06G013990</t>
  </si>
  <si>
    <t>4.45E-07</t>
  </si>
  <si>
    <t>3.44E-06</t>
  </si>
  <si>
    <t>CYP71D55</t>
  </si>
  <si>
    <t>Premnaspirodiene oxygenase</t>
  </si>
  <si>
    <t>J2O13_06G013993</t>
  </si>
  <si>
    <t>J2O13_06G014005</t>
  </si>
  <si>
    <t>BGLU25</t>
  </si>
  <si>
    <t>Beta-glucosidase 25</t>
  </si>
  <si>
    <t>GO:0033907,GO:0004565,GO:0008422,GO:0102483,GO:0005975</t>
  </si>
  <si>
    <t>beta-D-fucosidase activity|beta-galactosidase activity|beta-glucosidase activity|scopolin beta-glucosidase activity|carbohydrate metabolic process</t>
  </si>
  <si>
    <t>J2O13_06G014008</t>
  </si>
  <si>
    <t>J2O13_06G014014</t>
  </si>
  <si>
    <t>GH3.6</t>
  </si>
  <si>
    <t>Indole-3-acetic acid-amido synthetase GH3.6</t>
  </si>
  <si>
    <t>GO:0005737,GO:0016881,GO:0010279,GO:0010252,GO:0009734,GO:0009733,GO:0009826</t>
  </si>
  <si>
    <t>cytoplasm|acid-amino acid ligase activity|indole-3-acetic acid amido synthetase activity|auxin homeostasis|auxin-activated signaling pathway|response to auxin|unidimensional cell growth</t>
  </si>
  <si>
    <t>J2O13_06G014020</t>
  </si>
  <si>
    <t>5.15E-15</t>
  </si>
  <si>
    <t>1.29E-13</t>
  </si>
  <si>
    <t>SD11</t>
  </si>
  <si>
    <t>G-type lectin S-receptor-like serine/threonine-protein kinase SD1-1</t>
  </si>
  <si>
    <t>GO:0005886,GO:0009506,GO:0005524,GO:0005516,GO:0030246,GO:0106310,GO:0004674,GO:0031625,GO:0006468,GO:0048544</t>
  </si>
  <si>
    <t>plasma membrane|plasmodesma|ATP binding|calmodulin binding|carbohydrate binding|protein serine kinase activity|protein serine/threonine kinase activity|ubiquitin protein ligase binding|protein phosphorylation|recognition of pollen</t>
  </si>
  <si>
    <t>J2O13_06G014032</t>
  </si>
  <si>
    <t>3.40E-05</t>
  </si>
  <si>
    <t>THE1</t>
  </si>
  <si>
    <t>Receptor-like protein kinase THESEUS 1</t>
  </si>
  <si>
    <t>GO:0005886,GO:0009506,GO:0005524,GO:0004672,GO:0004674,GO:0004714,GO:0050832,GO:0046777,GO:0009741,GO:0009826</t>
  </si>
  <si>
    <t>plasma membrane|plasmodesma|ATP binding|protein kinase activity|protein serine/threonine kinase activity|transmembrane receptor protein tyrosine kinase activity|defense response to fungus|protein autophosphorylation|response to brassinosteroid|unidimensional cell growth</t>
  </si>
  <si>
    <t>J2O13_06G014051</t>
  </si>
  <si>
    <t>1.57E-17</t>
  </si>
  <si>
    <t>5.32E-16</t>
  </si>
  <si>
    <t>At4g27290</t>
  </si>
  <si>
    <t>G-type lectin S-receptor-like serine/threonine-protein kinase At4g27290</t>
  </si>
  <si>
    <t>J2O13_06G014052</t>
  </si>
  <si>
    <t>KRP1</t>
  </si>
  <si>
    <t>Calcium-binding protein KRP1</t>
  </si>
  <si>
    <t>GO:0005509,GO:0071456,GO:0009733</t>
  </si>
  <si>
    <t>calcium ion binding|cellular response to hypoxia|response to auxin</t>
  </si>
  <si>
    <t>J2O13_06G014055</t>
  </si>
  <si>
    <t>3.03E-27</t>
  </si>
  <si>
    <t>2.66E-25</t>
  </si>
  <si>
    <t>J2O13_06G014070</t>
  </si>
  <si>
    <t>1.00E-29</t>
  </si>
  <si>
    <t>1.11E-27</t>
  </si>
  <si>
    <t>J2O13_06G014077</t>
  </si>
  <si>
    <t>DGK1</t>
  </si>
  <si>
    <t>Diacylglycerol kinase 1</t>
  </si>
  <si>
    <t>ko00561,ko00564,ko04070,ko04072,ko04361,ko05231</t>
  </si>
  <si>
    <t>Glycerolipid metabolism|Glycerophospholipid metabolism|Phosphatidylinositol signaling system|Phospholipase D signaling pathway|Axon regeneration|Choline metabolism in cancer</t>
  </si>
  <si>
    <t>GO:0005524,GO:0004143,GO:0006952,GO:0016310,GO:0007205</t>
  </si>
  <si>
    <t>ATP binding|diacylglycerol kinase activity|defense response|phosphorylation|protein kinase C-activating G protein-coupled receptor signaling pathway</t>
  </si>
  <si>
    <t>J2O13_06G014084</t>
  </si>
  <si>
    <t>J2O13_06G014085</t>
  </si>
  <si>
    <t>3.35E-07</t>
  </si>
  <si>
    <t>2.65E-06</t>
  </si>
  <si>
    <t>J2O13_06G014086</t>
  </si>
  <si>
    <t>3.64E-09</t>
  </si>
  <si>
    <t>4.03E-08</t>
  </si>
  <si>
    <t>CNGC4</t>
  </si>
  <si>
    <t>Cyclic nucleotide-gated ion channel 4</t>
  </si>
  <si>
    <t>GO:0016020,GO:0005886,GO:0005516,GO:0030552,GO:0008324,GO:0030553,GO:0005216,GO:0009626</t>
  </si>
  <si>
    <t>membrane|plasma membrane|calmodulin binding|cAMP binding|cation transmembrane transporter activity|cGMP binding|ion channel activity|plant-type hypersensitive response</t>
  </si>
  <si>
    <t>J2O13_06G014087</t>
  </si>
  <si>
    <t>J2O13_06G014097</t>
  </si>
  <si>
    <t>1.16E-15</t>
  </si>
  <si>
    <t>3.13E-14</t>
  </si>
  <si>
    <t>J2O13_06G014112</t>
  </si>
  <si>
    <t>J2O13_06G014188</t>
  </si>
  <si>
    <t>J2O13_06G014198</t>
  </si>
  <si>
    <t>CNGC15B</t>
  </si>
  <si>
    <t>Protein CNGC15b</t>
  </si>
  <si>
    <t>GO:0031965,GO:0005262,GO:0044325,GO:0005249,GO:0036377,GO:0009877</t>
  </si>
  <si>
    <t>nuclear membrane|calcium channel activity|transmembrane transporter binding|voltage-gated potassium channel activity|arbuscular mycorrhizal association|nodulation</t>
  </si>
  <si>
    <t>J2O13_06G014234</t>
  </si>
  <si>
    <t>J2O13_06G014267</t>
  </si>
  <si>
    <t>7.56E-05</t>
  </si>
  <si>
    <t>J2O13_06G014269</t>
  </si>
  <si>
    <t>4.23E-15</t>
  </si>
  <si>
    <t>1.08E-13</t>
  </si>
  <si>
    <t>J2O13_06G014270</t>
  </si>
  <si>
    <t>1.24E-14</t>
  </si>
  <si>
    <t>2.96E-13</t>
  </si>
  <si>
    <t>HD3A</t>
  </si>
  <si>
    <t>Protein HEADING DATE 3A</t>
  </si>
  <si>
    <t>GO:0005737,GO:0005634,GO:0008429,GO:0030154,GO:0009908,GO:0010229,GO:0009909,GO:0048510,GO:0048572,GO:0048575,GO:0010228</t>
  </si>
  <si>
    <t>cytoplasm|nucleus|phosphatidylethanolamine binding|cell differentiation|flower development|inflorescence development|regulation of flower development|regulation of timing of transition from vegetative to reproductive phase|short-day photoperiodism|short-day photoperiodism, flowering|vegetative to reproductive phase transition of meristem</t>
  </si>
  <si>
    <t>J2O13_06G014274</t>
  </si>
  <si>
    <t>6.74E-05</t>
  </si>
  <si>
    <t>AAE14</t>
  </si>
  <si>
    <t>2-succinylbenzoate--CoA ligase, chloroplastic/peroxisomal</t>
  </si>
  <si>
    <t>GO:0009507,GO:0031969,GO:0005778,GO:0005777,GO:0005524,GO:0031956,GO:0008756,GO:0006631,GO:0042372</t>
  </si>
  <si>
    <t>chloroplast|chloroplast membrane|peroxisomal membrane|peroxisome|ATP binding|medium-chain fatty acid-CoA ligase activity|o-succinylbenzoate-CoA ligase activity|fatty acid metabolic process|phylloquinone biosynthetic process</t>
  </si>
  <si>
    <t>J2O13_06G014308</t>
  </si>
  <si>
    <t>1.88E-05</t>
  </si>
  <si>
    <t>J2O13_06G014314</t>
  </si>
  <si>
    <t>5.37E-19</t>
  </si>
  <si>
    <t>2.15E-17</t>
  </si>
  <si>
    <t>JA2L</t>
  </si>
  <si>
    <t>NAC domain-containing protein JA2L</t>
  </si>
  <si>
    <t>GO:0005634,GO:0003677,GO:0006952,GO:0006355</t>
  </si>
  <si>
    <t>nucleus|DNA binding|defense response|regulation of DNA-templated transcription</t>
  </si>
  <si>
    <t>J2O13_06G014318</t>
  </si>
  <si>
    <t>NAC056</t>
  </si>
  <si>
    <t>NAC transcription factor 56</t>
  </si>
  <si>
    <t>GO:0005634,GO:0003700,GO:0000976,GO:0080060,GO:0045995,GO:0009753,GO:0048317,GO:0048731</t>
  </si>
  <si>
    <t>nucleus|DNA-binding transcription factor activity|transcription cis-regulatory region binding|integument development|regulation of embryonic development|response to jasmonic acid|seed morphogenesis|system development</t>
  </si>
  <si>
    <t>J2O13_06G014328</t>
  </si>
  <si>
    <t>J2O13_06G014332</t>
  </si>
  <si>
    <t>11S globulin seed storage protein Ana o 2.0101 (Fragment) OS=Anacardium occidentale OX=171929 PE=1 SV=1</t>
  </si>
  <si>
    <t>GO:0019863,GO:0019864,GO:0045735,GO:0070207,GO:0010431</t>
  </si>
  <si>
    <t>IgE binding|IgG binding|nutrient reservoir activity|protein homotrimerization|seed maturation</t>
  </si>
  <si>
    <t>J2O13_06G014344</t>
  </si>
  <si>
    <t>UBQ11</t>
  </si>
  <si>
    <t>Polyubiquitin 11</t>
  </si>
  <si>
    <t>GO:0005737,GO:0005829,GO:0005634,GO:0003729,GO:0031386,GO:0031625,GO:0019941,GO:0016567,GO:0006511</t>
  </si>
  <si>
    <t>cytoplasm|cytosol|nucleus|mRNA binding|protein tag|ubiquitin protein ligase binding|modification-dependent protein catabolic process|protein ubiquitination|ubiquitin-dependent protein catabolic process</t>
  </si>
  <si>
    <t>J2O13_06G014407</t>
  </si>
  <si>
    <t>ndhB1</t>
  </si>
  <si>
    <t>NAD(P)H-quinone oxidoreductase subunit 2 A, chloroplastic</t>
  </si>
  <si>
    <t>GO:0009535,GO:0008137,GO:0048038,GO:0042773,GO:0019684</t>
  </si>
  <si>
    <t>chloroplast thylakoid membrane|NADH dehydrogenase (ubiquinone) activity|quinone binding|ATP synthesis coupled electron transport|photosynthesis, light reaction</t>
  </si>
  <si>
    <t>J2O13_06G014413</t>
  </si>
  <si>
    <t>7.69E-10</t>
  </si>
  <si>
    <t>9.40E-09</t>
  </si>
  <si>
    <t>atpA</t>
  </si>
  <si>
    <t>ATP synthase subunit alpha, chloroplastic</t>
  </si>
  <si>
    <t>GO:0009535,GO:0045261,GO:0005524,GO:0046933,GO:0046961</t>
  </si>
  <si>
    <t>chloroplast thylakoid membrane|proton-transporting ATP synthase complex, catalytic core F(1)|ATP binding|proton-transporting ATP synthase activity, rotational mechanism|proton-transporting ATPase activity, rotational mechanism</t>
  </si>
  <si>
    <t>J2O13_06G014441</t>
  </si>
  <si>
    <t>7.35E-07</t>
  </si>
  <si>
    <t>5.42E-06</t>
  </si>
  <si>
    <t>At5g53970</t>
  </si>
  <si>
    <t>Probable aminotransferase TAT2</t>
  </si>
  <si>
    <t>ko00270,ko00350,ko00360,ko00400,ko00130,ko00950,ko00960,ko00401</t>
  </si>
  <si>
    <t>Cysteine and methionine metabolism|Tyrosine metabolism|Phenylalanine metabolism|Phenylalanine, tyrosine and tryptophan biosynthesis|Ubiquinone and other terpenoid-quinone biosynthesis|Isoquinoline alkaloid biosynthesis|Tropane, piperidine and pyridine alkaloid biosynthesis|Novobiocin biosynthesis</t>
  </si>
  <si>
    <t>GO:0005829,GO:0004838,GO:0030170,GO:0006572,GO:0010189</t>
  </si>
  <si>
    <t>cytosol|L-tyrosine:2-oxoglutarate aminotransferase activity|pyridoxal phosphate binding|tyrosine catabolic process|vitamin E biosynthetic process</t>
  </si>
  <si>
    <t>J2O13_06G014472</t>
  </si>
  <si>
    <t>6.56E-05</t>
  </si>
  <si>
    <t>J2O13_06G014474</t>
  </si>
  <si>
    <t>6.98E-34</t>
  </si>
  <si>
    <t>1.04E-31</t>
  </si>
  <si>
    <t>J2O13_06G014506</t>
  </si>
  <si>
    <t>1.42E-12</t>
  </si>
  <si>
    <t>2.58E-11</t>
  </si>
  <si>
    <t>PPC16</t>
  </si>
  <si>
    <t>Phosphoenolpyruvate carboxylase, housekeeping isozyme</t>
  </si>
  <si>
    <t>GO:0005829,GO:0008964,GO:0015977,GO:0048366,GO:0015979,GO:0006099</t>
  </si>
  <si>
    <t>cytosol|phosphoenolpyruvate carboxylase activity|carbon fixation|leaf development|photosynthesis|tricarboxylic acid cycle</t>
  </si>
  <si>
    <t>J2O13_06G014513</t>
  </si>
  <si>
    <t>Bp10</t>
  </si>
  <si>
    <t>L-ascorbate oxidase homolog</t>
  </si>
  <si>
    <t>ko00053</t>
  </si>
  <si>
    <t>Ascorbate and aldarate metabolism</t>
  </si>
  <si>
    <t>GO:0005576,GO:0005507,GO:0016491</t>
  </si>
  <si>
    <t>extracellular region|copper ion binding|oxidoreductase activity</t>
  </si>
  <si>
    <t>J2O13_06G014519</t>
  </si>
  <si>
    <t>5.80E-18</t>
  </si>
  <si>
    <t>2.08E-16</t>
  </si>
  <si>
    <t>J2O13_06G014534</t>
  </si>
  <si>
    <t>WRKY45</t>
  </si>
  <si>
    <t>Probable WRKY transcription factor 45</t>
  </si>
  <si>
    <t>GO:0005634,GO:0003700,GO:0046872,GO:0000976,GO:0006817</t>
  </si>
  <si>
    <t>nucleus|DNA-binding transcription factor activity|metal ion binding|transcription cis-regulatory region binding|phosphate ion transport</t>
  </si>
  <si>
    <t>J2O13_06G014540</t>
  </si>
  <si>
    <t>1.44E-18</t>
  </si>
  <si>
    <t>5.51E-17</t>
  </si>
  <si>
    <t>MET1</t>
  </si>
  <si>
    <t>Protein MET1, chloroplastic</t>
  </si>
  <si>
    <t>GO:0009507,GO:0009941,GO:0031969,GO:0009570,GO:0009534,GO:0009535,GO:0009575,GO:0035448,GO:0005634,GO:0009523,GO:0009579,GO:0015979,GO:0010207,GO:0010206,GO:0009644,GO:0009416,GO:0009611</t>
  </si>
  <si>
    <t>chloroplast|chloroplast envelope|chloroplast membrane|chloroplast stroma|chloroplast thylakoid|chloroplast thylakoid membrane|chromoplast stroma|extrinsic component of thylakoid membrane|nucleus|photosystem II|thylakoid|photosynthesis|photosystem II assembly|photosystem II repair|response to high light intensity|response to light stimulus|response to wounding</t>
  </si>
  <si>
    <t>J2O13_06G014541</t>
  </si>
  <si>
    <t>3.05E-09</t>
  </si>
  <si>
    <t>3.43E-08</t>
  </si>
  <si>
    <t>CYP716A17</t>
  </si>
  <si>
    <t>GO:0016020,GO:0020037,GO:0005506,GO:0016709,GO:0102374,GO:0102373,GO:0016135</t>
  </si>
  <si>
    <t>membrane|heme binding|iron ion binding|oxidoreductase activity, acting on paired donors, with incorporation or reduction of molecular oxygen, NAD(P)H as one donor, and incorporation of one atom of oxygen|ursolic aldehyde 28-monooxygenase activity|uvaol dehydrogenase activity|saponin biosynthetic process</t>
  </si>
  <si>
    <t>J2O13_06G014544</t>
  </si>
  <si>
    <t>4.22E-19</t>
  </si>
  <si>
    <t>1.71E-17</t>
  </si>
  <si>
    <t>OVA5</t>
  </si>
  <si>
    <t>Lysine--tRNA ligase, chloroplastic/mitochondrial</t>
  </si>
  <si>
    <t>GO:0009507,GO:0005829,GO:0005739,GO:0005524,GO:0003677,GO:0004824,GO:0046872,GO:0003729,GO:0000049,GO:0006430,GO:0048481</t>
  </si>
  <si>
    <t>chloroplast|cytosol|mitochondrion|ATP binding|DNA binding|lysine-tRNA ligase activity|metal ion binding|mRNA binding|tRNA binding|lysyl-tRNA aminoacylation|plant ovule development</t>
  </si>
  <si>
    <t>J2O13_06G014568</t>
  </si>
  <si>
    <t>2.83E-31</t>
  </si>
  <si>
    <t>3.63E-29</t>
  </si>
  <si>
    <t>DTC</t>
  </si>
  <si>
    <t>Mitochondrial dicarboxylate/tricarboxylate transporter DTC</t>
  </si>
  <si>
    <t>GO:0009941,GO:0005743,GO:0005739,GO:0009505,GO:0000325,GO:0009506,GO:0009536,GO:0005310,GO:0022857,GO:0015142,GO:0006835,GO:0035674</t>
  </si>
  <si>
    <t>chloroplast envelope|mitochondrial inner membrane|mitochondrion|plant-type cell wall|plant-type vacuole|plasmodesma|plastid|dicarboxylic acid transmembrane transporter activity|transmembrane transporter activity|tricarboxylic acid transmembrane transporter activity|dicarboxylic acid transport|tricarboxylic acid transmembrane transport</t>
  </si>
  <si>
    <t>J2O13_06G014573</t>
  </si>
  <si>
    <t>MYB5</t>
  </si>
  <si>
    <t>Transcription repressor MYB5</t>
  </si>
  <si>
    <t>GO:0005634,GO:0003700,GO:0000976,GO:0030154,GO:0048354,GO:0010468,GO:0010214,GO:0010090</t>
  </si>
  <si>
    <t>nucleus|DNA-binding transcription factor activity|transcription cis-regulatory region binding|cell differentiation|mucilage biosynthetic process involved in seed coat development|regulation of gene expression|seed coat development|trichome morphogenesis</t>
  </si>
  <si>
    <t>J2O13_06G014575</t>
  </si>
  <si>
    <t>7.31E-07</t>
  </si>
  <si>
    <t>5.40E-06</t>
  </si>
  <si>
    <t>At3g13560</t>
  </si>
  <si>
    <t>Glucan endo-1,3-beta-glucosidase 4</t>
  </si>
  <si>
    <t>GO:0005829,GO:0005886,GO:0042973,GO:0005975,GO:0006952</t>
  </si>
  <si>
    <t>cytosol|plasma membrane|glucan endo-1,3-beta-D-glucosidase activity|carbohydrate metabolic process|defense response</t>
  </si>
  <si>
    <t>J2O13_06G014581</t>
  </si>
  <si>
    <t>1.95E-05</t>
  </si>
  <si>
    <t>PTC52</t>
  </si>
  <si>
    <t>Protochlorophyllide-dependent translocon component 52, chloroplastic</t>
  </si>
  <si>
    <t>GO:0009941,GO:0009706,GO:0005737,GO:0005829,GO:0009536,GO:0051537,GO:0010277,GO:0046872,GO:0016491,GO:0015031</t>
  </si>
  <si>
    <t>chloroplast envelope|chloroplast inner membrane|cytoplasm|cytosol|plastid|2 iron, 2 sulfur cluster binding|chlorophyllide a oxygenase [overall] activity|metal ion binding|oxidoreductase activity|protein transport</t>
  </si>
  <si>
    <t>J2O13_06G014583</t>
  </si>
  <si>
    <t>1.27E-45</t>
  </si>
  <si>
    <t>4.51E-43</t>
  </si>
  <si>
    <t>J2O13_06G014587</t>
  </si>
  <si>
    <t>2.13E-11</t>
  </si>
  <si>
    <t>3.27E-10</t>
  </si>
  <si>
    <t>J2O13_06G014631</t>
  </si>
  <si>
    <t>J2O13_06G014646</t>
  </si>
  <si>
    <t>2.51E-14</t>
  </si>
  <si>
    <t>5.75E-13</t>
  </si>
  <si>
    <t>TBR</t>
  </si>
  <si>
    <t>Protein trichome birefringence</t>
  </si>
  <si>
    <t>GO:0005768,GO:0005794,GO:0016020,GO:0005802,GO:0016413,GO:0030244,GO:0045489,GO:0009827</t>
  </si>
  <si>
    <t>endosome|Golgi apparatus|membrane|trans-Golgi network|O-acetyltransferase activity|cellulose biosynthetic process|pectin biosynthetic process|plant-type cell wall modification</t>
  </si>
  <si>
    <t>J2O13_06G014648</t>
  </si>
  <si>
    <t>2.29E-07</t>
  </si>
  <si>
    <t>1.86E-06</t>
  </si>
  <si>
    <t>PAP12</t>
  </si>
  <si>
    <t>Probable plastid-lipid-associated protein 12, chloroplastic</t>
  </si>
  <si>
    <t>GO:0009507,GO:0009941,GO:0009534,GO:0009535,GO:0005634</t>
  </si>
  <si>
    <t>chloroplast|chloroplast envelope|chloroplast thylakoid|chloroplast thylakoid membrane|nucleus</t>
  </si>
  <si>
    <t>J2O13_06G014662</t>
  </si>
  <si>
    <t>1.38E-56</t>
  </si>
  <si>
    <t>1.02E-53</t>
  </si>
  <si>
    <t>NPF7.1</t>
  </si>
  <si>
    <t>Protein NRT1/ PTR FAMILY 7.1</t>
  </si>
  <si>
    <t>GO:0016020,GO:0005886,GO:0022857,GO:0055085</t>
  </si>
  <si>
    <t>membrane|plasma membrane|transmembrane transporter activity|transmembrane transport</t>
  </si>
  <si>
    <t>J2O13_06G014669</t>
  </si>
  <si>
    <t>NAC021</t>
  </si>
  <si>
    <t>NAC domain-containing protein 21/22</t>
  </si>
  <si>
    <t>GO:0005634,GO:0003677,GO:0003700,GO:0009734,GO:0048527</t>
  </si>
  <si>
    <t>nucleus|DNA binding|DNA-binding transcription factor activity|auxin-activated signaling pathway|lateral root development</t>
  </si>
  <si>
    <t>J2O13_06G014677</t>
  </si>
  <si>
    <t>J2O13_06G014681</t>
  </si>
  <si>
    <t>7.76E-24</t>
  </si>
  <si>
    <t>4.77E-22</t>
  </si>
  <si>
    <t>NCED3</t>
  </si>
  <si>
    <t>9-cis-epoxycarotenoid dioxygenase NCED3, chloroplastic</t>
  </si>
  <si>
    <t>GO:0009570,GO:0009535,GO:0045549,GO:0010436,GO:0046872,GO:0009688,GO:0016121,GO:0042538,GO:0006970,GO:0009414</t>
  </si>
  <si>
    <t>chloroplast stroma|chloroplast thylakoid membrane|9-cis-epoxycarotenoid dioxygenase activity|carotenoid dioxygenase activity|metal ion binding|abscisic acid biosynthetic process|carotene catabolic process|hyperosmotic salinity response|response to osmotic stress|response to water deprivation</t>
  </si>
  <si>
    <t>J2O13_06G014687</t>
  </si>
  <si>
    <t>RBSK</t>
  </si>
  <si>
    <t>Ribokinase</t>
  </si>
  <si>
    <t>GO:0009507,GO:0042644,GO:0009570,GO:0005634,GO:0042646,GO:0005524,GO:0046872,GO:0004747,GO:0019303,GO:0009116</t>
  </si>
  <si>
    <t>chloroplast|chloroplast nucleoid|chloroplast stroma|nucleus|plastid nucleoid|ATP binding|metal ion binding|ribokinase activity|D-ribose catabolic process|nucleoside metabolic process</t>
  </si>
  <si>
    <t>J2O13_06G014689</t>
  </si>
  <si>
    <t>2.96E-10</t>
  </si>
  <si>
    <t>3.86E-09</t>
  </si>
  <si>
    <t>MSRB1</t>
  </si>
  <si>
    <t>Peptide methionine sulfoxide reductase B1, chloroplastic</t>
  </si>
  <si>
    <t>GO:0009507,GO:0009570,GO:0005737,GO:0046872,GO:0033743,GO:0030091,GO:0006979</t>
  </si>
  <si>
    <t>chloroplast|chloroplast stroma|cytoplasm|metal ion binding|peptide-methionine (R)-S-oxide reductase activity|protein repair|response to oxidative stress</t>
  </si>
  <si>
    <t>J2O13_06G014694</t>
  </si>
  <si>
    <t>5.02E-07</t>
  </si>
  <si>
    <t>3.83E-06</t>
  </si>
  <si>
    <t>At1g17220</t>
  </si>
  <si>
    <t>Translation initiation factor IF-2, chloroplastic</t>
  </si>
  <si>
    <t>GO:0009507,GO:0009941,GO:0009570,GO:0005737,GO:0005634,GO:0005525,GO:0003924,GO:0003729,GO:0003743,GO:0006413</t>
  </si>
  <si>
    <t>chloroplast|chloroplast envelope|chloroplast stroma|cytoplasm|nucleus|GTP binding|GTPase activity|mRNA binding|translation initiation factor activity|translational initiation</t>
  </si>
  <si>
    <t>J2O13_06G014695</t>
  </si>
  <si>
    <t>KIN14Q</t>
  </si>
  <si>
    <t>Kinesin-like protein KIN-14Q</t>
  </si>
  <si>
    <t>GO:0005874,GO:0015630,GO:0005524,GO:0008017,GO:0003777,GO:0007018,GO:0007017</t>
  </si>
  <si>
    <t>microtubule|microtubule cytoskeleton|ATP binding|microtubule binding|microtubule motor activity|microtubule-based movement|microtubule-based process</t>
  </si>
  <si>
    <t>J2O13_06G014700</t>
  </si>
  <si>
    <t>ICR4</t>
  </si>
  <si>
    <t>Interactor of constitutive active ROPs 4</t>
  </si>
  <si>
    <t>J2O13_06G014716</t>
  </si>
  <si>
    <t>1.39E-05</t>
  </si>
  <si>
    <t>poxN1</t>
  </si>
  <si>
    <t>Peroxidase N1</t>
  </si>
  <si>
    <t>J2O13_06G014718</t>
  </si>
  <si>
    <t>GLC1</t>
  </si>
  <si>
    <t>GO:0005886,GO:0042973,GO:0005975,GO:0006952</t>
  </si>
  <si>
    <t>plasma membrane|glucan endo-1,3-beta-D-glucosidase activity|carbohydrate metabolic process|defense response</t>
  </si>
  <si>
    <t>J2O13_06G014720</t>
  </si>
  <si>
    <t>4.10E-07</t>
  </si>
  <si>
    <t>Solanesyl diphosphate synthase 1, chloroplastic</t>
  </si>
  <si>
    <t>GO:0009507,GO:0009536,GO:0052924,GO:0004311,GO:0046872,GO:0004659,GO:0008299,GO:0010236</t>
  </si>
  <si>
    <t>chloroplast|plastid|all-trans-nonaprenyl-diphosphate synthase (geranylgeranyl-diphosphate specific) activity|farnesyltranstransferase activity|metal ion binding|prenyltransferase activity|isoprenoid biosynthetic process|plastoquinone biosynthetic process</t>
  </si>
  <si>
    <t>J2O13_06G014725</t>
  </si>
  <si>
    <t>SHA</t>
  </si>
  <si>
    <t>SH2 domain-containing protein A</t>
  </si>
  <si>
    <t>GO:0000981,GO:0000978,GO:0006357,GO:0007165</t>
  </si>
  <si>
    <t>DNA-binding transcription factor activity, RNA polymerase II-specific|RNA polymerase II cis-regulatory region sequence-specific DNA binding|regulation of transcription by RNA polymerase II|signal transduction</t>
  </si>
  <si>
    <t>J2O13_06G014734</t>
  </si>
  <si>
    <t>3.12E-05</t>
  </si>
  <si>
    <t>CRK19</t>
  </si>
  <si>
    <t>Cysteine-rich receptor-like protein kinase 19</t>
  </si>
  <si>
    <t>GO:0005886,GO:0005524,GO:0106310,GO:0004674,GO:0042742,GO:0006468,GO:0009751</t>
  </si>
  <si>
    <t>plasma membrane|ATP binding|protein serine kinase activity|protein serine/threonine kinase activity|defense response to bacterium|protein phosphorylation|response to salicylic acid</t>
  </si>
  <si>
    <t>J2O13_06G014735</t>
  </si>
  <si>
    <t>J2O13_06G014751</t>
  </si>
  <si>
    <t>3.36E-19</t>
  </si>
  <si>
    <t>1.38E-17</t>
  </si>
  <si>
    <t>J2O13_06G014771</t>
  </si>
  <si>
    <t>5.81E-09</t>
  </si>
  <si>
    <t>6.29E-08</t>
  </si>
  <si>
    <t>DOGL4</t>
  </si>
  <si>
    <t>Protein DOG1-like 4</t>
  </si>
  <si>
    <t>GO:0043565,GO:0006351</t>
  </si>
  <si>
    <t>sequence-specific DNA binding|DNA-templated transcription</t>
  </si>
  <si>
    <t>J2O13_06G014800</t>
  </si>
  <si>
    <t>1.99E-07</t>
  </si>
  <si>
    <t>At1g53440</t>
  </si>
  <si>
    <t>Probable LRR receptor-like serine/threonine-protein kinase At1g53440</t>
  </si>
  <si>
    <t>J2O13_06G014808</t>
  </si>
  <si>
    <t>1.61E-13</t>
  </si>
  <si>
    <t>3.31E-12</t>
  </si>
  <si>
    <t>MMDH</t>
  </si>
  <si>
    <t>Malate dehydrogenase, mitochondrial</t>
  </si>
  <si>
    <t>GO:0005759,GO:0030060,GO:0006108,GO:0006099</t>
  </si>
  <si>
    <t>mitochondrial matrix|L-malate dehydrogenase activity|malate metabolic process|tricarboxylic acid cycle</t>
  </si>
  <si>
    <t>J2O13_06G014841</t>
  </si>
  <si>
    <t>7.98E-11</t>
  </si>
  <si>
    <t>1.13E-09</t>
  </si>
  <si>
    <t>Metallothionein-like protein type 3 OS=Carica papaya OX=3649 PE=3 SV=1</t>
  </si>
  <si>
    <t>GO:0005507,GO:0008270,GO:0006878</t>
  </si>
  <si>
    <t>copper ion binding|zinc ion binding|cellular copper ion homeostasis</t>
  </si>
  <si>
    <t>J2O13_06G014847</t>
  </si>
  <si>
    <t>J2O13_06G014858</t>
  </si>
  <si>
    <t>1.11E-18</t>
  </si>
  <si>
    <t>4.30E-17</t>
  </si>
  <si>
    <t>GRI</t>
  </si>
  <si>
    <t>Protein GRIM REAPER</t>
  </si>
  <si>
    <t>GO:0048046,GO:0005615,GO:0042742,GO:0009867,GO:0010942,GO:0080141,GO:0080142,GO:0010193,GO:0009863,GO:0048316</t>
  </si>
  <si>
    <t>apoplast|extracellular space|defense response to bacterium|jasmonic acid mediated signaling pathway|positive regulation of cell death|regulation of jasmonic acid biosynthetic process|regulation of salicylic acid biosynthetic process|response to ozone|salicylic acid mediated signaling pathway|seed development</t>
  </si>
  <si>
    <t>J2O13_06G014863</t>
  </si>
  <si>
    <t>J2O13_06G014868</t>
  </si>
  <si>
    <t>4.23E-10</t>
  </si>
  <si>
    <t>5.42E-09</t>
  </si>
  <si>
    <t>ENODL1</t>
  </si>
  <si>
    <t>Early nodulin-like protein 1</t>
  </si>
  <si>
    <t>GO:0032578,GO:0005886,GO:0005773,GO:0009055</t>
  </si>
  <si>
    <t>aleurone grain membrane|plasma membrane|vacuole|electron transfer activity</t>
  </si>
  <si>
    <t>J2O13_06G014883</t>
  </si>
  <si>
    <t>DTX18</t>
  </si>
  <si>
    <t>Protein DETOXIFICATION 18</t>
  </si>
  <si>
    <t>GO:0016020,GO:0015297,GO:0022857,GO:0042910,GO:0002229,GO:0098542,GO:1990961</t>
  </si>
  <si>
    <t>membrane|antiporter activity|transmembrane transporter activity|xenobiotic transmembrane transporter activity|defense response to oomycetes|defense response to other organism|xenobiotic detoxification by transmembrane export across the plasma membrane</t>
  </si>
  <si>
    <t>J2O13_06G014887</t>
  </si>
  <si>
    <t>PSKR2</t>
  </si>
  <si>
    <t>Phytosulfokine receptor 2</t>
  </si>
  <si>
    <t>GO:0009507,GO:0005886,GO:0005524,GO:0001653,GO:0106310,GO:0004674,GO:0006468</t>
  </si>
  <si>
    <t>chloroplast|plasma membrane|ATP binding|peptide receptor activity|protein serine kinase activity|protein serine/threonine kinase activity|protein phosphorylation</t>
  </si>
  <si>
    <t>J2O13_06G014890</t>
  </si>
  <si>
    <t>SPL5</t>
  </si>
  <si>
    <t>Squamosa promoter-binding-like protein 5</t>
  </si>
  <si>
    <t>GO:0005737,GO:0005634,GO:0003677,GO:0003700,GO:0046872,GO:0006355,GO:0010321</t>
  </si>
  <si>
    <t>cytoplasm|nucleus|DNA binding|DNA-binding transcription factor activity|metal ion binding|regulation of DNA-templated transcription|regulation of vegetative phase change</t>
  </si>
  <si>
    <t>J2O13_06G014906</t>
  </si>
  <si>
    <t>2.56E-32</t>
  </si>
  <si>
    <t>3.38E-30</t>
  </si>
  <si>
    <t>GO:0016604,GO:0005634,GO:0003700,GO:0000976,GO:0071456,GO:0009873,GO:0009864,GO:0045892,GO:0010105,GO:0009737,GO:0009723</t>
  </si>
  <si>
    <t>nuclear body|nucleus|DNA-binding transcription factor activity|transcription cis-regulatory region binding|cellular response to hypoxia|ethylene-activated signaling pathway|induced systemic resistance, jasmonic acid mediated signaling pathway|negative regulation of DNA-templated transcription|negative regulation of ethylene-activated signaling pathway|response to abscisic acid|response to ethylene</t>
  </si>
  <si>
    <t>J2O13_07G014923</t>
  </si>
  <si>
    <t>8.84E-12</t>
  </si>
  <si>
    <t>1.43E-10</t>
  </si>
  <si>
    <t>HDA8</t>
  </si>
  <si>
    <t>Histone deacetylase 8</t>
  </si>
  <si>
    <t>GO:0005737,GO:0005634,GO:0004407,GO:0016787,GO:0008270,GO:0006325</t>
  </si>
  <si>
    <t>cytoplasm|nucleus|histone deacetylase activity|hydrolase activity|zinc ion binding|chromatin organization</t>
  </si>
  <si>
    <t>J2O13_07G014924</t>
  </si>
  <si>
    <t>J2O13_07G014928</t>
  </si>
  <si>
    <t>4.25E-14</t>
  </si>
  <si>
    <t>9.45E-13</t>
  </si>
  <si>
    <t>XRN3</t>
  </si>
  <si>
    <t>5'-3' exoribonuclease 3</t>
  </si>
  <si>
    <t>GO:0005634,GO:0004534,GO:0003723,GO:0008270,GO:0010587,GO:0006397,GO:0060149,GO:0071035,GO:0000956,GO:0000967</t>
  </si>
  <si>
    <t>nucleus|5'-3' exoribonuclease activity|RNA binding|zinc ion binding|miRNA catabolic process|mRNA processing|negative regulation of post-transcriptional gene silencing|nuclear polyadenylation-dependent rRNA catabolic process|nuclear-transcribed mRNA catabolic process|rRNA 5'-end processing</t>
  </si>
  <si>
    <t>J2O13_07G014934</t>
  </si>
  <si>
    <t>J2O13_07G014936</t>
  </si>
  <si>
    <t>1.62E-05</t>
  </si>
  <si>
    <t>9.12E-05</t>
  </si>
  <si>
    <t>CAF1-9</t>
  </si>
  <si>
    <t>Probable CCR4-associated factor 1 homolog 9</t>
  </si>
  <si>
    <t>GO:0030015,GO:0005634,GO:0000932,GO:0008408,GO:0046872,GO:0004535,GO:0003723,GO:0042742,GO:0002213,GO:0043928,GO:0000289,GO:0009611</t>
  </si>
  <si>
    <t>CCR4-NOT core complex|nucleus|P-body|3'-5' exonuclease activity|metal ion binding|poly(A)-specific ribonuclease activity|RNA binding|defense response to bacterium|defense response to insect|exonucleolytic catabolism of deadenylated mRNA|nuclear-transcribed mRNA poly(A) tail shortening|response to wounding</t>
  </si>
  <si>
    <t>J2O13_07G014938</t>
  </si>
  <si>
    <t>8.96E-11</t>
  </si>
  <si>
    <t>BDH</t>
  </si>
  <si>
    <t>Borneol dehydrogenase, mitochondrial</t>
  </si>
  <si>
    <t>GO:0005739,GO:0016491,GO:0016114</t>
  </si>
  <si>
    <t>mitochondrion|oxidoreductase activity|terpenoid biosynthetic process</t>
  </si>
  <si>
    <t>J2O13_07G014939</t>
  </si>
  <si>
    <t>7.87E-07</t>
  </si>
  <si>
    <t>5.79E-06</t>
  </si>
  <si>
    <t>NTL8</t>
  </si>
  <si>
    <t>NAC domain-containing protein 40</t>
  </si>
  <si>
    <t>GO:0005634,GO:0005886,GO:0003700,GO:0043565,GO:0000976,GO:0071472,GO:0009908,GO:0009740,GO:0033619,GO:0009938,GO:0048573,GO:0045893,GO:2000039,GO:0009739,GO:0009651,GO:0009845</t>
  </si>
  <si>
    <t>nucleus|plasma membrane|DNA-binding transcription factor activity|sequence-specific DNA binding|transcription cis-regulatory region binding|cellular response to salt stress|flower development|gibberellic acid mediated signaling pathway|membrane protein proteolysis|negative regulation of gibberellic acid mediated signaling pathway|photoperiodism, flowering|positive regulation of DNA-templated transcription|regulation of trichome morphogenesis|response to gibberellin|response to salt stress|seed germination</t>
  </si>
  <si>
    <t>J2O13_07G014949</t>
  </si>
  <si>
    <t>J2O13_07G014953</t>
  </si>
  <si>
    <t>SRM1</t>
  </si>
  <si>
    <t>Transcription factor SRM1</t>
  </si>
  <si>
    <t>GO:0005634,GO:0003700,GO:0000976,GO:0009738,GO:1901001,GO:0010116,GO:1905615,GO:0045893,GO:0009787,GO:0006355,GO:1901371,GO:0009739,GO:0009751,GO:0009651,GO:0009414</t>
  </si>
  <si>
    <t>nucleus|DNA-binding transcription factor activity|transcription cis-regulatory region binding|abscisic acid-activated signaling pathway|negative regulation of response to salt stress|positive regulation of abscisic acid biosynthetic process|positive regulation of developmental vegetative growth|positive regulation of DNA-templated transcription|regulation of abscisic acid-activated signaling pathway|regulation of DNA-templated transcription|regulation of leaf morphogenesis|response to gibberellin|response to salicylic acid|response to salt stress|response to water deprivation</t>
  </si>
  <si>
    <t>J2O13_07G014962</t>
  </si>
  <si>
    <t>J2O13_07G014963</t>
  </si>
  <si>
    <t>4.63E-22</t>
  </si>
  <si>
    <t>2.48E-20</t>
  </si>
  <si>
    <t>CPA</t>
  </si>
  <si>
    <t>N-carbamoylputrescine amidase</t>
  </si>
  <si>
    <t>ko00330</t>
  </si>
  <si>
    <t>Arginine and proline metabolism</t>
  </si>
  <si>
    <t>GO:0016811,GO:0050126,GO:0009446,GO:0033388</t>
  </si>
  <si>
    <t>hydrolase activity, acting on carbon-nitrogen (but not peptide) bonds, in linear amides|N-carbamoylputrescine amidase activity|putrescine biosynthetic process|putrescine biosynthetic process from arginine</t>
  </si>
  <si>
    <t>J2O13_07G014981</t>
  </si>
  <si>
    <t>BIC1</t>
  </si>
  <si>
    <t>Protein BIC1</t>
  </si>
  <si>
    <t>GO:0005634,GO:0009785</t>
  </si>
  <si>
    <t>nucleus|blue light signaling pathway</t>
  </si>
  <si>
    <t>J2O13_07G014984</t>
  </si>
  <si>
    <t>7.95E-05</t>
  </si>
  <si>
    <t>FTSZ2-1</t>
  </si>
  <si>
    <t>Cell division protein FtsZ homolog 2-1, chloroplastic</t>
  </si>
  <si>
    <t>ko04112</t>
  </si>
  <si>
    <t>Cell cycle - Caulobacter</t>
  </si>
  <si>
    <t>GO:0009507,GO:0009570,GO:0009534,GO:0009535,GO:0070938,GO:0005737,GO:0005783,GO:0005525,GO:0003924,GO:0043621,GO:0010020,GO:0048285,GO:0009739</t>
  </si>
  <si>
    <t>chloroplast|chloroplast stroma|chloroplast thylakoid|chloroplast thylakoid membrane|contractile ring|cytoplasm|endoplasmic reticulum|GTP binding|GTPase activity|protein self-association|chloroplast fission|organelle fission|response to gibberellin</t>
  </si>
  <si>
    <t>J2O13_07G014990</t>
  </si>
  <si>
    <t>J2O13_07G014993</t>
  </si>
  <si>
    <t>6.86E-11</t>
  </si>
  <si>
    <t>9.79E-10</t>
  </si>
  <si>
    <t>BASS4</t>
  </si>
  <si>
    <t>Probable sodium/metabolite cotransporter BASS4, chloroplastic</t>
  </si>
  <si>
    <t>GO:0009941,GO:0016020</t>
  </si>
  <si>
    <t>chloroplast envelope|membrane</t>
  </si>
  <si>
    <t>J2O13_07G015004</t>
  </si>
  <si>
    <t>3.11E-08</t>
  </si>
  <si>
    <t>2.98E-07</t>
  </si>
  <si>
    <t>FAR3</t>
  </si>
  <si>
    <t>Fatty acyl-CoA reductase 3</t>
  </si>
  <si>
    <t>ko00073,ko04146,ko04212</t>
  </si>
  <si>
    <t>Cutin, suberine and wax biosynthesis|Peroxisome|Longevity regulating pathway - worm</t>
  </si>
  <si>
    <t>GO:0005783,GO:0043231,GO:0102965,GO:0080019,GO:0035336,GO:0010345,GO:0010025</t>
  </si>
  <si>
    <t>endoplasmic reticulum|intracellular membrane-bounded organelle|alcohol-forming fatty acyl-CoA reductase activity|fatty-acyl-CoA reductase (alcohol-forming) activity|long-chain fatty-acyl-CoA metabolic process|suberin biosynthetic process|wax biosynthetic process</t>
  </si>
  <si>
    <t>J2O13_07G015005</t>
  </si>
  <si>
    <t>3.05E-39</t>
  </si>
  <si>
    <t>6.54E-37</t>
  </si>
  <si>
    <t>J2O13_07G015008</t>
  </si>
  <si>
    <t>6.86E-13</t>
  </si>
  <si>
    <t>CYP94C1</t>
  </si>
  <si>
    <t>Cytochrome P450 94C1</t>
  </si>
  <si>
    <t>GO:0005789,GO:0043231,GO:0018685,GO:0020037,GO:0005506,GO:0009611</t>
  </si>
  <si>
    <t>endoplasmic reticulum membrane|intracellular membrane-bounded organelle|alkane 1-monooxygenase activity|heme binding|iron ion binding|response to wounding</t>
  </si>
  <si>
    <t>J2O13_07G015010</t>
  </si>
  <si>
    <t>3.32E-09</t>
  </si>
  <si>
    <t>3.71E-08</t>
  </si>
  <si>
    <t>At3g47200</t>
  </si>
  <si>
    <t>UPF0481 protein At3g47200</t>
  </si>
  <si>
    <t>J2O13_07G015011</t>
  </si>
  <si>
    <t>8.55E-31</t>
  </si>
  <si>
    <t>1.03E-28</t>
  </si>
  <si>
    <t>J2O13_07G015012</t>
  </si>
  <si>
    <t>6.77E-20</t>
  </si>
  <si>
    <t>2.94E-18</t>
  </si>
  <si>
    <t>Ricin OS=Ricinus communis OX=3988 PE=1 SV=1</t>
  </si>
  <si>
    <t>GO:0005783,GO:0016208,GO:0030246,GO:0030598,GO:0090729,GO:0006952,GO:0031640,GO:0017148</t>
  </si>
  <si>
    <t>endoplasmic reticulum|AMP binding|carbohydrate binding|rRNA N-glycosylase activity|toxin activity|defense response|killing of cells of another organism|negative regulation of translation</t>
  </si>
  <si>
    <t>J2O13_07G015021</t>
  </si>
  <si>
    <t>1.33E-05</t>
  </si>
  <si>
    <t>7.62E-05</t>
  </si>
  <si>
    <t>AGC1-5</t>
  </si>
  <si>
    <t>Serine/threonine-protein kinase AGC1-5</t>
  </si>
  <si>
    <t>J2O13_07G015026</t>
  </si>
  <si>
    <t>5.02E-33</t>
  </si>
  <si>
    <t>7.10E-31</t>
  </si>
  <si>
    <t>PDR2</t>
  </si>
  <si>
    <t>Pleiotropic drug resistance protein 2</t>
  </si>
  <si>
    <t>J2O13_07G015035</t>
  </si>
  <si>
    <t>1.14E-06</t>
  </si>
  <si>
    <t>8.14E-06</t>
  </si>
  <si>
    <t>GEL</t>
  </si>
  <si>
    <t>Ribosome-inactivating protein gelonin</t>
  </si>
  <si>
    <t>GO:0030246,GO:0042803,GO:0030598,GO:0090729,GO:0006952,GO:0017148</t>
  </si>
  <si>
    <t>carbohydrate binding|protein homodimerization activity|rRNA N-glycosylase activity|toxin activity|defense response|negative regulation of translation</t>
  </si>
  <si>
    <t>J2O13_07G015038</t>
  </si>
  <si>
    <t>5.27E-10</t>
  </si>
  <si>
    <t>6.61E-09</t>
  </si>
  <si>
    <t>J2O13_07G015045</t>
  </si>
  <si>
    <t>1.58E-10</t>
  </si>
  <si>
    <t>2.13E-09</t>
  </si>
  <si>
    <t>2-carboxy-D-arabinitol-1-phosphatase OS=Triticum aestivum OX=4565 PE=1 SV=1</t>
  </si>
  <si>
    <t>GO:0009570,GO:0005737,GO:0047538,GO:0016791,GO:0016311</t>
  </si>
  <si>
    <t>chloroplast stroma|cytoplasm|2-carboxy-D-arabinitol-1-phosphatase activity|phosphatase activity|dephosphorylation</t>
  </si>
  <si>
    <t>J2O13_07G015049</t>
  </si>
  <si>
    <t>2.48E-12</t>
  </si>
  <si>
    <t>4.41E-11</t>
  </si>
  <si>
    <t>J2O13_07G015050</t>
  </si>
  <si>
    <t>4.64E-15</t>
  </si>
  <si>
    <t>1.17E-13</t>
  </si>
  <si>
    <t>XA21</t>
  </si>
  <si>
    <t>Receptor kinase-like protein Xa21</t>
  </si>
  <si>
    <t>GO:0005789,GO:0005634,GO:0005886,GO:0005524,GO:0106310,GO:0004674,GO:0006952,GO:0031349,GO:1900426,GO:0046777</t>
  </si>
  <si>
    <t>endoplasmic reticulum membrane|nucleus|plasma membrane|ATP binding|protein serine kinase activity|protein serine/threonine kinase activity|defense response|positive regulation of defense response|positive regulation of defense response to bacterium|protein autophosphorylation</t>
  </si>
  <si>
    <t>J2O13_07G015053</t>
  </si>
  <si>
    <t>1.80E-17</t>
  </si>
  <si>
    <t>6.07E-16</t>
  </si>
  <si>
    <t>ROS1</t>
  </si>
  <si>
    <t>DNA glycosylase/AP lyase ROS1</t>
  </si>
  <si>
    <t>GO:0005730,GO:0005634,GO:0051539,GO:0140078,GO:0003677,GO:0035514,GO:0019104,GO:0003906,GO:0046872,GO:0006284,GO:0050832,GO:0080111,GO:0006306,GO:0006281</t>
  </si>
  <si>
    <t>nucleolus|nucleus|4 iron, 4 sulfur cluster binding|class I DNA-(apurinic or apyrimidinic site) endonuclease activity|DNA binding|DNA demethylase activity|DNA N-glycosylase activity|DNA-(apurinic or apyrimidinic site) endonuclease activity|metal ion binding|base-excision repair|defense response to fungus|DNA demethylation|DNA methylation|DNA repair</t>
  </si>
  <si>
    <t>J2O13_07G015055</t>
  </si>
  <si>
    <t>6.57E-26</t>
  </si>
  <si>
    <t>5.07E-24</t>
  </si>
  <si>
    <t>TIC100</t>
  </si>
  <si>
    <t>Protein TIC 100</t>
  </si>
  <si>
    <t>GO:0009507,GO:0009941,GO:0009706,GO:0009535,GO:0009536,GO:0008320,GO:0009658,GO:0009793,GO:0045037</t>
  </si>
  <si>
    <t>chloroplast|chloroplast envelope|chloroplast inner membrane|chloroplast thylakoid membrane|plastid|protein transmembrane transporter activity|chloroplast organization|embryo development ending in seed dormancy|protein import into chloroplast stroma</t>
  </si>
  <si>
    <t>J2O13_07G015056</t>
  </si>
  <si>
    <t>J2O13_07G015057</t>
  </si>
  <si>
    <t>At4g22758</t>
  </si>
  <si>
    <t>Uncharacterized protein At4g22758</t>
  </si>
  <si>
    <t>J2O13_07G015062</t>
  </si>
  <si>
    <t>1.56E-08</t>
  </si>
  <si>
    <t>1.56E-07</t>
  </si>
  <si>
    <t>J2O13_07G015071</t>
  </si>
  <si>
    <t>J2O13_07G015073</t>
  </si>
  <si>
    <t>5.60E-15</t>
  </si>
  <si>
    <t>MRS2-11</t>
  </si>
  <si>
    <t>Magnesium transporter MRS2-11, chloroplastic</t>
  </si>
  <si>
    <t>GO:0009507,GO:0009941,GO:0031969,GO:0009536,GO:0015095,GO:0010960,GO:1903830,GO:0015693,GO:0010117,GO:0010027</t>
  </si>
  <si>
    <t>chloroplast|chloroplast envelope|chloroplast membrane|plastid|magnesium ion transmembrane transporter activity|magnesium ion homeostasis|magnesium ion transmembrane transport|magnesium ion transport|photoprotection|thylakoid membrane organization</t>
  </si>
  <si>
    <t>J2O13_07G015075</t>
  </si>
  <si>
    <t>9.10E-09</t>
  </si>
  <si>
    <t>9.49E-08</t>
  </si>
  <si>
    <t>ACT-2</t>
  </si>
  <si>
    <t>Agmatine coumaroyltransferase-2</t>
  </si>
  <si>
    <t>GO:0047634</t>
  </si>
  <si>
    <t>agmatine N4-coumaroyltransferase activity</t>
  </si>
  <si>
    <t>J2O13_07G015097</t>
  </si>
  <si>
    <t>2.34E-30</t>
  </si>
  <si>
    <t>RPL9</t>
  </si>
  <si>
    <t>50S ribosomal protein L9, chloroplastic</t>
  </si>
  <si>
    <t>GO:0009507,GO:0009941,GO:0009570,GO:0005829,GO:0005739,GO:0000311,GO:0003729,GO:0019843,GO:0003735,GO:0006412</t>
  </si>
  <si>
    <t>chloroplast|chloroplast envelope|chloroplast stroma|cytosol|mitochondrion|plastid large ribosomal subunit|mRNA binding|rRNA binding|structural constituent of ribosome|translation</t>
  </si>
  <si>
    <t>J2O13_07G015098</t>
  </si>
  <si>
    <t>6.14E-14</t>
  </si>
  <si>
    <t>1.34E-12</t>
  </si>
  <si>
    <t>ZAT5</t>
  </si>
  <si>
    <t>Zinc finger protein ZAT5</t>
  </si>
  <si>
    <t>J2O13_07G015102</t>
  </si>
  <si>
    <t>8.51E-06</t>
  </si>
  <si>
    <t>TIP1-1</t>
  </si>
  <si>
    <t>Aquaporin TIP1-1</t>
  </si>
  <si>
    <t>GO:0042807,GO:0009941,GO:0016020,GO:0000325,GO:0009705,GO:0000326,GO:0015204,GO:0015250,GO:0080170,GO:0015840,GO:0006833</t>
  </si>
  <si>
    <t>central vacuole|chloroplast envelope|membrane|plant-type vacuole|plant-type vacuole membrane|protein storage vacuole|urea transmembrane transporter activity|water channel activity|hydrogen peroxide transmembrane transport|urea transport|water transport</t>
  </si>
  <si>
    <t>J2O13_07G015103</t>
  </si>
  <si>
    <t>FIT</t>
  </si>
  <si>
    <t>Transcription factor FER-LIKE IRON DEFICIENCY-INDUCED TRANSCRIPTION FACTOR</t>
  </si>
  <si>
    <t>GO:0005634,GO:0003700,GO:0046983,GO:0043565,GO:0006355,GO:0034756,GO:0010039</t>
  </si>
  <si>
    <t>nucleus|DNA-binding transcription factor activity|protein dimerization activity|sequence-specific DNA binding|regulation of DNA-templated transcription|regulation of iron ion transport|response to iron ion</t>
  </si>
  <si>
    <t>J2O13_07G015104</t>
  </si>
  <si>
    <t>HIPP03</t>
  </si>
  <si>
    <t>Heavy metal-associated isoprenylated plant protein 3</t>
  </si>
  <si>
    <t>GO:0005737,GO:0005730,GO:0005634,GO:0008270,GO:0009910</t>
  </si>
  <si>
    <t>cytoplasm|nucleolus|nucleus|zinc ion binding|negative regulation of flower development</t>
  </si>
  <si>
    <t>J2O13_07G015105</t>
  </si>
  <si>
    <t>3.41E-24</t>
  </si>
  <si>
    <t>2.19E-22</t>
  </si>
  <si>
    <t>RZPF34</t>
  </si>
  <si>
    <t>E3 ubiquitin-protein ligase RZFP34</t>
  </si>
  <si>
    <t>GO:0005783,GO:0005634,GO:0061630,GO:0008270,GO:0016567,GO:1902456,GO:0006511</t>
  </si>
  <si>
    <t>endoplasmic reticulum|nucleus|ubiquitin protein ligase activity|zinc ion binding|protein ubiquitination|regulation of stomatal opening|ubiquitin-dependent protein catabolic process</t>
  </si>
  <si>
    <t>J2O13_07G015107</t>
  </si>
  <si>
    <t>3.94E-06</t>
  </si>
  <si>
    <t>2.53E-05</t>
  </si>
  <si>
    <t>LIG1</t>
  </si>
  <si>
    <t>DNA ligase 1</t>
  </si>
  <si>
    <t>GO:0005739,GO:0005730,GO:0005634,GO:0005524,GO:0003677,GO:0003910,GO:0046872,GO:0007049,GO:0051301,GO:0071897,GO:0080111,GO:0006266,GO:0006310,GO:0006260,GO:0006302,GO:0006273,GO:0000012</t>
  </si>
  <si>
    <t>mitochondrion|nucleolus|nucleus|ATP binding|DNA binding|DNA ligase (ATP) activity|metal ion binding|cell cycle|cell division|DNA biosynthetic process|DNA demethylation|DNA ligation|DNA recombination|DNA replication|double-strand break repair|lagging strand elongation|single strand break repair</t>
  </si>
  <si>
    <t>J2O13_07G015108</t>
  </si>
  <si>
    <t>1.11E-29</t>
  </si>
  <si>
    <t>1.22E-27</t>
  </si>
  <si>
    <t>J2O13_07G015114</t>
  </si>
  <si>
    <t>XTH32</t>
  </si>
  <si>
    <t>Probable xyloglucan endotransglucosylase/hydrolase protein 32</t>
  </si>
  <si>
    <t>GO:0048046,GO:0004553,GO:0030247,GO:0016762,GO:0042546,GO:0016998,GO:0071555,GO:0010411</t>
  </si>
  <si>
    <t>apoplast|hydrolase activity, hydrolyzing O-glycosyl compounds|polysaccharide binding|xyloglucan:xyloglucosyl transferase activity|cell wall biogenesis|cell wall macromolecule catabolic process|cell wall organization|xyloglucan metabolic process</t>
  </si>
  <si>
    <t>J2O13_07G015132</t>
  </si>
  <si>
    <t>2.25E-11</t>
  </si>
  <si>
    <t>3.45E-10</t>
  </si>
  <si>
    <t>J2O13_07G015134</t>
  </si>
  <si>
    <t>2.12E-13</t>
  </si>
  <si>
    <t>4.28E-12</t>
  </si>
  <si>
    <t>NRT2.1</t>
  </si>
  <si>
    <t>High-affinity nitrate transporter 2.1</t>
  </si>
  <si>
    <t>GO:0016020,GO:0009705,GO:0005886,GO:0015112,GO:0071249,GO:0048527,GO:0042128,GO:0015706,GO:0010167</t>
  </si>
  <si>
    <t>membrane|plant-type vacuole membrane|plasma membrane|nitrate transmembrane transporter activity|cellular response to nitrate|lateral root development|nitrate assimilation|nitrate transmembrane transport|response to nitrate</t>
  </si>
  <si>
    <t>J2O13_07G015136</t>
  </si>
  <si>
    <t>2.66E-07</t>
  </si>
  <si>
    <t>2.13E-06</t>
  </si>
  <si>
    <t>J2O13_07G015144</t>
  </si>
  <si>
    <t>J2O13_07G015148</t>
  </si>
  <si>
    <t>ABCG28</t>
  </si>
  <si>
    <t>ABC transporter G family member 28</t>
  </si>
  <si>
    <t>GO:0016020,GO:0090404,GO:0099503,GO:0140359,GO:0005524,GO:0016887,GO:0042626,GO:0009860,GO:0015846,GO:0055085</t>
  </si>
  <si>
    <t>membrane|pollen tube tip|secretory vesicle|ABC-type transporter activity|ATP binding|ATP hydrolysis activity|ATPase-coupled transmembrane transporter activity|pollen tube growth|polyamine transport|transmembrane transport</t>
  </si>
  <si>
    <t>J2O13_07G015158</t>
  </si>
  <si>
    <t>3.13E-16</t>
  </si>
  <si>
    <t>8.95E-15</t>
  </si>
  <si>
    <t>Kiwellin OS=Actinidia deliciosa OX=3627 PE=1 SV=2</t>
  </si>
  <si>
    <t>J2O13_07G015166</t>
  </si>
  <si>
    <t>1.68E-05</t>
  </si>
  <si>
    <t>9.44E-05</t>
  </si>
  <si>
    <t>J2O13_07G015175</t>
  </si>
  <si>
    <t>8.10E-05</t>
  </si>
  <si>
    <t>CNGC15C</t>
  </si>
  <si>
    <t>Protein CNGC15c</t>
  </si>
  <si>
    <t>GO:0031965,GO:0044325,GO:0005249</t>
  </si>
  <si>
    <t>nuclear membrane|transmembrane transporter binding|voltage-gated potassium channel activity</t>
  </si>
  <si>
    <t>J2O13_07G015177</t>
  </si>
  <si>
    <t>LOG1</t>
  </si>
  <si>
    <t>Cytokinin riboside 5'-monophosphate phosphoribohydrolase LOG1</t>
  </si>
  <si>
    <t>J2O13_07G015190</t>
  </si>
  <si>
    <t>REV</t>
  </si>
  <si>
    <t>Homeobox-leucine zipper protein REVOLUTA</t>
  </si>
  <si>
    <t>GO:0005634,GO:0003700,GO:0008289,GO:0000976,GO:0030154,GO:0009855,GO:0010014,GO:0009944,GO:0009956,GO:0010051,GO:0010089</t>
  </si>
  <si>
    <t>nucleus|DNA-binding transcription factor activity|lipid binding|transcription cis-regulatory region binding|cell differentiation|determination of bilateral symmetry|meristem initiation|polarity specification of adaxial/abaxial axis|radial pattern formation|xylem and phloem pattern formation|xylem development</t>
  </si>
  <si>
    <t>J2O13_07G015193</t>
  </si>
  <si>
    <t>S40-4</t>
  </si>
  <si>
    <t>Protein S40-4</t>
  </si>
  <si>
    <t>GO:0005737,GO:0010150,GO:0009737,GO:0009646,GO:0009617,GO:0009753,GO:0009751</t>
  </si>
  <si>
    <t>cytoplasm|leaf senescence|response to abscisic acid|response to absence of light|response to bacterium|response to jasmonic acid|response to salicylic acid</t>
  </si>
  <si>
    <t>J2O13_07G015196</t>
  </si>
  <si>
    <t>8.90E-15</t>
  </si>
  <si>
    <t>2.17E-13</t>
  </si>
  <si>
    <t>PIP2-1</t>
  </si>
  <si>
    <t>Aquaporin PIP2-1</t>
  </si>
  <si>
    <t>GO:0016020,GO:0005886,GO:0032991,GO:0015250,GO:0051290,GO:0051289</t>
  </si>
  <si>
    <t>membrane|plasma membrane|protein-containing complex|water channel activity|protein heterotetramerization|protein homotetramerization</t>
  </si>
  <si>
    <t>J2O13_07G015197</t>
  </si>
  <si>
    <t>J2O13_07G015199</t>
  </si>
  <si>
    <t>1.05E-05</t>
  </si>
  <si>
    <t>6.20E-05</t>
  </si>
  <si>
    <t>HPCA1</t>
  </si>
  <si>
    <t>Leucine-rich repeat receptor protein kinase HPCA1</t>
  </si>
  <si>
    <t>GO:0000325,GO:0005886,GO:0009536,GO:0005524,GO:0016301,GO:0004675,GO:0009593,GO:1901528,GO:0046777,GO:0090333</t>
  </si>
  <si>
    <t>plant-type vacuole|plasma membrane|plastid|ATP binding|kinase activity|transmembrane receptor protein serine/threonine kinase activity|detection of chemical stimulus|hydrogen peroxide mediated signaling pathway involved in stomatal movement|protein autophosphorylation|regulation of stomatal closure</t>
  </si>
  <si>
    <t>J2O13_07G015208</t>
  </si>
  <si>
    <t>PDX2</t>
  </si>
  <si>
    <t>Probable pyridoxal 5'-phosphate synthase subunit PDX2</t>
  </si>
  <si>
    <t>GO:0005829,GO:1903600,GO:0004359,GO:0046982,GO:0036381,GO:0006541,GO:0042823,GO:0008614,GO:0042819</t>
  </si>
  <si>
    <t>cytosol|glutaminase complex|glutaminase activity|protein heterodimerization activity|pyridoxal 5'-phosphate synthase (glutamine hydrolysing) activity|glutamine metabolic process|pyridoxal phosphate biosynthetic process|pyridoxine metabolic process|vitamin B6 biosynthetic process</t>
  </si>
  <si>
    <t>J2O13_07G015213</t>
  </si>
  <si>
    <t>FLA12</t>
  </si>
  <si>
    <t>Fasciclin-like arabinogalactan protein 12</t>
  </si>
  <si>
    <t>GO:0005886,GO:0009834</t>
  </si>
  <si>
    <t>plasma membrane|plant-type secondary cell wall biogenesis</t>
  </si>
  <si>
    <t>J2O13_07G015218</t>
  </si>
  <si>
    <t>9.08E-27</t>
  </si>
  <si>
    <t>SYP72</t>
  </si>
  <si>
    <t>Syntaxin-72</t>
  </si>
  <si>
    <t>GO:0012505,GO:0016020,GO:0031201,GO:0005484,GO:0000149,GO:0006886,GO:0048278,GO:0006906</t>
  </si>
  <si>
    <t>endomembrane system|membrane|SNARE complex|SNAP receptor activity|SNARE binding|intracellular protein transport|vesicle docking|vesicle fusion</t>
  </si>
  <si>
    <t>J2O13_07G015221</t>
  </si>
  <si>
    <t>MLO6</t>
  </si>
  <si>
    <t>MLO-like protein 6</t>
  </si>
  <si>
    <t>GO:0005886,GO:0005516,GO:0050832</t>
  </si>
  <si>
    <t>plasma membrane|calmodulin binding|defense response to fungus</t>
  </si>
  <si>
    <t>J2O13_07G015250</t>
  </si>
  <si>
    <t>1.49E-07</t>
  </si>
  <si>
    <t>LBD11</t>
  </si>
  <si>
    <t>LOB domain-containing protein 11</t>
  </si>
  <si>
    <t>J2O13_07G015254</t>
  </si>
  <si>
    <t>TET3</t>
  </si>
  <si>
    <t>Tetraspanin-3</t>
  </si>
  <si>
    <t>GO:0005829,GO:0005886,GO:0009506,GO:0009734</t>
  </si>
  <si>
    <t>cytosol|plasma membrane|plasmodesma|auxin-activated signaling pathway</t>
  </si>
  <si>
    <t>J2O13_07G015256</t>
  </si>
  <si>
    <t>DOF2.1</t>
  </si>
  <si>
    <t>Dof zinc finger protein DOF2.1</t>
  </si>
  <si>
    <t>GO:0005730,GO:0003700,GO:0000976,GO:0008270,GO:0006355</t>
  </si>
  <si>
    <t>nucleolus|DNA-binding transcription factor activity|transcription cis-regulatory region binding|zinc ion binding|regulation of DNA-templated transcription</t>
  </si>
  <si>
    <t>J2O13_07G015262</t>
  </si>
  <si>
    <t>3.53E-11</t>
  </si>
  <si>
    <t>5.25E-10</t>
  </si>
  <si>
    <t>NPF2.7</t>
  </si>
  <si>
    <t>Protein NRT1/ PTR FAMILY 2.7</t>
  </si>
  <si>
    <t>GO:0016020,GO:0005886,GO:0010542,GO:0022857,GO:0042128,GO:0015706,GO:0010447,GO:0055085</t>
  </si>
  <si>
    <t>membrane|plasma membrane|nitrate efflux transmembrane transporter activity|transmembrane transporter activity|nitrate assimilation|nitrate transmembrane transport|response to acidic pH|transmembrane transport</t>
  </si>
  <si>
    <t>J2O13_07G015266</t>
  </si>
  <si>
    <t>AP2-1</t>
  </si>
  <si>
    <t>APETALA2-like protein 1</t>
  </si>
  <si>
    <t>GO:0005634,GO:0003677,GO:0003700,GO:0045892,GO:2000014,GO:0009909,GO:0080050,GO:0010581</t>
  </si>
  <si>
    <t>nucleus|DNA binding|DNA-binding transcription factor activity|negative regulation of DNA-templated transcription|regulation of endosperm development|regulation of flower development|regulation of seed development|regulation of starch biosynthetic process</t>
  </si>
  <si>
    <t>J2O13_07G015283</t>
  </si>
  <si>
    <t>3.64E-22</t>
  </si>
  <si>
    <t>1.97E-20</t>
  </si>
  <si>
    <t>RWK1</t>
  </si>
  <si>
    <t>Uncharacterized protein At1g24485</t>
  </si>
  <si>
    <t>J2O13_07G015287</t>
  </si>
  <si>
    <t>5.94E-20</t>
  </si>
  <si>
    <t>2.60E-18</t>
  </si>
  <si>
    <t>J2O13_07G015291</t>
  </si>
  <si>
    <t>Chitinase 1 OS=Tulipa saxatilis subsp. bakeri OX=110455 PE=1 SV=1</t>
  </si>
  <si>
    <t>GO:0008061,GO:0004568,GO:0006032,GO:0000272</t>
  </si>
  <si>
    <t>chitin binding|chitinase activity|chitin catabolic process|polysaccharide catabolic process</t>
  </si>
  <si>
    <t>J2O13_07G015321</t>
  </si>
  <si>
    <t>NAKR2</t>
  </si>
  <si>
    <t>Protein SODIUM POTASSIUM ROOT DEFECTIVE 2</t>
  </si>
  <si>
    <t>J2O13_07G015329</t>
  </si>
  <si>
    <t>ATL2</t>
  </si>
  <si>
    <t>RING-H2 finger protein ATL2</t>
  </si>
  <si>
    <t>GO:0016020,GO:0046872,GO:0061630,GO:0006952</t>
  </si>
  <si>
    <t>membrane|metal ion binding|ubiquitin protein ligase activity|defense response</t>
  </si>
  <si>
    <t>J2O13_07G015334</t>
  </si>
  <si>
    <t>J2O13_07G015335</t>
  </si>
  <si>
    <t>TIP1-2</t>
  </si>
  <si>
    <t>Aquaporin TIP1-2</t>
  </si>
  <si>
    <t>GO:0005774,GO:0015267,GO:1902074,GO:0009651,GO:0009414</t>
  </si>
  <si>
    <t>vacuolar membrane|channel activity|response to salt|response to salt stress|response to water deprivation</t>
  </si>
  <si>
    <t>J2O13_07G015338</t>
  </si>
  <si>
    <t>7.22E-29</t>
  </si>
  <si>
    <t>7.39E-27</t>
  </si>
  <si>
    <t>SOK5</t>
  </si>
  <si>
    <t>Protein SOSEKI 5</t>
  </si>
  <si>
    <t>GO:0031234,GO:0042803,GO:0007049,GO:0051301,GO:1905392,GO:0051258,GO:0051302,GO:2000067,GO:0090708</t>
  </si>
  <si>
    <t>extrinsic component of cytoplasmic side of plasma membrane|protein homodimerization activity|cell cycle|cell division|plant organ morphogenesis|protein polymerization|regulation of cell division|regulation of root morphogenesis|specification of plant organ axis polarity</t>
  </si>
  <si>
    <t>J2O13_07G015343</t>
  </si>
  <si>
    <t>1.83E-08</t>
  </si>
  <si>
    <t>1.82E-07</t>
  </si>
  <si>
    <t>MBD7</t>
  </si>
  <si>
    <t>Methyl-CpG-binding domain-containing protein 7</t>
  </si>
  <si>
    <t>GO:0010369,GO:0005694,GO:0005634,GO:0019899,GO:0008327,GO:1901537</t>
  </si>
  <si>
    <t>chromocenter|chromosome|nucleus|enzyme binding|methyl-CpG binding|positive regulation of DNA demethylation</t>
  </si>
  <si>
    <t>J2O13_07G015344</t>
  </si>
  <si>
    <t>4.58E-07</t>
  </si>
  <si>
    <t>3.53E-06</t>
  </si>
  <si>
    <t>ZAT12</t>
  </si>
  <si>
    <t>Zinc finger protein ZAT12</t>
  </si>
  <si>
    <t>GO:0005634,GO:0003700,GO:0046872,GO:0000976,GO:0071456,GO:0009631,GO:0042538,GO:0009643,GO:0010200,GO:0009409,GO:0009408,GO:0009416,GO:0006979,GO:0010224,GO:0009611</t>
  </si>
  <si>
    <t>nucleus|DNA-binding transcription factor activity|metal ion binding|transcription cis-regulatory region binding|cellular response to hypoxia|cold acclimation|hyperosmotic salinity response|photosynthetic acclimation|response to chitin|response to cold|response to heat|response to light stimulus|response to oxidative stress|response to UV-B|response to wounding</t>
  </si>
  <si>
    <t>J2O13_07G015349</t>
  </si>
  <si>
    <t>2.51E-27</t>
  </si>
  <si>
    <t>2.24E-25</t>
  </si>
  <si>
    <t>HIS2B</t>
  </si>
  <si>
    <t>Histone H2B</t>
  </si>
  <si>
    <t>J2O13_07G015361</t>
  </si>
  <si>
    <t>J2O13_07G015364</t>
  </si>
  <si>
    <t>J2O13_07G015366</t>
  </si>
  <si>
    <t>At1g09620</t>
  </si>
  <si>
    <t>Leucine--tRNA ligase, cytoplasmic</t>
  </si>
  <si>
    <t>GO:0009507,GO:0005829,GO:0009506,GO:0002161,GO:0005524,GO:0004823,GO:0006429,GO:0009791,GO:0048608</t>
  </si>
  <si>
    <t>chloroplast|cytosol|plasmodesma|aminoacyl-tRNA editing activity|ATP binding|leucine-tRNA ligase activity|leucyl-tRNA aminoacylation|post-embryonic development|reproductive structure development</t>
  </si>
  <si>
    <t>J2O13_07G015368</t>
  </si>
  <si>
    <t>Osmotin-like protein OS=Solanum lycopersicum OX=4081 PE=1 SV=1</t>
  </si>
  <si>
    <t>J2O13_07G015369</t>
  </si>
  <si>
    <t>8.78E-19</t>
  </si>
  <si>
    <t>3.42E-17</t>
  </si>
  <si>
    <t>PPF-1</t>
  </si>
  <si>
    <t>Inner membrane protein PPF-1, chloroplastic</t>
  </si>
  <si>
    <t>ko03060,ko03070,ko02024</t>
  </si>
  <si>
    <t>Protein export|Bacterial secretion system|Quorum sensing</t>
  </si>
  <si>
    <t>GO:0009535,GO:0032977</t>
  </si>
  <si>
    <t>chloroplast thylakoid membrane|membrane insertase activity</t>
  </si>
  <si>
    <t>J2O13_07G015378</t>
  </si>
  <si>
    <t>HSP18.1</t>
  </si>
  <si>
    <t>18.1 kDa class I heat shock protein</t>
  </si>
  <si>
    <t>GO:0005737,GO:0043621,GO:0051082,GO:0010286,GO:0051259,GO:0006457,GO:0009408,GO:0042542,GO:0009651</t>
  </si>
  <si>
    <t>cytoplasm|protein self-association|unfolded protein binding|heat acclimation|protein complex oligomerization|protein folding|response to heat|response to hydrogen peroxide|response to salt stress</t>
  </si>
  <si>
    <t>J2O13_07G015379</t>
  </si>
  <si>
    <t>J2O13_07G015385</t>
  </si>
  <si>
    <t>9.22E-07</t>
  </si>
  <si>
    <t>PUB33</t>
  </si>
  <si>
    <t>U-box domain-containing protein 33</t>
  </si>
  <si>
    <t>GO:0005829,GO:0005524,GO:0106310,GO:0004674,GO:0004842,GO:0006468</t>
  </si>
  <si>
    <t>cytosol|ATP binding|protein serine kinase activity|protein serine/threonine kinase activity|ubiquitin-protein transferase activity|protein phosphorylation</t>
  </si>
  <si>
    <t>J2O13_07G015391</t>
  </si>
  <si>
    <t>TRM32</t>
  </si>
  <si>
    <t>Protein TRM32</t>
  </si>
  <si>
    <t>J2O13_07G015408</t>
  </si>
  <si>
    <t>2.24E-10</t>
  </si>
  <si>
    <t>MAIL1</t>
  </si>
  <si>
    <t>Protein MAIN-LIKE 1</t>
  </si>
  <si>
    <t>GO:0005634,GO:0008483,GO:0010073,GO:0010082</t>
  </si>
  <si>
    <t>nucleus|transaminase activity|meristem maintenance|regulation of root meristem growth</t>
  </si>
  <si>
    <t>J2O13_07G015411</t>
  </si>
  <si>
    <t>6.69E-06</t>
  </si>
  <si>
    <t>4.09E-05</t>
  </si>
  <si>
    <t>J2O13_07G015419</t>
  </si>
  <si>
    <t>3.23E-24</t>
  </si>
  <si>
    <t>2.09E-22</t>
  </si>
  <si>
    <t>J2O13_07G015420</t>
  </si>
  <si>
    <t>1.26E-32</t>
  </si>
  <si>
    <t>1.70E-30</t>
  </si>
  <si>
    <t>J2O13_07G015428</t>
  </si>
  <si>
    <t>3.66E-21</t>
  </si>
  <si>
    <t>1.82E-19</t>
  </si>
  <si>
    <t>EP3</t>
  </si>
  <si>
    <t>Endochitinase EP3</t>
  </si>
  <si>
    <t>GO:0008061,GO:0004568,GO:0016998,GO:0006032,GO:0006952,GO:0000272,GO:0009617,GO:0009611,GO:0010262</t>
  </si>
  <si>
    <t>chitin binding|chitinase activity|cell wall macromolecule catabolic process|chitin catabolic process|defense response|polysaccharide catabolic process|response to bacterium|response to wounding|somatic embryogenesis</t>
  </si>
  <si>
    <t>J2O13_07G015430</t>
  </si>
  <si>
    <t>1.66E-06</t>
  </si>
  <si>
    <t>1.15E-05</t>
  </si>
  <si>
    <t>IM30</t>
  </si>
  <si>
    <t>Membrane-associated 30 kDa protein, chloroplastic</t>
  </si>
  <si>
    <t>GO:0009706,GO:0009535</t>
  </si>
  <si>
    <t>chloroplast inner membrane|chloroplast thylakoid membrane</t>
  </si>
  <si>
    <t>J2O13_07G015431</t>
  </si>
  <si>
    <t>7.32E-09</t>
  </si>
  <si>
    <t>At5g10370</t>
  </si>
  <si>
    <t>ATP-dependent RNA helicase DEAH12, chloroplastic</t>
  </si>
  <si>
    <t>GO:0009507,GO:0005524,GO:0016887,GO:0140096,GO:0046872,GO:0003723,GO:0003724,GO:0016740</t>
  </si>
  <si>
    <t>chloroplast|ATP binding|ATP hydrolysis activity|catalytic activity, acting on a protein|metal ion binding|RNA binding|RNA helicase activity|transferase activity</t>
  </si>
  <si>
    <t>J2O13_07G015440</t>
  </si>
  <si>
    <t>J2O13_07G015452</t>
  </si>
  <si>
    <t>4.90E-09</t>
  </si>
  <si>
    <t>5.33E-08</t>
  </si>
  <si>
    <t>PER61</t>
  </si>
  <si>
    <t>Probable peroxidase 61</t>
  </si>
  <si>
    <t>J2O13_07G015455</t>
  </si>
  <si>
    <t>2.15E-14</t>
  </si>
  <si>
    <t>4.99E-13</t>
  </si>
  <si>
    <t>J2O13_07G015491</t>
  </si>
  <si>
    <t>2.43E-15</t>
  </si>
  <si>
    <t>6.35E-14</t>
  </si>
  <si>
    <t>J2O13_07G015509</t>
  </si>
  <si>
    <t>GUN4</t>
  </si>
  <si>
    <t>Tetrapyrrole-binding protein, chloroplastic</t>
  </si>
  <si>
    <t>GO:0009507,GO:0031969,GO:0019899,GO:0046906,GO:0015995,GO:0010019,GO:0043085</t>
  </si>
  <si>
    <t>chloroplast|chloroplast membrane|enzyme binding|tetrapyrrole binding|chlorophyll biosynthetic process|chloroplast-nucleus signaling pathway|positive regulation of catalytic activity</t>
  </si>
  <si>
    <t>J2O13_07G015511</t>
  </si>
  <si>
    <t>3.88E-05</t>
  </si>
  <si>
    <t>J2O13_07G015514</t>
  </si>
  <si>
    <t>J2O13_07G015526</t>
  </si>
  <si>
    <t>7.25E-05</t>
  </si>
  <si>
    <t>J2O13_07G015542</t>
  </si>
  <si>
    <t>J2O13_07G015555</t>
  </si>
  <si>
    <t>J2O13_07G015558</t>
  </si>
  <si>
    <t>2.27E-11</t>
  </si>
  <si>
    <t>UBI4</t>
  </si>
  <si>
    <t>Polyubiquitin (Fragment)</t>
  </si>
  <si>
    <t>J2O13_07G015563</t>
  </si>
  <si>
    <t>XTH1</t>
  </si>
  <si>
    <t>Xyloglucan endotransglucosylase protein 1</t>
  </si>
  <si>
    <t>GO:0048046,GO:0004553,GO:0016762,GO:0042546,GO:0071555,GO:0009835,GO:0010411</t>
  </si>
  <si>
    <t>apoplast|hydrolase activity, hydrolyzing O-glycosyl compounds|xyloglucan:xyloglucosyl transferase activity|cell wall biogenesis|cell wall organization|fruit ripening|xyloglucan metabolic process</t>
  </si>
  <si>
    <t>J2O13_07G015574</t>
  </si>
  <si>
    <t>J2O13_07G015587</t>
  </si>
  <si>
    <t>CDC48B</t>
  </si>
  <si>
    <t>Cell division control protein 48 homolog B</t>
  </si>
  <si>
    <t>GO:0005856,GO:0005634,GO:0009524,GO:0005524,GO:0016887,GO:0007049,GO:0051301,GO:0015031</t>
  </si>
  <si>
    <t>cytoskeleton|nucleus|phragmoplast|ATP binding|ATP hydrolysis activity|cell cycle|cell division|protein transport</t>
  </si>
  <si>
    <t>J2O13_07G015588</t>
  </si>
  <si>
    <t>J2O13_07G015617</t>
  </si>
  <si>
    <t>J2O13_07G015621</t>
  </si>
  <si>
    <t>6.83E-14</t>
  </si>
  <si>
    <t>1.49E-12</t>
  </si>
  <si>
    <t>DIR1</t>
  </si>
  <si>
    <t>Putative lipid-transfer protein DIR1</t>
  </si>
  <si>
    <t>GO:0048046,GO:0005783,GO:0009506,GO:0099503,GO:0005504,GO:0043621,GO:0008270,GO:0006869,GO:0009627,GO:0009862</t>
  </si>
  <si>
    <t>apoplast|endoplasmic reticulum|plasmodesma|secretory vesicle|fatty acid binding|protein self-association|zinc ion binding|lipid transport|systemic acquired resistance|systemic acquired resistance, salicylic acid mediated signaling pathway</t>
  </si>
  <si>
    <t>J2O13_07G015624</t>
  </si>
  <si>
    <t>J2O13_07G015629</t>
  </si>
  <si>
    <t>3.70E-06</t>
  </si>
  <si>
    <t>IBH1</t>
  </si>
  <si>
    <t>Transcription factor IBH1</t>
  </si>
  <si>
    <t>GO:0005634,GO:0003700,GO:0046983,GO:0000976,GO:0009742,GO:0009740</t>
  </si>
  <si>
    <t>nucleus|DNA-binding transcription factor activity|protein dimerization activity|transcription cis-regulatory region binding|brassinosteroid mediated signaling pathway|gibberellic acid mediated signaling pathway</t>
  </si>
  <si>
    <t>J2O13_07G015632</t>
  </si>
  <si>
    <t>5.70E-08</t>
  </si>
  <si>
    <t>5.18E-07</t>
  </si>
  <si>
    <t>PME35</t>
  </si>
  <si>
    <t>Probable pectinesterase/pectinesterase inhibitor 35</t>
  </si>
  <si>
    <t>J2O13_07G015660</t>
  </si>
  <si>
    <t>AAO</t>
  </si>
  <si>
    <t>L-ascorbate oxidase</t>
  </si>
  <si>
    <t>GO:0005576,GO:0005507,GO:0008447,GO:0016491</t>
  </si>
  <si>
    <t>extracellular region|copper ion binding|L-ascorbate oxidase activity|oxidoreductase activity</t>
  </si>
  <si>
    <t>J2O13_07G015694</t>
  </si>
  <si>
    <t>8.20E-07</t>
  </si>
  <si>
    <t>6.00E-06</t>
  </si>
  <si>
    <t>CHLP</t>
  </si>
  <si>
    <t>Geranylgeranyl diphosphate reductase, chloroplastic</t>
  </si>
  <si>
    <t>ko00860,ko00900</t>
  </si>
  <si>
    <t>Porphyrin metabolism|Terpenoid backbone biosynthesis</t>
  </si>
  <si>
    <t>GO:0009507,GO:0009941,GO:0031969,GO:0009534,GO:0009535,GO:0005739,GO:0102067,GO:0045550,GO:0015995,GO:0015979,GO:0010189</t>
  </si>
  <si>
    <t>chloroplast|chloroplast envelope|chloroplast membrane|chloroplast thylakoid|chloroplast thylakoid membrane|mitochondrion|geranylgeranyl diphosphate reductase activity|geranylgeranyl reductase activity|chlorophyll biosynthetic process|photosynthesis|vitamin E biosynthetic process</t>
  </si>
  <si>
    <t>J2O13_07G015705</t>
  </si>
  <si>
    <t>1.10E-07</t>
  </si>
  <si>
    <t>9.49E-07</t>
  </si>
  <si>
    <t>J2O13_07G015706</t>
  </si>
  <si>
    <t>KPL</t>
  </si>
  <si>
    <t>Protein KOKOPELLI</t>
  </si>
  <si>
    <t>GO:0009567,GO:0009555</t>
  </si>
  <si>
    <t>double fertilization forming a zygote and endosperm|pollen development</t>
  </si>
  <si>
    <t>J2O13_07G015713</t>
  </si>
  <si>
    <t>2.78E-12</t>
  </si>
  <si>
    <t>4.88E-11</t>
  </si>
  <si>
    <t>ko04614,ko05143</t>
  </si>
  <si>
    <t>Renin-angiotensin system|African trypanosomiasis</t>
  </si>
  <si>
    <t>J2O13_07G015716</t>
  </si>
  <si>
    <t>AKHSDH1</t>
  </si>
  <si>
    <t>Bifunctional aspartokinase/homoserine dehydrogenase 1, chloroplastic</t>
  </si>
  <si>
    <t>GO:0009507,GO:0009570,GO:0005829,GO:0004072,GO:0005524,GO:0004412,GO:0050661,GO:0009067,GO:0009090,GO:0009089,GO:0009086,GO:0016310,GO:0009088</t>
  </si>
  <si>
    <t>chloroplast|chloroplast stroma|cytosol|aspartate kinase activity|ATP binding|homoserine dehydrogenase activity|NADP binding|aspartate family amino acid biosynthetic process|homoserine biosynthetic process|lysine biosynthetic process via diaminopimelate|methionine biosynthetic process|phosphorylation|threonine biosynthetic process</t>
  </si>
  <si>
    <t>J2O13_07G015732</t>
  </si>
  <si>
    <t>J2O13_07G015761</t>
  </si>
  <si>
    <t>7.48E-43</t>
  </si>
  <si>
    <t>2.12E-40</t>
  </si>
  <si>
    <t>At5g22090</t>
  </si>
  <si>
    <t>Protein FAF-like, chloroplastic</t>
  </si>
  <si>
    <t>GO:0009507,GO:0005737,GO:0005783,GO:0005634,GO:0019902,GO:0047485,GO:0009788,GO:0042326,GO:0010922</t>
  </si>
  <si>
    <t>chloroplast|cytoplasm|endoplasmic reticulum|nucleus|phosphatase binding|protein N-terminus binding|negative regulation of abscisic acid-activated signaling pathway|negative regulation of phosphorylation|positive regulation of phosphatase activity</t>
  </si>
  <si>
    <t>J2O13_07G015775</t>
  </si>
  <si>
    <t>8.95E-13</t>
  </si>
  <si>
    <t>1.67E-11</t>
  </si>
  <si>
    <t>ROSY1</t>
  </si>
  <si>
    <t>MD-2-related lipid-recognition protein ROSY1</t>
  </si>
  <si>
    <t>GO:0005737,GO:0008429,GO:0032934,GO:0032366,GO:0009958,GO:0009651,GO:0015918</t>
  </si>
  <si>
    <t>cytoplasm|phosphatidylethanolamine binding|sterol binding|intracellular sterol transport|positive gravitropism|response to salt stress|sterol transport</t>
  </si>
  <si>
    <t>J2O13_07G015779</t>
  </si>
  <si>
    <t>7.88E-06</t>
  </si>
  <si>
    <t>MTERF8</t>
  </si>
  <si>
    <t>Transcription termination factor MTERF8, chloroplastic</t>
  </si>
  <si>
    <t>GO:0009507,GO:0042644,GO:0005739,GO:0003690,GO:0003729,GO:0009658,GO:0032502,GO:0015979,GO:0006355,GO:0006393</t>
  </si>
  <si>
    <t>chloroplast|chloroplast nucleoid|mitochondrion|double-stranded DNA binding|mRNA binding|chloroplast organization|developmental process|photosynthesis|regulation of DNA-templated transcription|termination of mitochondrial transcription</t>
  </si>
  <si>
    <t>J2O13_07G015786</t>
  </si>
  <si>
    <t>DnaJ protein homolog ANJ1 OS=Atriplex nummularia OX=3553 PE=2 SV=1</t>
  </si>
  <si>
    <t>GO:0016020,GO:0005524,GO:0030544,GO:0046872,GO:0051082,GO:0006457,GO:0009408</t>
  </si>
  <si>
    <t>membrane|ATP binding|Hsp70 protein binding|metal ion binding|unfolded protein binding|protein folding|response to heat</t>
  </si>
  <si>
    <t>2.98E-06</t>
  </si>
  <si>
    <t>Beta-xylosidase/alpha-L-arabinofuranosidase 2</t>
  </si>
  <si>
    <t>GO:0005576,GO:0046556,GO:0009044,GO:0045493</t>
  </si>
  <si>
    <t>extracellular region|alpha-L-arabinofuranosidase activity|xylan 1,4-beta-xylosidase activity|xylan catabolic process</t>
  </si>
  <si>
    <t>J2O13_07G015825</t>
  </si>
  <si>
    <t>CRR42</t>
  </si>
  <si>
    <t>Protein CHLORORESPIRATORY REDUCTION 42, chloroplastic</t>
  </si>
  <si>
    <t>GO:0009570,GO:0009536,GO:0010258</t>
  </si>
  <si>
    <t>chloroplast stroma|plastid|NADH dehydrogenase complex (plastoquinone) assembly</t>
  </si>
  <si>
    <t>J2O13_07G015870</t>
  </si>
  <si>
    <t>2.63E-07</t>
  </si>
  <si>
    <t>CENH3</t>
  </si>
  <si>
    <t>Histone H3-like centromeric protein CENH3</t>
  </si>
  <si>
    <t>GO:0000785,GO:0000775,GO:0000776,GO:0000786,GO:0005634,GO:0003677,GO:0046982,GO:0030527,GO:0051301,GO:0034508,GO:0009567,GO:0051321,GO:0051307</t>
  </si>
  <si>
    <t>chromatin|chromosome, centromeric region|kinetochore|nucleosome|nucleus|DNA binding|protein heterodimerization activity|structural constituent of chromatin|cell division|centromere complex assembly|double fertilization forming a zygote and endosperm|meiotic cell cycle|meiotic chromosome separation</t>
  </si>
  <si>
    <t>J2O13_07G015925</t>
  </si>
  <si>
    <t>3.98E-17</t>
  </si>
  <si>
    <t>1.27E-15</t>
  </si>
  <si>
    <t>J2O13_07G015927</t>
  </si>
  <si>
    <t>1.31E-06</t>
  </si>
  <si>
    <t>9.20E-06</t>
  </si>
  <si>
    <t>SCPL35</t>
  </si>
  <si>
    <t>Serine carboxypeptidase-like 35</t>
  </si>
  <si>
    <t>J2O13_07G015937</t>
  </si>
  <si>
    <t>8.99E-06</t>
  </si>
  <si>
    <t>At5g23160</t>
  </si>
  <si>
    <t>Uncharacterized protein At5g23160</t>
  </si>
  <si>
    <t>J2O13_07G015951</t>
  </si>
  <si>
    <t>2.19E-12</t>
  </si>
  <si>
    <t>3.92E-11</t>
  </si>
  <si>
    <t>J2O13_07G015971</t>
  </si>
  <si>
    <t>1.09E-28</t>
  </si>
  <si>
    <t>1.09E-26</t>
  </si>
  <si>
    <t>HCF136</t>
  </si>
  <si>
    <t>Photosystem II stability/assembly factor HCF136, chloroplastic</t>
  </si>
  <si>
    <t>GO:0009543,GO:0009523,GO:0015979</t>
  </si>
  <si>
    <t>chloroplast thylakoid lumen|photosystem II|photosynthesis</t>
  </si>
  <si>
    <t>J2O13_07G016008</t>
  </si>
  <si>
    <t>7.59E-08</t>
  </si>
  <si>
    <t>6.77E-07</t>
  </si>
  <si>
    <t>J2O13_07G016052</t>
  </si>
  <si>
    <t>OFUT16</t>
  </si>
  <si>
    <t>O-fucosyltransferase 16</t>
  </si>
  <si>
    <t>GO:0005768,GO:0005794,GO:0000137,GO:0016020,GO:0005802,GO:0016757,GO:0006004</t>
  </si>
  <si>
    <t>endosome|Golgi apparatus|Golgi cis cisterna|membrane|trans-Golgi network|glycosyltransferase activity|fucose metabolic process</t>
  </si>
  <si>
    <t>J2O13_07G016054</t>
  </si>
  <si>
    <t>4.19E-10</t>
  </si>
  <si>
    <t>5.37E-09</t>
  </si>
  <si>
    <t>HCF244</t>
  </si>
  <si>
    <t>Protein HIGH CHLOROPHYLL FLUORESCENCE PHENOTYPE 244, chloroplastic</t>
  </si>
  <si>
    <t>GO:0009507,GO:0009570,GO:0009534,GO:0009535,GO:0009523,GO:0005886,GO:0042651,GO:0003743,GO:0010207</t>
  </si>
  <si>
    <t>chloroplast|chloroplast stroma|chloroplast thylakoid|chloroplast thylakoid membrane|photosystem II|plasma membrane|thylakoid membrane|translation initiation factor activity|photosystem II assembly</t>
  </si>
  <si>
    <t>J2O13_07G016076</t>
  </si>
  <si>
    <t>4.63E-08</t>
  </si>
  <si>
    <t>4.29E-07</t>
  </si>
  <si>
    <t>COBL10</t>
  </si>
  <si>
    <t>COBRA-like protein 10</t>
  </si>
  <si>
    <t>GO:0016324,GO:0005737,GO:0005886,GO:0090406,GO:0031982,GO:0071555,GO:0010215,GO:0009860,GO:0010183</t>
  </si>
  <si>
    <t>apical plasma membrane|cytoplasm|plasma membrane|pollen tube|vesicle|cell wall organization|cellulose microfibril organization|pollen tube growth|pollen tube guidance</t>
  </si>
  <si>
    <t>J2O13_07G016083</t>
  </si>
  <si>
    <t>LOG5</t>
  </si>
  <si>
    <t>Cytokinin riboside 5'-monophosphate phosphoribohydrolase LOG5</t>
  </si>
  <si>
    <t>J2O13_07G016088</t>
  </si>
  <si>
    <t>EXLA2</t>
  </si>
  <si>
    <t>Expansin-like A2</t>
  </si>
  <si>
    <t>J2O13_07G016095</t>
  </si>
  <si>
    <t>6.52E-07</t>
  </si>
  <si>
    <t>4.87E-06</t>
  </si>
  <si>
    <t>NAC104</t>
  </si>
  <si>
    <t>NAC domain-containing protein 104</t>
  </si>
  <si>
    <t>GO:0005634,GO:0003677,GO:0003700,GO:0043067,GO:0048367,GO:0048731,GO:0010089</t>
  </si>
  <si>
    <t>nucleus|DNA binding|DNA-binding transcription factor activity|regulation of programmed cell death|shoot system development|system development|xylem development</t>
  </si>
  <si>
    <t>J2O13_07G016096</t>
  </si>
  <si>
    <t>5.73E-08</t>
  </si>
  <si>
    <t>5.20E-07</t>
  </si>
  <si>
    <t>J2O13_07G016105</t>
  </si>
  <si>
    <t>ROPGEF1</t>
  </si>
  <si>
    <t>Rop guanine nucleotide exchange factor 1</t>
  </si>
  <si>
    <t>GO:0016324,GO:0005829,GO:0005886,GO:0005085,GO:0009860,GO:2001108,GO:2000012,GO:0080092</t>
  </si>
  <si>
    <t>apical plasma membrane|cytosol|plasma membrane|guanyl-nucleotide exchange factor activity|pollen tube growth|positive regulation of Rho guanyl-nucleotide exchange factor activity|regulation of auxin polar transport|regulation of pollen tube growth</t>
  </si>
  <si>
    <t>J2O13_07G016114</t>
  </si>
  <si>
    <t>ASMT</t>
  </si>
  <si>
    <t>Acetylserotonin O-methyltransferase</t>
  </si>
  <si>
    <t>GO:0005737,GO:0017096,GO:0008171,GO:0046983,GO:0008757,GO:0019438,GO:0030187,GO:0032259</t>
  </si>
  <si>
    <t>cytoplasm|acetylserotonin O-methyltransferase activity|O-methyltransferase activity|protein dimerization activity|S-adenosylmethionine-dependent methyltransferase activity|aromatic compound biosynthetic process|melatonin biosynthetic process|methylation</t>
  </si>
  <si>
    <t>J2O13_07G016118</t>
  </si>
  <si>
    <t>J2O13_07G016131</t>
  </si>
  <si>
    <t>MSL8</t>
  </si>
  <si>
    <t>Mechanosensitive ion channel protein 8</t>
  </si>
  <si>
    <t>GO:0012505,GO:0005886,GO:0008381,GO:0006820</t>
  </si>
  <si>
    <t>endomembrane system|plasma membrane|mechanosensitive ion channel activity|anion transport</t>
  </si>
  <si>
    <t>J2O13_07G016132</t>
  </si>
  <si>
    <t>5.82E-09</t>
  </si>
  <si>
    <t>ATR</t>
  </si>
  <si>
    <t>Serine/threonine-protein kinase ATR</t>
  </si>
  <si>
    <t>ko03460,ko04110,ko04214,ko04115,ko04218,ko05166,ko05170,ko05165</t>
  </si>
  <si>
    <t>Fanconi anemia pathway|Cell cycle|Apoptosis - fly|p53 signaling pathway|Cellular senescence|Human T-cell leukemia virus 1 infection|Human immunodeficiency virus 1 infection|Human papillomavirus infection</t>
  </si>
  <si>
    <t>GO:0005634,GO:0009506,GO:0005524,GO:0106310,GO:0004674,GO:0006952,GO:0000077,GO:0006281,GO:0006303,GO:0051321,GO:0032504,GO:0006468,GO:0033044,GO:0031347,GO:0006282,GO:0032204,GO:0010044,GO:0010332,GO:0000723,GO:0043247,GO:0007004</t>
  </si>
  <si>
    <t>nucleus|plasmodesma|ATP binding|protein serine kinase activity|protein serine/threonine kinase activity|defense response|DNA damage checkpoint signaling|DNA repair|double-strand break repair via nonhomologous end joining|meiotic cell cycle|multicellular organism reproduction|protein phosphorylation|regulation of chromosome organization|regulation of defense response|regulation of DNA repair|regulation of telomere maintenance|response to aluminum ion|response to gamma radiation|telomere maintenance|telomere maintenance in response to DNA damage|telomere maintenance via telomerase</t>
  </si>
  <si>
    <t>J2O13_07G016136</t>
  </si>
  <si>
    <t>J2O13_07G016161</t>
  </si>
  <si>
    <t>PDS</t>
  </si>
  <si>
    <t>GO:0009507,GO:0009941,GO:0009534,GO:0009509,GO:0005829,GO:0016020,GO:0016491,GO:0016166,GO:0016117</t>
  </si>
  <si>
    <t>chloroplast|chloroplast envelope|chloroplast thylakoid|chromoplast|cytosol|membrane|oxidoreductase activity|phytoene dehydrogenase activity|carotenoid biosynthetic process</t>
  </si>
  <si>
    <t>J2O13_07G016174</t>
  </si>
  <si>
    <t>5.19E-12</t>
  </si>
  <si>
    <t>8.71E-11</t>
  </si>
  <si>
    <t>22.0 kDa heat shock protein</t>
  </si>
  <si>
    <t>GO:0005783,GO:0043621,GO:0051082,GO:0071456,GO:0051259,GO:0006457,GO:0009408,GO:0042542,GO:0009651</t>
  </si>
  <si>
    <t>endoplasmic reticulum|protein self-association|unfolded protein binding|cellular response to hypoxia|protein complex oligomerization|protein folding|response to heat|response to hydrogen peroxide|response to salt stress</t>
  </si>
  <si>
    <t>J2O13_07G016196</t>
  </si>
  <si>
    <t>4.26E-07</t>
  </si>
  <si>
    <t>HPR-A</t>
  </si>
  <si>
    <t>Glycerate dehydrogenase</t>
  </si>
  <si>
    <t>GO:0005777,GO:0008465,GO:0051287,GO:0009854</t>
  </si>
  <si>
    <t>peroxisome|glycerate dehydrogenase activity|NAD binding|oxidative photosynthetic carbon pathway</t>
  </si>
  <si>
    <t>J2O13_07G016241</t>
  </si>
  <si>
    <t>J2O13_07G016244</t>
  </si>
  <si>
    <t>BGAL13</t>
  </si>
  <si>
    <t>Beta-galactosidase 13</t>
  </si>
  <si>
    <t>J2O13_07G016248</t>
  </si>
  <si>
    <t>APX3</t>
  </si>
  <si>
    <t>L-ascorbate peroxidase 3</t>
  </si>
  <si>
    <t>ko00053,ko00480</t>
  </si>
  <si>
    <t>Ascorbate and aldarate metabolism|Glutathione metabolism</t>
  </si>
  <si>
    <t>GO:0009507,GO:0009941,GO:0046861,GO:0005739,GO:0005778,GO:0005777,GO:0000325,GO:0005886,GO:0009506,GO:0009536,GO:0005773,GO:0020037,GO:0016688,GO:0046872,GO:0004601,GO:0034599,GO:0042744,GO:0006979,GO:0000302</t>
  </si>
  <si>
    <t>chloroplast|chloroplast envelope|glyoxysomal membrane|mitochondrion|peroxisomal membrane|peroxisome|plant-type vacuole|plasma membrane|plasmodesma|plastid|vacuole|heme binding|L-ascorbate peroxidase activity|metal ion binding|peroxidase activity|cellular response to oxidative stress|hydrogen peroxide catabolic process|response to oxidative stress|response to reactive oxygen species</t>
  </si>
  <si>
    <t>J2O13_07G016258</t>
  </si>
  <si>
    <t>ADF5</t>
  </si>
  <si>
    <t>Actin-depolymerizing factor 5</t>
  </si>
  <si>
    <t>ko04810,ko04666,ko04360,ko05170,ko05133</t>
  </si>
  <si>
    <t>Regulation of actin cytoskeleton|Fc gamma R-mediated phagocytosis|Axon guidance|Human immunodeficiency virus 1 infection|Pertussis</t>
  </si>
  <si>
    <t>GO:0015629,GO:0005737,GO:0005829,GO:0051015,GO:0051017,GO:0030042</t>
  </si>
  <si>
    <t>actin cytoskeleton|cytoplasm|cytosol|actin filament binding|actin filament bundle assembly|actin filament depolymerization</t>
  </si>
  <si>
    <t>J2O13_07G016269</t>
  </si>
  <si>
    <t>7.32E-11</t>
  </si>
  <si>
    <t>1.04E-09</t>
  </si>
  <si>
    <t>J2O13_07G016270</t>
  </si>
  <si>
    <t>XYN5</t>
  </si>
  <si>
    <t>Endo-1,4-beta-xylanase 5</t>
  </si>
  <si>
    <t>GO:0031176,GO:0045493</t>
  </si>
  <si>
    <t>endo-1,4-beta-xylanase activity|xylan catabolic process</t>
  </si>
  <si>
    <t>J2O13_07G016280</t>
  </si>
  <si>
    <t>LAX5</t>
  </si>
  <si>
    <t>Auxin transporter-like protein 5</t>
  </si>
  <si>
    <t>GO:0005886,GO:0015293,GO:0006865,GO:0009734</t>
  </si>
  <si>
    <t>plasma membrane|symporter activity|amino acid transport|auxin-activated signaling pathway</t>
  </si>
  <si>
    <t>J2O13_07G016285</t>
  </si>
  <si>
    <t>ATJ11</t>
  </si>
  <si>
    <t>Chaperone protein dnaJ 11, chloroplastic</t>
  </si>
  <si>
    <t>GO:0009507,GO:0009570,GO:0005634,GO:0009536</t>
  </si>
  <si>
    <t>chloroplast|chloroplast stroma|nucleus|plastid</t>
  </si>
  <si>
    <t>J2O13_07G016295</t>
  </si>
  <si>
    <t>J2O13_07G016300</t>
  </si>
  <si>
    <t>2.34E-09</t>
  </si>
  <si>
    <t>2.67E-08</t>
  </si>
  <si>
    <t>At4g34880</t>
  </si>
  <si>
    <t>Probable amidase At4g34880</t>
  </si>
  <si>
    <t>ko00330,ko00360,ko00380,ko00627,ko00643</t>
  </si>
  <si>
    <t>Arginine and proline metabolism|Phenylalanine metabolism|Tryptophan metabolism|Aminobenzoate degradation|Styrene degradation</t>
  </si>
  <si>
    <t>GO:0004040,GO:0043864</t>
  </si>
  <si>
    <t>amidase activity|indoleacetamide hydrolase activity</t>
  </si>
  <si>
    <t>J2O13_07G016303</t>
  </si>
  <si>
    <t>J2O13_07G016306</t>
  </si>
  <si>
    <t>7.09E-05</t>
  </si>
  <si>
    <t>J2O13_07G016315</t>
  </si>
  <si>
    <t>3.00E-16</t>
  </si>
  <si>
    <t>8.62E-15</t>
  </si>
  <si>
    <t>BHLH121</t>
  </si>
  <si>
    <t>Transcription factor bHLH121</t>
  </si>
  <si>
    <t>GO:0005634,GO:0003700,GO:0046983,GO:1990837,GO:0000976,GO:0006879</t>
  </si>
  <si>
    <t>nucleus|DNA-binding transcription factor activity|protein dimerization activity|sequence-specific double-stranded DNA binding|transcription cis-regulatory region binding|cellular iron ion homeostasis</t>
  </si>
  <si>
    <t>J2O13_07G016316</t>
  </si>
  <si>
    <t>6.19E-28</t>
  </si>
  <si>
    <t>TPIP1</t>
  </si>
  <si>
    <t>Triosephosphate isomerase, chloroplastic</t>
  </si>
  <si>
    <t>ko00010,ko00051,ko00562,ko00710</t>
  </si>
  <si>
    <t>Glycolysis / Gluconeogenesis|Fructose and mannose metabolism|Inositol phosphate metabolism|Carbon fixation in photosynthetic organisms</t>
  </si>
  <si>
    <t>GO:0009507,GO:0004807,GO:0006096,GO:0019253</t>
  </si>
  <si>
    <t>chloroplast|triose-phosphate isomerase activity|glycolytic process|reductive pentose-phosphate cycle</t>
  </si>
  <si>
    <t>J2O13_07G016321</t>
  </si>
  <si>
    <t>7.03E-15</t>
  </si>
  <si>
    <t>1.73E-13</t>
  </si>
  <si>
    <t>J2O13_07G016330</t>
  </si>
  <si>
    <t>PIP1-1</t>
  </si>
  <si>
    <t>Aquaporin PIP1-1</t>
  </si>
  <si>
    <t>GO:0009941,GO:0005739,GO:0000325,GO:0005886,GO:0009506,GO:0015250,GO:0009414,GO:0006833</t>
  </si>
  <si>
    <t>chloroplast envelope|mitochondrion|plant-type vacuole|plasma membrane|plasmodesma|water channel activity|response to water deprivation|water transport</t>
  </si>
  <si>
    <t>J2O13_07G016333</t>
  </si>
  <si>
    <t>PIP2-7</t>
  </si>
  <si>
    <t>Aquaporin PIP2-7</t>
  </si>
  <si>
    <t>ko04976,ko04962</t>
  </si>
  <si>
    <t>Bile secretion|Vasopressin-regulated water reabsorption</t>
  </si>
  <si>
    <t>GO:0005886,GO:0015267,GO:0009738,GO:0009409,GO:0006970,GO:1902074,GO:0009414</t>
  </si>
  <si>
    <t>plasma membrane|channel activity|abscisic acid-activated signaling pathway|response to cold|response to osmotic stress|response to salt|response to water deprivation</t>
  </si>
  <si>
    <t>J2O13_07G016334</t>
  </si>
  <si>
    <t>7.16E-20</t>
  </si>
  <si>
    <t>3.08E-18</t>
  </si>
  <si>
    <t>J2O13_07G016335</t>
  </si>
  <si>
    <t>1.16E-06</t>
  </si>
  <si>
    <t>8.26E-06</t>
  </si>
  <si>
    <t>J2O13_07G016339</t>
  </si>
  <si>
    <t>J2O13_07G016340</t>
  </si>
  <si>
    <t>4.81E-18</t>
  </si>
  <si>
    <t>1.73E-16</t>
  </si>
  <si>
    <t>J2O13_07G016342</t>
  </si>
  <si>
    <t>2.72E-08</t>
  </si>
  <si>
    <t>MRL1</t>
  </si>
  <si>
    <t>Pentatricopeptide repeat-containing protein MRL1, chloroplastic</t>
  </si>
  <si>
    <t>GO:0009507,GO:0048255</t>
  </si>
  <si>
    <t>chloroplast|mRNA stabilization</t>
  </si>
  <si>
    <t>J2O13_07G016343</t>
  </si>
  <si>
    <t>J2O13_07G016349</t>
  </si>
  <si>
    <t>2.04E-06</t>
  </si>
  <si>
    <t>SAUR23</t>
  </si>
  <si>
    <t>Auxin-responsive protein SAUR23</t>
  </si>
  <si>
    <t>J2O13_07G016362</t>
  </si>
  <si>
    <t>2.54E-15</t>
  </si>
  <si>
    <t>6.62E-14</t>
  </si>
  <si>
    <t>SOT15</t>
  </si>
  <si>
    <t>Cytosolic sulfotransferase 15</t>
  </si>
  <si>
    <t>GO:0005737,GO:0102056,GO:0102055,GO:0080131,GO:0008146,GO:0009694,GO:0009753,GO:0051923</t>
  </si>
  <si>
    <t>cytoplasm|11-hydroxyjasmonate sulfotransferase activity|12-hydroxyjasmonate sulfotransferase activity|hydroxyjasmonate sulfotransferase activity|sulfotransferase activity|jasmonic acid metabolic process|response to jasmonic acid|sulfation</t>
  </si>
  <si>
    <t>J2O13_07G016364</t>
  </si>
  <si>
    <t>J2O13_07G016371</t>
  </si>
  <si>
    <t>2.24E-09</t>
  </si>
  <si>
    <t>2.57E-08</t>
  </si>
  <si>
    <t>CXE15</t>
  </si>
  <si>
    <t>Probable carboxylesterase 15</t>
  </si>
  <si>
    <t>J2O13_07G016372</t>
  </si>
  <si>
    <t>1.74E-11</t>
  </si>
  <si>
    <t>2.72E-10</t>
  </si>
  <si>
    <t>J2O13_07G016373</t>
  </si>
  <si>
    <t>1.79E-05</t>
  </si>
  <si>
    <t>At5g07050</t>
  </si>
  <si>
    <t>WAT1-related protein At5g07050</t>
  </si>
  <si>
    <t>J2O13_07G016386</t>
  </si>
  <si>
    <t>4.23E-16</t>
  </si>
  <si>
    <t>1.20E-14</t>
  </si>
  <si>
    <t>PCMP-H40</t>
  </si>
  <si>
    <t>Pentatricopeptide repeat-containing protein At1g11290, chloroplastic</t>
  </si>
  <si>
    <t>GO:0009507,GO:0004519,GO:0003729,GO:0008270,GO:0016556,GO:0006397</t>
  </si>
  <si>
    <t>chloroplast|endonuclease activity|mRNA binding|zinc ion binding|mRNA modification|mRNA processing</t>
  </si>
  <si>
    <t>J2O13_07G016413</t>
  </si>
  <si>
    <t>1.56E-09</t>
  </si>
  <si>
    <t>1.82E-08</t>
  </si>
  <si>
    <t>OBL1</t>
  </si>
  <si>
    <t>Triacylglycerol lipase OBL1</t>
  </si>
  <si>
    <t>GO:0005811,GO:0016020,GO:0004806,GO:0016042</t>
  </si>
  <si>
    <t>lipid droplet|membrane|triglyceride lipase activity|lipid catabolic process</t>
  </si>
  <si>
    <t>J2O13_07G016422</t>
  </si>
  <si>
    <t>J2O13_07G016424</t>
  </si>
  <si>
    <t>J2O13_07G016434</t>
  </si>
  <si>
    <t>J2O13_07G016439</t>
  </si>
  <si>
    <t>4.42E-06</t>
  </si>
  <si>
    <t>2.80E-05</t>
  </si>
  <si>
    <t>J2O13_07G016440</t>
  </si>
  <si>
    <t>2.20E-14</t>
  </si>
  <si>
    <t>5.09E-13</t>
  </si>
  <si>
    <t>FLZ17</t>
  </si>
  <si>
    <t>FCS-Like Zinc finger 17</t>
  </si>
  <si>
    <t>GO:0005737,GO:0005829,GO:0005634,GO:0046872,GO:0009737,GO:0034097,GO:0009749,GO:1905582,GO:1902074,GO:0042594,GO:0009744</t>
  </si>
  <si>
    <t>cytoplasm|cytosol|nucleus|metal ion binding|response to abscisic acid|response to cytokine|response to glucose|response to mannose|response to salt|response to starvation|response to sucrose</t>
  </si>
  <si>
    <t>J2O13_07G016445</t>
  </si>
  <si>
    <t>7.55E-05</t>
  </si>
  <si>
    <t>RAP2-2</t>
  </si>
  <si>
    <t>Ethylene-responsive transcription factor RAP2-2</t>
  </si>
  <si>
    <t>GO:0005634,GO:0003700,GO:0000976,GO:0009873,GO:0010468,GO:0001666</t>
  </si>
  <si>
    <t>nucleus|DNA-binding transcription factor activity|transcription cis-regulatory region binding|ethylene-activated signaling pathway|regulation of gene expression|response to hypoxia</t>
  </si>
  <si>
    <t>J2O13_07G016450</t>
  </si>
  <si>
    <t>2.18E-20</t>
  </si>
  <si>
    <t>9.91E-19</t>
  </si>
  <si>
    <t>J2O13_07G016452</t>
  </si>
  <si>
    <t>GLIP1</t>
  </si>
  <si>
    <t>GDSL esterase/lipase 1</t>
  </si>
  <si>
    <t>GO:0005615,GO:0016298,GO:0042742,GO:0050832,GO:0009866,GO:0009871,GO:0016042,GO:0009620,GO:0009751,GO:0009627</t>
  </si>
  <si>
    <t>extracellular space|lipase activity|defense response to bacterium|defense response to fungus|induced systemic resistance, ethylene mediated signaling pathway|jasmonic acid and ethylene-dependent systemic resistance, ethylene mediated signaling pathway|lipid catabolic process|response to fungus|response to salicylic acid|systemic acquired resistance</t>
  </si>
  <si>
    <t>J2O13_07G016457</t>
  </si>
  <si>
    <t>1.01E-25</t>
  </si>
  <si>
    <t>7.47E-24</t>
  </si>
  <si>
    <t>J2O13_07G016468</t>
  </si>
  <si>
    <t>ASIL2</t>
  </si>
  <si>
    <t>Trihelix transcription factor ASIL2</t>
  </si>
  <si>
    <t>GO:0005634,GO:0003700,GO:0000976,GO:0009793,GO:0006355,GO:0010431</t>
  </si>
  <si>
    <t>nucleus|DNA-binding transcription factor activity|transcription cis-regulatory region binding|embryo development ending in seed dormancy|regulation of DNA-templated transcription|seed maturation</t>
  </si>
  <si>
    <t>J2O13_07G016470</t>
  </si>
  <si>
    <t>ABCB19</t>
  </si>
  <si>
    <t>ABC transporter B family member 19</t>
  </si>
  <si>
    <t>GO:0005829,GO:0016020,GO:0005886,GO:0140359,GO:0005524,GO:0016887,GO:0042626,GO:0010329,GO:0010541,GO:0043481,GO:0009926,GO:0060918,GO:0009734,GO:0010540,GO:0090691,GO:0048527,GO:0009640,GO:0009958,GO:0008361,GO:0009733,GO:0009637,GO:0010218,GO:0009639,GO:0048364,GO:0048443,GO:0055085</t>
  </si>
  <si>
    <t>cytosol|membrane|plasma membrane|ABC-type transporter activity|ATP binding|ATP hydrolysis activity|ATPase-coupled transmembrane transporter activity|auxin efflux transmembrane transporter activity|acropetal auxin transport|anthocyanin accumulation in tissues in response to UV light|auxin polar transport|auxin transport|auxin-activated signaling pathway|basipetal auxin transport|formation of plant organ boundary|lateral root development|photomorphogenesis|positive gravitropism|regulation of cell size|response to auxin|response to blue light|response to far red light|response to red or far red light|root development|stamen development|transmembrane transport</t>
  </si>
  <si>
    <t>J2O13_07G016473</t>
  </si>
  <si>
    <t>J2O13_07G016481</t>
  </si>
  <si>
    <t>3.02E-16</t>
  </si>
  <si>
    <t>8.66E-15</t>
  </si>
  <si>
    <t>TIFY10B</t>
  </si>
  <si>
    <t>Protein TIFY 10B</t>
  </si>
  <si>
    <t>GO:0005634,GO:0042802,GO:0006952,GO:0031347,GO:2000022,GO:0009753,GO:0009611</t>
  </si>
  <si>
    <t>nucleus|identical protein binding|defense response|regulation of defense response|regulation of jasmonic acid mediated signaling pathway|response to jasmonic acid|response to wounding</t>
  </si>
  <si>
    <t>J2O13_07G016492</t>
  </si>
  <si>
    <t>5.66E-13</t>
  </si>
  <si>
    <t>ALDH7B4</t>
  </si>
  <si>
    <t>Aldehyde dehydrogenase family 7 member B4</t>
  </si>
  <si>
    <t>ko00010,ko00053,ko00620,ko00071,ko00561,ko00260,ko00280,ko00310,ko00330,ko00340,ko00380,ko00410,ko04936</t>
  </si>
  <si>
    <t>Glycolysis / Gluconeogenesis|Ascorbate and aldarate metabolism|Pyruvate metabolism|Fatty acid degradation|Glycerolipid metabolism|Glycine, serine and threonine metabolism|Valine, leucine and isoleucine degradation|Lysine degradation|Arginine and proline metabolism|Histidine metabolism|Tryptophan metabolism|beta-Alanine metabolism|Alcoholic liver disease</t>
  </si>
  <si>
    <t>GO:0004029,GO:0043878,GO:0006081,GO:0009737,GO:0009269,GO:0009651</t>
  </si>
  <si>
    <t>aldehyde dehydrogenase (NAD+) activity|glyceraldehyde-3-phosphate dehydrogenase (NAD+) (non-phosphorylating) activity|cellular aldehyde metabolic process|response to abscisic acid|response to desiccation|response to salt stress</t>
  </si>
  <si>
    <t>J2O13_07G016498</t>
  </si>
  <si>
    <t>2.80E-18</t>
  </si>
  <si>
    <t>1.04E-16</t>
  </si>
  <si>
    <t>LOX3.1</t>
  </si>
  <si>
    <t>Linoleate 13S-lipoxygenase 3-1, chloroplastic</t>
  </si>
  <si>
    <t>GO:0009570,GO:0009534,GO:0016165,GO:0046872,GO:0016702,GO:0006633,GO:0034440,GO:0031408</t>
  </si>
  <si>
    <t>chloroplast stroma|chloroplast thylakoid|linoleate 13S-lipoxygenase activity|metal ion binding|oxidoreductase activity, acting on single donors with incorporation of molecular oxygen, incorporation of two atoms of oxygen|fatty acid biosynthetic process|lipid oxidation|oxylipin biosynthetic process</t>
  </si>
  <si>
    <t>J2O13_07G016500</t>
  </si>
  <si>
    <t>1.26E-09</t>
  </si>
  <si>
    <t>J2O13_07G016501</t>
  </si>
  <si>
    <t>At1g72540</t>
  </si>
  <si>
    <t>Putative receptor-like protein kinase At1g72540</t>
  </si>
  <si>
    <t>GO:0005524,GO:0106310,GO:0004674,GO:0006468</t>
  </si>
  <si>
    <t>ATP binding|protein serine kinase activity|protein serine/threonine kinase activity|protein phosphorylation</t>
  </si>
  <si>
    <t>J2O13_07G016506</t>
  </si>
  <si>
    <t>J2O13_07G016511</t>
  </si>
  <si>
    <t>4.75E-15</t>
  </si>
  <si>
    <t>ABP19A</t>
  </si>
  <si>
    <t>Auxin-binding protein ABP19a</t>
  </si>
  <si>
    <t>GO:0048046,GO:0030145,GO:0009734</t>
  </si>
  <si>
    <t>apoplast|manganese ion binding|auxin-activated signaling pathway</t>
  </si>
  <si>
    <t>J2O13_07G016512</t>
  </si>
  <si>
    <t>GRF5</t>
  </si>
  <si>
    <t>Growth-regulating factor 5</t>
  </si>
  <si>
    <t>GO:0005634,GO:0005524,GO:0006351,GO:0048366,GO:0006355,GO:0009409,GO:0009739</t>
  </si>
  <si>
    <t>nucleus|ATP binding|DNA-templated transcription|leaf development|regulation of DNA-templated transcription|response to cold|response to gibberellin</t>
  </si>
  <si>
    <t>J2O13_07G016522</t>
  </si>
  <si>
    <t>1.70E-11</t>
  </si>
  <si>
    <t>2.66E-10</t>
  </si>
  <si>
    <t>J2O13_07G016528</t>
  </si>
  <si>
    <t>5.85E-09</t>
  </si>
  <si>
    <t>6.32E-08</t>
  </si>
  <si>
    <t>J2O13_07G016538</t>
  </si>
  <si>
    <t>J2O13_07G016539</t>
  </si>
  <si>
    <t>J2O13_07G016563</t>
  </si>
  <si>
    <t>5.52E-07</t>
  </si>
  <si>
    <t>EPFL3</t>
  </si>
  <si>
    <t>EPIDERMAL PATTERNING FACTOR-like protein 3</t>
  </si>
  <si>
    <t>J2O13_07G016589</t>
  </si>
  <si>
    <t>HTH</t>
  </si>
  <si>
    <t>Protein HOTHEAD</t>
  </si>
  <si>
    <t>GO:0005576,GO:0050660,GO:0046593,GO:0016614,GO:0007267,GO:0009553,GO:0010430</t>
  </si>
  <si>
    <t>extracellular region|flavin adenine dinucleotide binding|mandelonitrile lyase activity|oxidoreductase activity, acting on CH-OH group of donors|cell-cell signaling|embryo sac development|fatty acid omega-oxidation</t>
  </si>
  <si>
    <t>J2O13_07G016591</t>
  </si>
  <si>
    <t>3.01E-05</t>
  </si>
  <si>
    <t>J2O13_07G016592</t>
  </si>
  <si>
    <t>8.47E-06</t>
  </si>
  <si>
    <t>5.08E-05</t>
  </si>
  <si>
    <t>J2O13_07G016596</t>
  </si>
  <si>
    <t>5.43E-09</t>
  </si>
  <si>
    <t>5.89E-08</t>
  </si>
  <si>
    <t>BGAL1</t>
  </si>
  <si>
    <t>Beta-galactosidase 1</t>
  </si>
  <si>
    <t>GO:0048046,GO:0005829,GO:0009505,GO:0009506,GO:0005773,GO:0004565,GO:0030246,GO:0005975</t>
  </si>
  <si>
    <t>apoplast|cytosol|plant-type cell wall|plasmodesma|vacuole|beta-galactosidase activity|carbohydrate binding|carbohydrate metabolic process</t>
  </si>
  <si>
    <t>J2O13_07G016603</t>
  </si>
  <si>
    <t>CYP90D1</t>
  </si>
  <si>
    <t>3-epi-6-deoxocathasterone 23-monooxygenase CYP90D1</t>
  </si>
  <si>
    <t>GO:0005789,GO:0102097,GO:0102136,GO:0020037,GO:0005506,GO:0004497,GO:0016491,GO:0016709,GO:0016132,GO:0010268,GO:0048366,GO:0048441,GO:0048443,GO:0016125</t>
  </si>
  <si>
    <t>endoplasmic reticulum membrane|(22S)-22-hydroxy-5alpha-campestan-3-one C-23 hydroxylase activity|3-epi-6-deoxocathasterone C-23 hydroxylase activity|heme binding|iron ion binding|monooxygenase activity|oxidoreductase activity|oxidoreductase activity, acting on paired donors, with incorporation or reduction of molecular oxygen, NAD(P)H as one donor, and incorporation of one atom of oxygen|brassinosteroid biosynthetic process|brassinosteroid homeostasis|leaf development|petal development|stamen development|sterol metabolic process</t>
  </si>
  <si>
    <t>J2O13_07G016606</t>
  </si>
  <si>
    <t>J2O13_07G016612</t>
  </si>
  <si>
    <t>4.90E-10</t>
  </si>
  <si>
    <t>6.18E-09</t>
  </si>
  <si>
    <t>At1g17710</t>
  </si>
  <si>
    <t>Inorganic pyrophosphatase 2</t>
  </si>
  <si>
    <t>GO:0004427,GO:0046872,GO:0016791,GO:0052731,GO:0052732,GO:0051262</t>
  </si>
  <si>
    <t>inorganic diphosphate phosphatase activity|metal ion binding|phosphatase activity|phosphocholine phosphatase activity|phosphoethanolamine phosphatase activity|protein tetramerization</t>
  </si>
  <si>
    <t>J2O13_07G016613</t>
  </si>
  <si>
    <t>1.77E-06</t>
  </si>
  <si>
    <t>J2O13_07G016642</t>
  </si>
  <si>
    <t>SIRK</t>
  </si>
  <si>
    <t>Senescence-induced receptor-like serine/threonine-protein kinase</t>
  </si>
  <si>
    <t>GO:0016020,GO:0005524,GO:0004674,GO:0042742,GO:0006468</t>
  </si>
  <si>
    <t>membrane|ATP binding|protein serine/threonine kinase activity|defense response to bacterium|protein phosphorylation</t>
  </si>
  <si>
    <t>J2O13_07G016644</t>
  </si>
  <si>
    <t>4.72E-10</t>
  </si>
  <si>
    <t>5.98E-09</t>
  </si>
  <si>
    <t>MIOX1</t>
  </si>
  <si>
    <t>Inositol oxygenase 1</t>
  </si>
  <si>
    <t>ko00053,ko00562</t>
  </si>
  <si>
    <t>Ascorbate and aldarate metabolism|Inositol phosphate metabolism</t>
  </si>
  <si>
    <t>GO:0005737,GO:0050113,GO:0005506,GO:0019310,GO:0019853</t>
  </si>
  <si>
    <t>cytoplasm|inositol oxygenase activity|iron ion binding|inositol catabolic process|L-ascorbic acid biosynthetic process</t>
  </si>
  <si>
    <t>J2O13_07G016645</t>
  </si>
  <si>
    <t>3.36E-09</t>
  </si>
  <si>
    <t>3.75E-08</t>
  </si>
  <si>
    <t>J2O13_07G016646</t>
  </si>
  <si>
    <t>2.65E-09</t>
  </si>
  <si>
    <t>3.00E-08</t>
  </si>
  <si>
    <t>J2O13_07G016649</t>
  </si>
  <si>
    <t>J2O13_07G016652</t>
  </si>
  <si>
    <t>2.77E-05</t>
  </si>
  <si>
    <t>APG</t>
  </si>
  <si>
    <t>GDSL esterase/lipase APG</t>
  </si>
  <si>
    <t>GO:0048046,GO:0016788,GO:0016042</t>
  </si>
  <si>
    <t>apoplast|hydrolase activity, acting on ester bonds|lipid catabolic process</t>
  </si>
  <si>
    <t>J2O13_07G016662</t>
  </si>
  <si>
    <t>6.24E-05</t>
  </si>
  <si>
    <t>APS1</t>
  </si>
  <si>
    <t>Acid phosphatase 1</t>
  </si>
  <si>
    <t>GO:0003993</t>
  </si>
  <si>
    <t>acid phosphatase activity</t>
  </si>
  <si>
    <t>J2O13_07G016666</t>
  </si>
  <si>
    <t>1.18E-11</t>
  </si>
  <si>
    <t>1.89E-10</t>
  </si>
  <si>
    <t>J2O13_07G016668</t>
  </si>
  <si>
    <t>J2O13_07G016672</t>
  </si>
  <si>
    <t>3.34E-05</t>
  </si>
  <si>
    <t>IAA26</t>
  </si>
  <si>
    <t>Auxin-responsive protein IAA26</t>
  </si>
  <si>
    <t>J2O13_07G016673</t>
  </si>
  <si>
    <t>1.87E-24</t>
  </si>
  <si>
    <t>1.22E-22</t>
  </si>
  <si>
    <t>LYK3</t>
  </si>
  <si>
    <t>LysM domain receptor-like kinase 3</t>
  </si>
  <si>
    <t>GO:0005886,GO:0005524,GO:0004674,GO:0019199,GO:0009738,GO:0006952,GO:0050832,GO:0045087,GO:0031348,GO:0009789,GO:0006468,GO:0009737</t>
  </si>
  <si>
    <t>plasma membrane|ATP binding|protein serine/threonine kinase activity|transmembrane receptor protein kinase activity|abscisic acid-activated signaling pathway|defense response|defense response to fungus|innate immune response|negative regulation of defense response|positive regulation of abscisic acid-activated signaling pathway|protein phosphorylation|response to abscisic acid</t>
  </si>
  <si>
    <t>J2O13_07G016678</t>
  </si>
  <si>
    <t>J2O13_07G016683</t>
  </si>
  <si>
    <t>ABCG29</t>
  </si>
  <si>
    <t>ABC transporter G family member 29</t>
  </si>
  <si>
    <t>GO:0005886,GO:0140359,GO:0005524,GO:0015850,GO:1901140,GO:1901141</t>
  </si>
  <si>
    <t>plasma membrane|ABC-type transporter activity|ATP binding|organic hydroxy compound transport|p-coumaryl alcohol transport|regulation of lignin biosynthetic process</t>
  </si>
  <si>
    <t>J2O13_07G016684</t>
  </si>
  <si>
    <t>9.09E-09</t>
  </si>
  <si>
    <t>ABCG36</t>
  </si>
  <si>
    <t>ABC transporter G family member 36</t>
  </si>
  <si>
    <t>GO:0009507,GO:0009941,GO:0005783,GO:0005789,GO:0005739,GO:0000325,GO:0005886,GO:0005802,GO:0140359,GO:0005524,GO:0010329,GO:0015086,GO:0015562,GO:0003729,GO:0009926,GO:0009734,GO:0015691,GO:1990748,GO:0071366,GO:0048825,GO:0009804,GO:0052544,GO:0042742,GO:0050832,GO:0002229,GO:0140352,GO:0042344,GO:0031348,GO:0140426,GO:0009626,GO:0010928,GO:2000071,GO:2000023,GO:0009733,GO:0009617,GO:0010200,GO:0009620,GO:0009408,GO:0002237,GO:0002238,GO:0002240,GO:0002239,GO:0009651,GO:0009414,GO:0048364,GO:0080147,GO:0055078,GO:0009627,GO:0046104,GO:0055085</t>
  </si>
  <si>
    <t>chloroplast|chloroplast envelope|endoplasmic reticulum|endoplasmic reticulum membrane|mitochondrion|plant-type vacuole|plasma membrane|trans-Golgi network|ABC-type transporter activity|ATP binding|auxin efflux transmembrane transporter activity|cadmium ion transmembrane transporter activity|efflux transmembrane transporter activity|mRNA binding|auxin polar transport|auxin-activated signaling pathway|cadmium ion transport|cellular detoxification|cellular response to indolebutyric acid stimulus|cotyledon development|coumarin metabolic process|defense response by callose deposition in cell wall|defense response to bacterium|defense response to fungus|defense response to oomycetes|export from cell|indole glucosinolate catabolic process|negative regulation of defense response|pathogen-associated molecular pattern receptor signaling pathway|plant-type hypersensitive response|regulation of auxin mediated signaling pathway|regulation of defense response by callose deposition|regulation of lateral root development|response to auxin|response to bacterium|response to chitin|response to fungus|response to heat|response to molecule of bacterial origin|response to molecule of fungal origin|response to molecule of oomycetes origin|response to oomycetes|response to salt stress|response to water deprivation|root development|root hair cell development|sodium ion homeostasis|systemic acquired resistance|thymidine metabolic process|transmembrane transport</t>
  </si>
  <si>
    <t>J2O13_07G016685</t>
  </si>
  <si>
    <t>J2O13_07G016689</t>
  </si>
  <si>
    <t>4.59E-05</t>
  </si>
  <si>
    <t>HD16</t>
  </si>
  <si>
    <t>Casein kinase 1-like protein HD16</t>
  </si>
  <si>
    <t>GO:0005737,GO:0005634,GO:0005524,GO:0106310,GO:0004674,GO:0006897,GO:0009908,GO:0009740,GO:0010476,GO:0018105,GO:0048586,GO:0007165</t>
  </si>
  <si>
    <t>cytoplasm|nucleus|ATP binding|protein serine kinase activity|protein serine/threonine kinase activity|endocytosis|flower development|gibberellic acid mediated signaling pathway|gibberellin mediated signaling pathway|peptidyl-serine phosphorylation|regulation of long-day photoperiodism, flowering|signal transduction</t>
  </si>
  <si>
    <t>J2O13_07G016693</t>
  </si>
  <si>
    <t>1.98E-08</t>
  </si>
  <si>
    <t>1.95E-07</t>
  </si>
  <si>
    <t>J2O13_07G016699</t>
  </si>
  <si>
    <t>J2O13_07G016708</t>
  </si>
  <si>
    <t>J2O13_07G016711</t>
  </si>
  <si>
    <t>3.04E-14</t>
  </si>
  <si>
    <t>6.88E-13</t>
  </si>
  <si>
    <t>PNSB3</t>
  </si>
  <si>
    <t>Photosynthetic NDH subunit of subcomplex B 3, chloroplastic</t>
  </si>
  <si>
    <t>GO:0009535,GO:0005829,GO:0010598,GO:0051537,GO:0009055,GO:0046872,GO:0022900,GO:0140647,GO:0009773</t>
  </si>
  <si>
    <t>chloroplast thylakoid membrane|cytosol|NAD(P)H dehydrogenase complex (plastoquinone)|2 iron, 2 sulfur cluster binding|electron transfer activity|metal ion binding|electron transport chain|P450-containing electron transport chain|photosynthetic electron transport in photosystem I</t>
  </si>
  <si>
    <t>J2O13_07G016718</t>
  </si>
  <si>
    <t>3.62E-05</t>
  </si>
  <si>
    <t>BHLH68</t>
  </si>
  <si>
    <t>Transcription factor bHLH68</t>
  </si>
  <si>
    <t>GO:0005634,GO:0003700,GO:0000981,GO:0046983,GO:0000978,GO:0006355,GO:0006357,GO:0009737</t>
  </si>
  <si>
    <t>nucleus|DNA-binding transcription factor activity|DNA-binding transcription factor activity, RNA polymerase II-specific|protein dimerization activity|RNA polymerase II cis-regulatory region sequence-specific DNA binding|regulation of DNA-templated transcription|regulation of transcription by RNA polymerase II|response to abscisic acid</t>
  </si>
  <si>
    <t>J2O13_07G016721</t>
  </si>
  <si>
    <t>5.21E-07</t>
  </si>
  <si>
    <t>J2O13_07G016722</t>
  </si>
  <si>
    <t>2.90E-09</t>
  </si>
  <si>
    <t>3.27E-08</t>
  </si>
  <si>
    <t>J2O13_07G016743</t>
  </si>
  <si>
    <t>1.07E-06</t>
  </si>
  <si>
    <t>J2O13_07G016745</t>
  </si>
  <si>
    <t>3.18E-31</t>
  </si>
  <si>
    <t>4.02E-29</t>
  </si>
  <si>
    <t>Ras-related protein Rab7 OS=Prunus armeniaca OX=36596 PE=2 SV=1</t>
  </si>
  <si>
    <t>ko04144,ko04145,ko04140,ko04138,ko04137,ko05132,ko05152,ko05146</t>
  </si>
  <si>
    <t>Endocytosis|Phagosome|Autophagy - animal|Autophagy - yeast|Mitophagy - animal|Salmonella infection|Tuberculosis|Amoebiasis</t>
  </si>
  <si>
    <t>GO:0005886,GO:0005525,GO:0003924,GO:0015031</t>
  </si>
  <si>
    <t>plasma membrane|GTP binding|GTPase activity|protein transport</t>
  </si>
  <si>
    <t>J2O13_07G016749</t>
  </si>
  <si>
    <t>PERK15</t>
  </si>
  <si>
    <t>Proline-rich receptor-like protein kinase PERK15</t>
  </si>
  <si>
    <t>J2O13_07G016768</t>
  </si>
  <si>
    <t>J2O13_07G016770</t>
  </si>
  <si>
    <t>J2O13_07G016781</t>
  </si>
  <si>
    <t>OFP14</t>
  </si>
  <si>
    <t>Transcription repressor OFP14</t>
  </si>
  <si>
    <t>J2O13_07G016787</t>
  </si>
  <si>
    <t>5.53E-14</t>
  </si>
  <si>
    <t>MFP1-1</t>
  </si>
  <si>
    <t>MAR-binding filament-like protein 1-1</t>
  </si>
  <si>
    <t>GO:0016363,GO:0003677</t>
  </si>
  <si>
    <t>nuclear matrix|DNA binding</t>
  </si>
  <si>
    <t>J2O13_07G016789</t>
  </si>
  <si>
    <t>1.76E-22</t>
  </si>
  <si>
    <t>9.84E-21</t>
  </si>
  <si>
    <t>SULTR34</t>
  </si>
  <si>
    <t>Probable sulfate transporter 3.4</t>
  </si>
  <si>
    <t>GO:0005886,GO:0009506,GO:0008271,GO:0015293,GO:0006817</t>
  </si>
  <si>
    <t>plasma membrane|plasmodesma|secondary active sulfate transmembrane transporter activity|symporter activity|phosphate ion transport</t>
  </si>
  <si>
    <t>J2O13_07G016792</t>
  </si>
  <si>
    <t>2.49E-34</t>
  </si>
  <si>
    <t>3.85E-32</t>
  </si>
  <si>
    <t>NUP50A</t>
  </si>
  <si>
    <t>Nuclear pore complex protein NUP50A</t>
  </si>
  <si>
    <t>GO:0005737,GO:0005643,GO:0005654,GO:0046907,GO:0051028,GO:0015031</t>
  </si>
  <si>
    <t>cytoplasm|nuclear pore|nucleoplasm|intracellular transport|mRNA transport|protein transport</t>
  </si>
  <si>
    <t>J2O13_07G016811</t>
  </si>
  <si>
    <t>1.93E-08</t>
  </si>
  <si>
    <t>1.91E-07</t>
  </si>
  <si>
    <t>At1g61190</t>
  </si>
  <si>
    <t>Probable disease resistance protein At1g61190</t>
  </si>
  <si>
    <t>J2O13_07G016812</t>
  </si>
  <si>
    <t>At1g80440</t>
  </si>
  <si>
    <t>F-box/kelch-repeat protein At1g80440</t>
  </si>
  <si>
    <t>GO:0005829,GO:0019005,GO:0080037,GO:2000762</t>
  </si>
  <si>
    <t>cytosol|SCF ubiquitin ligase complex|negative regulation of cytokinin-activated signaling pathway|regulation of phenylpropanoid metabolic process</t>
  </si>
  <si>
    <t>J2O13_07G016821</t>
  </si>
  <si>
    <t>AUX22</t>
  </si>
  <si>
    <t>Auxin-induced protein AUX22</t>
  </si>
  <si>
    <t>GO:0005634,GO:0009734,GO:0006355</t>
  </si>
  <si>
    <t>nucleus|auxin-activated signaling pathway|regulation of DNA-templated transcription</t>
  </si>
  <si>
    <t>J2O13_07G016825</t>
  </si>
  <si>
    <t>4.27E-14</t>
  </si>
  <si>
    <t>9.50E-13</t>
  </si>
  <si>
    <t>GLYK</t>
  </si>
  <si>
    <t>D-glycerate 3-kinase, chloroplastic</t>
  </si>
  <si>
    <t>ko00630,ko00561,ko00260</t>
  </si>
  <si>
    <t>Glyoxylate and dicarboxylate metabolism|Glycerolipid metabolism|Glycine, serine and threonine metabolism</t>
  </si>
  <si>
    <t>GO:0009507,GO:0009941,GO:0009570,GO:0005737,GO:0005739,GO:0005524,GO:0008887,GO:0009854,GO:0016310,GO:0009853</t>
  </si>
  <si>
    <t>chloroplast|chloroplast envelope|chloroplast stroma|cytoplasm|mitochondrion|ATP binding|glycerate kinase activity|oxidative photosynthetic carbon pathway|phosphorylation|photorespiration</t>
  </si>
  <si>
    <t>J2O13_07G016832</t>
  </si>
  <si>
    <t>1.32E-18</t>
  </si>
  <si>
    <t>5.05E-17</t>
  </si>
  <si>
    <t>LE</t>
  </si>
  <si>
    <t>Gibberellin 3-beta-dioxygenase 1</t>
  </si>
  <si>
    <t>GO:0016707,GO:0046872,GO:0009686</t>
  </si>
  <si>
    <t>gibberellin 3-beta-dioxygenase activity|metal ion binding|gibberellin biosynthetic process</t>
  </si>
  <si>
    <t>J2O13_07G016834</t>
  </si>
  <si>
    <t>J2O13_07G016839</t>
  </si>
  <si>
    <t>CPT1</t>
  </si>
  <si>
    <t>Coleoptile phototropism protein 1</t>
  </si>
  <si>
    <t>GO:0016567</t>
  </si>
  <si>
    <t>protein ubiquitination</t>
  </si>
  <si>
    <t>J2O13_07G016841</t>
  </si>
  <si>
    <t>3.59E-13</t>
  </si>
  <si>
    <t>7.10E-12</t>
  </si>
  <si>
    <t>Plastidic ATP/ADP-transporter OS=Solanum tuberosum OX=4113 PE=2 SV=2</t>
  </si>
  <si>
    <t>GO:0031969,GO:0005524,GO:0005471</t>
  </si>
  <si>
    <t>chloroplast membrane|ATP binding|ATP:ADP antiporter activity</t>
  </si>
  <si>
    <t>J2O13_07G016845</t>
  </si>
  <si>
    <t>ASI1</t>
  </si>
  <si>
    <t>Protein ANTI-SILENCING 1</t>
  </si>
  <si>
    <t>GO:0032991,GO:0003682,GO:0003723,GO:0006325,GO:1905642,GO:0044030,GO:0051570,GO:0031060</t>
  </si>
  <si>
    <t>protein-containing complex|chromatin binding|RNA binding|chromatin organization|negative regulation of DNA methylation|regulation of DNA methylation|regulation of histone H3-K9 methylation|regulation of histone methylation</t>
  </si>
  <si>
    <t>J2O13_07G016848</t>
  </si>
  <si>
    <t>J2O13_07G016850</t>
  </si>
  <si>
    <t>2.11E-17</t>
  </si>
  <si>
    <t>7.06E-16</t>
  </si>
  <si>
    <t>BOR4</t>
  </si>
  <si>
    <t>Boron transporter 4</t>
  </si>
  <si>
    <t>GO:0005886,GO:0080139,GO:0005452,GO:0022857,GO:0046713,GO:0080029,GO:0050801,GO:0055085</t>
  </si>
  <si>
    <t>plasma membrane|borate efflux transmembrane transporter activity|solute:inorganic anion antiporter activity|transmembrane transporter activity|borate transport|cellular response to boron-containing substance levels|ion homeostasis|transmembrane transport</t>
  </si>
  <si>
    <t>J2O13_07G016867</t>
  </si>
  <si>
    <t>J2O13_07G016877</t>
  </si>
  <si>
    <t>At1g80170</t>
  </si>
  <si>
    <t>Probable polygalacturonase At1g80170</t>
  </si>
  <si>
    <t>GO:0005576,GO:0004650,GO:0005975,GO:0071555</t>
  </si>
  <si>
    <t>extracellular region|polygalacturonase activity|carbohydrate metabolic process|cell wall organization</t>
  </si>
  <si>
    <t>J2O13_07G016879</t>
  </si>
  <si>
    <t>2.08E-08</t>
  </si>
  <si>
    <t>2.04E-07</t>
  </si>
  <si>
    <t>J2O13_07G016880</t>
  </si>
  <si>
    <t>6.92E-26</t>
  </si>
  <si>
    <t>5.27E-24</t>
  </si>
  <si>
    <t>J2O13_07G016884</t>
  </si>
  <si>
    <t>At5g63020</t>
  </si>
  <si>
    <t>Probable disease resistance protein At5g63020</t>
  </si>
  <si>
    <t>GO:0005737,GO:0005886,GO:0043531,GO:0005524,GO:0006952</t>
  </si>
  <si>
    <t>cytoplasm|plasma membrane|ADP binding|ATP binding|defense response</t>
  </si>
  <si>
    <t>J2O13_07G016894</t>
  </si>
  <si>
    <t>1.65E-26</t>
  </si>
  <si>
    <t>1.32E-24</t>
  </si>
  <si>
    <t>SPX1</t>
  </si>
  <si>
    <t>SPX domain-containing protein 1</t>
  </si>
  <si>
    <t>GO:0005634,GO:0071456,GO:0016036,GO:0080040</t>
  </si>
  <si>
    <t>nucleus|cellular response to hypoxia|cellular response to phosphate starvation|positive regulation of cellular response to phosphate starvation</t>
  </si>
  <si>
    <t>J2O13_07G016902</t>
  </si>
  <si>
    <t>J2O13_07G016903</t>
  </si>
  <si>
    <t>1.44E-09</t>
  </si>
  <si>
    <t>J2O13_07G016908</t>
  </si>
  <si>
    <t>Cucumber peeling cupredoxin OS=Cucumis sativus OX=3659 PE=1 SV=3</t>
  </si>
  <si>
    <t>GO:0009055,GO:0046872</t>
  </si>
  <si>
    <t>electron transfer activity|metal ion binding</t>
  </si>
  <si>
    <t>J2O13_07G016909</t>
  </si>
  <si>
    <t>2.76E-17</t>
  </si>
  <si>
    <t>9.01E-16</t>
  </si>
  <si>
    <t>At1g80120</t>
  </si>
  <si>
    <t>Protein LURP-one-related 5</t>
  </si>
  <si>
    <t>J2O13_07G016912</t>
  </si>
  <si>
    <t>1.78E-07</t>
  </si>
  <si>
    <t>1.47E-06</t>
  </si>
  <si>
    <t>ADS3</t>
  </si>
  <si>
    <t>Palmitoyl-monogalactosyldiacylglycerol delta-7 desaturase, chloroplastic</t>
  </si>
  <si>
    <t>GO:0031969,GO:0005789,GO:0009579,GO:0102657,GO:0102843,GO:0009979,GO:0031408,GO:0010205,GO:0006636</t>
  </si>
  <si>
    <t>chloroplast membrane|endoplasmic reticulum membrane|thylakoid|1-18:1-2-16:0-monogalactosyldiacylglycerol palmitoyl-lipid 7-desaturase activity|1-18:2-2-16:0-monogalactosyldiacylglycerol desaturase activity (SN2-16:1 forming)|16:0 monogalactosyldiacylglycerol desaturase activity|oxylipin biosynthetic process|photoinhibition|unsaturated fatty acid biosynthetic process</t>
  </si>
  <si>
    <t>J2O13_07G016913</t>
  </si>
  <si>
    <t>PIFI</t>
  </si>
  <si>
    <t>Protein POST-ILLUMINATION CHLOROPHYLL FLUORESCENCE INCREASE, chloroplastic</t>
  </si>
  <si>
    <t>GO:0009507,GO:0009570,GO:0005829,GO:0009579,GO:0070370,GO:0010478,GO:0010196</t>
  </si>
  <si>
    <t>chloroplast|chloroplast stroma|cytosol|thylakoid|cellular heat acclimation|chlororespiration|nonphotochemical quenching</t>
  </si>
  <si>
    <t>J2O13_07G016922</t>
  </si>
  <si>
    <t>3.07E-05</t>
  </si>
  <si>
    <t>SNRNP25</t>
  </si>
  <si>
    <t>U11/U12 small nuclear ribonucleoprotein 25 kDa protein</t>
  </si>
  <si>
    <t>GO:0005689,GO:0000398</t>
  </si>
  <si>
    <t>U12-type spliceosomal complex|mRNA splicing, via spliceosome</t>
  </si>
  <si>
    <t>J2O13_07G016925</t>
  </si>
  <si>
    <t>APT2</t>
  </si>
  <si>
    <t>Adenine phosphoribosyltransferase 2</t>
  </si>
  <si>
    <t>GO:0005829,GO:0005794,GO:0005886,GO:0003999,GO:0015114,GO:0006168,GO:0044209,GO:0006166</t>
  </si>
  <si>
    <t>cytosol|Golgi apparatus|plasma membrane|adenine phosphoribosyltransferase activity|phosphate ion transmembrane transporter activity|adenine salvage|AMP salvage|purine ribonucleoside salvage</t>
  </si>
  <si>
    <t>J2O13_07G016929</t>
  </si>
  <si>
    <t>3.93E-09</t>
  </si>
  <si>
    <t>J2O13_07G016939</t>
  </si>
  <si>
    <t>J2O13_07G016943</t>
  </si>
  <si>
    <t>4.82E-08</t>
  </si>
  <si>
    <t>J2O13_07G016952</t>
  </si>
  <si>
    <t>J2O13_07G016956</t>
  </si>
  <si>
    <t>J2O13_07G016958</t>
  </si>
  <si>
    <t>RH35</t>
  </si>
  <si>
    <t>DEAD-box ATP-dependent RNA helicase 35</t>
  </si>
  <si>
    <t>GO:0005681,GO:0005524,GO:0016887,GO:0003723,GO:0003724,GO:0008270,GO:0000398</t>
  </si>
  <si>
    <t>spliceosomal complex|ATP binding|ATP hydrolysis activity|RNA binding|RNA helicase activity|zinc ion binding|mRNA splicing, via spliceosome</t>
  </si>
  <si>
    <t>J2O13_07G016960</t>
  </si>
  <si>
    <t>3.41E-08</t>
  </si>
  <si>
    <t>3.24E-07</t>
  </si>
  <si>
    <t>TTM3</t>
  </si>
  <si>
    <t>Triphosphate tunnel metalloenzyme 3</t>
  </si>
  <si>
    <t>GO:0005680,GO:0005737,GO:0005634,GO:0005524,GO:0016887,GO:0050355,GO:0048364</t>
  </si>
  <si>
    <t>anaphase-promoting complex|cytoplasm|nucleus|ATP binding|ATP hydrolysis activity|inorganic triphosphate phosphatase activity|root development</t>
  </si>
  <si>
    <t>J2O13_07G016967</t>
  </si>
  <si>
    <t>1.74E-05</t>
  </si>
  <si>
    <t>9.73E-05</t>
  </si>
  <si>
    <t>J2O13_07G016974</t>
  </si>
  <si>
    <t>2.91E-20</t>
  </si>
  <si>
    <t>1.31E-18</t>
  </si>
  <si>
    <t>J2O13_07G016981</t>
  </si>
  <si>
    <t>J2O13_07G017000</t>
  </si>
  <si>
    <t>RTL1</t>
  </si>
  <si>
    <t>Ribonuclease 3-like protein 1</t>
  </si>
  <si>
    <t>GO:0005737,GO:0005634,GO:0004525,GO:0003723,GO:0030422</t>
  </si>
  <si>
    <t>cytoplasm|nucleus|ribonuclease III activity|RNA binding|siRNA processing</t>
  </si>
  <si>
    <t>J2O13_07G017002</t>
  </si>
  <si>
    <t>1.87E-06</t>
  </si>
  <si>
    <t>ERF003</t>
  </si>
  <si>
    <t>Ethylene-responsive transcription factor ERF003</t>
  </si>
  <si>
    <t>J2O13_07G017008</t>
  </si>
  <si>
    <t>1.04E-07</t>
  </si>
  <si>
    <t>9.06E-07</t>
  </si>
  <si>
    <t>ZFP1</t>
  </si>
  <si>
    <t>Zinc finger protein 1</t>
  </si>
  <si>
    <t>GO:0005634,GO:0003700,GO:0046872,GO:0009738,GO:0009788,GO:0009640</t>
  </si>
  <si>
    <t>nucleus|DNA-binding transcription factor activity|metal ion binding|abscisic acid-activated signaling pathway|negative regulation of abscisic acid-activated signaling pathway|photomorphogenesis</t>
  </si>
  <si>
    <t>J2O13_07G017013</t>
  </si>
  <si>
    <t>3.51E-06</t>
  </si>
  <si>
    <t>NIP6-1</t>
  </si>
  <si>
    <t>Aquaporin NIP6-1</t>
  </si>
  <si>
    <t>GO:0005886,GO:0046715,GO:0015267,GO:0015168,GO:0015204,GO:0046713,GO:0080029</t>
  </si>
  <si>
    <t>plasma membrane|active borate transmembrane transporter activity|channel activity|glycerol transmembrane transporter activity|urea transmembrane transporter activity|borate transport|cellular response to boron-containing substance levels</t>
  </si>
  <si>
    <t>J2O13_07G017018</t>
  </si>
  <si>
    <t>8.95E-39</t>
  </si>
  <si>
    <t>1.90E-36</t>
  </si>
  <si>
    <t>J2O13_07G017020</t>
  </si>
  <si>
    <t>J2O13_07G017022</t>
  </si>
  <si>
    <t>4.76E-06</t>
  </si>
  <si>
    <t>3.00E-05</t>
  </si>
  <si>
    <t>NRAMP1</t>
  </si>
  <si>
    <t>Metal transporter Nramp1</t>
  </si>
  <si>
    <t>ko04142,ko04216,ko04978,ko05010,ko05012</t>
  </si>
  <si>
    <t>Lysosome|Ferroptosis|Mineral absorption|Alzheimer disease|Parkinson disease</t>
  </si>
  <si>
    <t>GO:0005886,GO:0015086,GO:0005381,GO:0005384,GO:0070574,GO:0055072,GO:0034755,GO:0055071,GO:0071421</t>
  </si>
  <si>
    <t>plasma membrane|cadmium ion transmembrane transporter activity|iron ion transmembrane transporter activity|manganese ion transmembrane transporter activity|cadmium ion transmembrane transport|iron ion homeostasis|iron ion transmembrane transport|manganese ion homeostasis|manganese ion transmembrane transport</t>
  </si>
  <si>
    <t>J2O13_07G017023</t>
  </si>
  <si>
    <t>CIPK25</t>
  </si>
  <si>
    <t>CBL-interacting serine/threonine-protein kinase 25</t>
  </si>
  <si>
    <t>GO:0005524,GO:0106310,GO:0004674,GO:0030007,GO:0050832,GO:0006468,GO:0001666,GO:0007165</t>
  </si>
  <si>
    <t>ATP binding|protein serine kinase activity|protein serine/threonine kinase activity|cellular potassium ion homeostasis|defense response to fungus|protein phosphorylation|response to hypoxia|signal transduction</t>
  </si>
  <si>
    <t>J2O13_07G017030</t>
  </si>
  <si>
    <t>1.51E-08</t>
  </si>
  <si>
    <t>PNSB1</t>
  </si>
  <si>
    <t>Photosynthetic NDH subunit of subcomplex B 1, chloroplastic</t>
  </si>
  <si>
    <t>GO:0009507,GO:0009534,GO:0009535,GO:0010598,GO:0005634,GO:0009773</t>
  </si>
  <si>
    <t>chloroplast|chloroplast thylakoid|chloroplast thylakoid membrane|NAD(P)H dehydrogenase complex (plastoquinone)|nucleus|photosynthetic electron transport in photosystem I</t>
  </si>
  <si>
    <t>J2O13_07G017036</t>
  </si>
  <si>
    <t>1.32E-14</t>
  </si>
  <si>
    <t>3.15E-13</t>
  </si>
  <si>
    <t>LPA3</t>
  </si>
  <si>
    <t>Protein LPA3</t>
  </si>
  <si>
    <t>GO:0009507,GO:0009570,GO:0005739</t>
  </si>
  <si>
    <t>chloroplast|chloroplast stroma|mitochondrion</t>
  </si>
  <si>
    <t>J2O13_07G017039</t>
  </si>
  <si>
    <t>1.64E-09</t>
  </si>
  <si>
    <t>At1g80870</t>
  </si>
  <si>
    <t>Putative receptor-like protein kinase At1g80870</t>
  </si>
  <si>
    <t>J2O13_07G017047</t>
  </si>
  <si>
    <t>HST</t>
  </si>
  <si>
    <t>Shikimate O-hydroxycinnamoyltransferase</t>
  </si>
  <si>
    <t>GO:0005737,GO:0016020,GO:0016747,GO:0047205,GO:0047172,GO:0010252,GO:0071555,GO:0009809,GO:0009963</t>
  </si>
  <si>
    <t>cytoplasm|membrane|acyltransferase activity, transferring groups other than amino-acyl groups|quinate O-hydroxycinnamoyltransferase activity|shikimate O-hydroxycinnamoyltransferase activity|auxin homeostasis|cell wall organization|lignin biosynthetic process|positive regulation of flavonoid biosynthetic process</t>
  </si>
  <si>
    <t>J2O13_07G017050</t>
  </si>
  <si>
    <t>HSP70</t>
  </si>
  <si>
    <t>Heat shock 70 kDa protein</t>
  </si>
  <si>
    <t>ko03040,ko04141,ko04010,ko04144,ko04612,ko04915,ko04213,ko05162,ko05134,ko05145,ko05020,ko05417</t>
  </si>
  <si>
    <t>Spliceosome|Protein processing in endoplasmic reticulum|MAPK signaling pathway|Endocytosis|Antigen processing and presentation|Estrogen signaling pathway|Longevity regulating pathway - multiple species|Measles|Legionellosis|Toxoplasmosis|Prion disease|Lipid and atherosclerosis</t>
  </si>
  <si>
    <t>GO:0005737,GO:0005524,GO:0016887,GO:0140662,GO:0031072,GO:0051787,GO:0044183,GO:0051082,GO:0034620,GO:0051085,GO:0042026</t>
  </si>
  <si>
    <t>cytoplasm|ATP binding|ATP hydrolysis activity|ATP-dependent protein folding chaperone|heat shock protein binding|misfolded protein binding|protein folding chaperone|unfolded protein binding|cellular response to unfolded protein|chaperone cofactor-dependent protein refolding|protein refolding</t>
  </si>
  <si>
    <t>J2O13_07G017054</t>
  </si>
  <si>
    <t>J2O13_07G017057</t>
  </si>
  <si>
    <t>J2O13_07G017060</t>
  </si>
  <si>
    <t>3.98E-13</t>
  </si>
  <si>
    <t>7.83E-12</t>
  </si>
  <si>
    <t>J2O13_07G017068</t>
  </si>
  <si>
    <t>4.73E-09</t>
  </si>
  <si>
    <t>5.16E-08</t>
  </si>
  <si>
    <t>INRPK1</t>
  </si>
  <si>
    <t>Receptor-like protein kinase</t>
  </si>
  <si>
    <t>GO:0005576,GO:0005886,GO:0005524,GO:0106310,GO:0004674,GO:0019199,GO:0050832,GO:0006468</t>
  </si>
  <si>
    <t>extracellular region|plasma membrane|ATP binding|protein serine kinase activity|protein serine/threonine kinase activity|transmembrane receptor protein kinase activity|defense response to fungus|protein phosphorylation</t>
  </si>
  <si>
    <t>J2O13_07G017079</t>
  </si>
  <si>
    <t>9.65E-06</t>
  </si>
  <si>
    <t>J2O13_07G017080</t>
  </si>
  <si>
    <t>9.97E-11</t>
  </si>
  <si>
    <t>RCA</t>
  </si>
  <si>
    <t>Ribulose bisphosphate carboxylase/oxygenase activase, chloroplastic</t>
  </si>
  <si>
    <t>J2O13_07G017085</t>
  </si>
  <si>
    <t>1.07E-07</t>
  </si>
  <si>
    <t>GRXS7</t>
  </si>
  <si>
    <t>Monothiol glutaredoxin-S7, chloroplastic</t>
  </si>
  <si>
    <t>GO:0009507,GO:0005759,GO:0051537,GO:0046872</t>
  </si>
  <si>
    <t>chloroplast|mitochondrial matrix|2 iron, 2 sulfur cluster binding|metal ion binding</t>
  </si>
  <si>
    <t>J2O13_07G017088</t>
  </si>
  <si>
    <t>1.27E-09</t>
  </si>
  <si>
    <t>PCMP-A6</t>
  </si>
  <si>
    <t>Pentatricopeptide repeat-containing protein At3g26630, chloroplastic</t>
  </si>
  <si>
    <t>GO:0009507,GO:0043231,GO:0003729,GO:0003723,GO:0009451</t>
  </si>
  <si>
    <t>chloroplast|intracellular membrane-bounded organelle|mRNA binding|RNA binding|RNA modification</t>
  </si>
  <si>
    <t>J2O13_07G017090</t>
  </si>
  <si>
    <t>J2O13_07G017091</t>
  </si>
  <si>
    <t>4.86E-42</t>
  </si>
  <si>
    <t>1.27E-39</t>
  </si>
  <si>
    <t>GAPA</t>
  </si>
  <si>
    <t>Glyceraldehyde-3-phosphate dehydrogenase A, chloroplastic</t>
  </si>
  <si>
    <t>J2O13_07G017103</t>
  </si>
  <si>
    <t>LTPG30</t>
  </si>
  <si>
    <t>Non-specific lipid transfer protein GPI-anchored 30</t>
  </si>
  <si>
    <t>GO:0005886,GO:0008289</t>
  </si>
  <si>
    <t>plasma membrane|lipid binding</t>
  </si>
  <si>
    <t>J2O13_07G017108</t>
  </si>
  <si>
    <t>1.01E-24</t>
  </si>
  <si>
    <t>6.75E-23</t>
  </si>
  <si>
    <t>NUDT12</t>
  </si>
  <si>
    <t>Nudix hydrolase 12, mitochondrial</t>
  </si>
  <si>
    <t>J2O13_07G017115</t>
  </si>
  <si>
    <t>CHS1</t>
  </si>
  <si>
    <t>Chalcone synthase 1</t>
  </si>
  <si>
    <t>ko00941,ko00960,ko04712</t>
  </si>
  <si>
    <t>Flavonoid biosynthesis|Tropane, piperidine and pyridine alkaloid biosynthesis|Circadian rhythm - plant</t>
  </si>
  <si>
    <t>GO:0102128,GO:0016210,GO:0009813</t>
  </si>
  <si>
    <t>chalcone synthase activity|naringenin-chalcone synthase activity|flavonoid biosynthetic process</t>
  </si>
  <si>
    <t>J2O13_07G017120</t>
  </si>
  <si>
    <t>5.85E-05</t>
  </si>
  <si>
    <t>J2O13_07G017124</t>
  </si>
  <si>
    <t>2.39E-10</t>
  </si>
  <si>
    <t>CCB1</t>
  </si>
  <si>
    <t>Protein COFACTOR ASSEMBLY OF COMPLEX C SUBUNIT B CCB1, chloroplastic</t>
  </si>
  <si>
    <t>GO:0009507,GO:0009535,GO:0005829,GO:0010190</t>
  </si>
  <si>
    <t>chloroplast|chloroplast thylakoid membrane|cytosol|cytochrome b6f complex assembly</t>
  </si>
  <si>
    <t>J2O13_07G017126</t>
  </si>
  <si>
    <t>5.98E-10</t>
  </si>
  <si>
    <t>7.45E-09</t>
  </si>
  <si>
    <t>J2O13_07G017130</t>
  </si>
  <si>
    <t>7.40E-08</t>
  </si>
  <si>
    <t>6.62E-07</t>
  </si>
  <si>
    <t>ACD6</t>
  </si>
  <si>
    <t>Protein ACCELERATED CELL DEATH 6</t>
  </si>
  <si>
    <t>GO:0005789,GO:0016020,GO:0005886,GO:0008219,GO:0071446,GO:0042742,GO:1900426,GO:1902290,GO:0016567,GO:1900150,GO:2000031,GO:0009617,GO:0050826,GO:0009416,GO:0009751,GO:0009615</t>
  </si>
  <si>
    <t>endoplasmic reticulum membrane|membrane|plasma membrane|cell death|cellular response to salicylic acid stimulus|defense response to bacterium|positive regulation of defense response to bacterium|positive regulation of defense response to oomycetes|protein ubiquitination|regulation of defense response to fungus|regulation of salicylic acid mediated signaling pathway|response to bacterium|response to freezing|response to light stimulus|response to salicylic acid|response to virus</t>
  </si>
  <si>
    <t>J2O13_07G017144</t>
  </si>
  <si>
    <t>NET3A</t>
  </si>
  <si>
    <t>Protein NETWORKED 3A</t>
  </si>
  <si>
    <t>GO:0005856,GO:0031965,GO:0005774,GO:0003779</t>
  </si>
  <si>
    <t>cytoskeleton|nuclear membrane|vacuolar membrane|actin binding</t>
  </si>
  <si>
    <t>J2O13_07G017155</t>
  </si>
  <si>
    <t>4.36E-06</t>
  </si>
  <si>
    <t>At5g13200</t>
  </si>
  <si>
    <t>GEM-like protein 5</t>
  </si>
  <si>
    <t>GO:0009536,GO:0009793,GO:0098755,GO:0010029,GO:0009845</t>
  </si>
  <si>
    <t>plastid|embryo development ending in seed dormancy|maintenance of seed dormancy by absisic acid|regulation of seed germination|seed germination</t>
  </si>
  <si>
    <t>J2O13_07G017163</t>
  </si>
  <si>
    <t>J2O13_07G017164</t>
  </si>
  <si>
    <t>2.42E-05</t>
  </si>
  <si>
    <t>PES2</t>
  </si>
  <si>
    <t>Phytyl ester synthase 2, chloroplastic</t>
  </si>
  <si>
    <t>GO:0009507,GO:0010287,GO:0004144,GO:0006995,GO:0033306,GO:0090693,GO:1904963,GO:0010866,GO:0019432</t>
  </si>
  <si>
    <t>chloroplast|plastoglobule|diacylglycerol O-acyltransferase activity|cellular response to nitrogen starvation|phytol metabolic process|plant organ senescence|regulation of phytol biosynthetic process|regulation of triglyceride biosynthetic process|triglyceride biosynthetic process</t>
  </si>
  <si>
    <t>J2O13_07G017171</t>
  </si>
  <si>
    <t>6.45E-11</t>
  </si>
  <si>
    <t>9.26E-10</t>
  </si>
  <si>
    <t>J2O13_07G017174</t>
  </si>
  <si>
    <t>DRB3</t>
  </si>
  <si>
    <t>Double-stranded RNA-binding protein 3</t>
  </si>
  <si>
    <t>GO:0003725</t>
  </si>
  <si>
    <t>double-stranded RNA binding</t>
  </si>
  <si>
    <t>J2O13_07G017177</t>
  </si>
  <si>
    <t>J2O13_07G017179</t>
  </si>
  <si>
    <t>GRXC3</t>
  </si>
  <si>
    <t>Glutaredoxin-C3</t>
  </si>
  <si>
    <t>GO:0005737,GO:0005634</t>
  </si>
  <si>
    <t>cytoplasm|nucleus</t>
  </si>
  <si>
    <t>J2O13_07G017182</t>
  </si>
  <si>
    <t>J2O13_07G017187</t>
  </si>
  <si>
    <t>8.43E-06</t>
  </si>
  <si>
    <t>TCP20</t>
  </si>
  <si>
    <t>Transcription factor TCP20</t>
  </si>
  <si>
    <t>GO:0005634,GO:0000987,GO:0003677,GO:0003700,GO:0043565,GO:0000976,GO:0009653,GO:1900056,GO:0008361</t>
  </si>
  <si>
    <t>nucleus|cis-regulatory region sequence-specific DNA binding|DNA binding|DNA-binding transcription factor activity|sequence-specific DNA binding|transcription cis-regulatory region binding|anatomical structure morphogenesis|negative regulation of leaf senescence|regulation of cell size</t>
  </si>
  <si>
    <t>J2O13_07G017198</t>
  </si>
  <si>
    <t>2.65E-08</t>
  </si>
  <si>
    <t>2.57E-07</t>
  </si>
  <si>
    <t>PCBER</t>
  </si>
  <si>
    <t>Phenylcoumaran benzylic ether reductase POP1</t>
  </si>
  <si>
    <t>GO:0050664,GO:0009807</t>
  </si>
  <si>
    <t>oxidoreductase activity, acting on NAD(P)H, oxygen as acceptor|lignan biosynthetic process</t>
  </si>
  <si>
    <t>J2O13_07G017202</t>
  </si>
  <si>
    <t>1.58E-08</t>
  </si>
  <si>
    <t>APL3</t>
  </si>
  <si>
    <t>Glucose-1-phosphate adenylyltransferase large subunit 3, chloroplastic</t>
  </si>
  <si>
    <t>GO:0009507,GO:0005524,GO:0008878,GO:0005978,GO:0019252</t>
  </si>
  <si>
    <t>chloroplast|ATP binding|glucose-1-phosphate adenylyltransferase activity|glycogen biosynthetic process|starch biosynthetic process</t>
  </si>
  <si>
    <t>J2O13_07G017220</t>
  </si>
  <si>
    <t>1.14E-11</t>
  </si>
  <si>
    <t>1.82E-10</t>
  </si>
  <si>
    <t>SFH3</t>
  </si>
  <si>
    <t>Phosphatidylinositol/phosphatidylcholine transfer protein SFH3</t>
  </si>
  <si>
    <t>GO:0000139,GO:0005886,GO:0009908,GO:0015031</t>
  </si>
  <si>
    <t>Golgi membrane|plasma membrane|flower development|protein transport</t>
  </si>
  <si>
    <t>J2O13_07G017240</t>
  </si>
  <si>
    <t>PAP2</t>
  </si>
  <si>
    <t>Purple acid phosphatase 2</t>
  </si>
  <si>
    <t>GO:0005576,GO:0003993,GO:0046872</t>
  </si>
  <si>
    <t>extracellular region|acid phosphatase activity|metal ion binding</t>
  </si>
  <si>
    <t>J2O13_07G017249</t>
  </si>
  <si>
    <t>BBX21</t>
  </si>
  <si>
    <t>B-box zinc finger protein 21</t>
  </si>
  <si>
    <t>GO:0005634,GO:0003700,GO:0000976,GO:0008270,GO:0009640,GO:0010117,GO:1905157,GO:0006355,GO:0009641</t>
  </si>
  <si>
    <t>nucleus|DNA-binding transcription factor activity|transcription cis-regulatory region binding|zinc ion binding|photomorphogenesis|photoprotection|positive regulation of photosynthesis|regulation of DNA-templated transcription|shade avoidance</t>
  </si>
  <si>
    <t>J2O13_07G017251</t>
  </si>
  <si>
    <t>7.65E-16</t>
  </si>
  <si>
    <t>XK1</t>
  </si>
  <si>
    <t>D-ribulose kinase</t>
  </si>
  <si>
    <t>GO:0009507,GO:0005737,GO:0005829,GO:0009536,GO:0005524,GO:0019150,GO:0016773</t>
  </si>
  <si>
    <t>chloroplast|cytoplasm|cytosol|plastid|ATP binding|D-ribulokinase activity|phosphotransferase activity, alcohol group as acceptor</t>
  </si>
  <si>
    <t>J2O13_07G017255</t>
  </si>
  <si>
    <t>5.11E-05</t>
  </si>
  <si>
    <t>J2O13_07G017262</t>
  </si>
  <si>
    <t>SBT3.9</t>
  </si>
  <si>
    <t>Subtilisin-like protease SBT3.9</t>
  </si>
  <si>
    <t>GO:0005615,GO:0004252,GO:0006508</t>
  </si>
  <si>
    <t>extracellular space|serine-type endopeptidase activity|proteolysis</t>
  </si>
  <si>
    <t>J2O13_07G017269</t>
  </si>
  <si>
    <t>1.15E-57</t>
  </si>
  <si>
    <t>9.76E-55</t>
  </si>
  <si>
    <t>FBA2</t>
  </si>
  <si>
    <t>Fructose-bisphosphate aldolase 2, chloroplastic</t>
  </si>
  <si>
    <t>GO:0048046,GO:0009507,GO:0009941,GO:0009570,GO:0005829,GO:0005886,GO:0010287,GO:0009579,GO:0004332,GO:0003729,GO:0030388,GO:0006094,GO:0006096,GO:0009737</t>
  </si>
  <si>
    <t>apoplast|chloroplast|chloroplast envelope|chloroplast stroma|cytosol|plasma membrane|plastoglobule|thylakoid|fructose-bisphosphate aldolase activity|mRNA binding|fructose 1,6-bisphosphate metabolic process|gluconeogenesis|glycolytic process|response to abscisic acid</t>
  </si>
  <si>
    <t>J2O13_07G017277</t>
  </si>
  <si>
    <t>1.23E-13</t>
  </si>
  <si>
    <t>2.58E-12</t>
  </si>
  <si>
    <t>GC1</t>
  </si>
  <si>
    <t>Epimerase family protein SDR39U1 homolog, chloroplastic</t>
  </si>
  <si>
    <t>GO:0009507,GO:0009941,GO:0009706,GO:0009536,GO:0016491,GO:0042803,GO:0010020</t>
  </si>
  <si>
    <t>chloroplast|chloroplast envelope|chloroplast inner membrane|plastid|oxidoreductase activity|protein homodimerization activity|chloroplast fission</t>
  </si>
  <si>
    <t>J2O13_07G017280</t>
  </si>
  <si>
    <t>2.33E-22</t>
  </si>
  <si>
    <t>J2O13_07G017288</t>
  </si>
  <si>
    <t>ASE1</t>
  </si>
  <si>
    <t>Amidophosphoribosyltransferase 1, chloroplastic</t>
  </si>
  <si>
    <t>ko00230,ko00250</t>
  </si>
  <si>
    <t>Purine metabolism|Alanine, aspartate and glutamate metabolism</t>
  </si>
  <si>
    <t>GO:0009570,GO:0005737,GO:0009505,GO:0009536,GO:0009532,GO:0004044,GO:0051536,GO:0046872,GO:0006189,GO:0006541,GO:0009113,GO:0006164</t>
  </si>
  <si>
    <t>chloroplast stroma|cytoplasm|plant-type cell wall|plastid|plastid stroma|amidophosphoribosyltransferase activity|iron-sulfur cluster binding|metal ion binding|'de novo' IMP biosynthetic process|glutamine metabolic process|purine nucleobase biosynthetic process|purine nucleotide biosynthetic process</t>
  </si>
  <si>
    <t>J2O13_07G017309</t>
  </si>
  <si>
    <t>J2O13_07G017319</t>
  </si>
  <si>
    <t>2.25E-10</t>
  </si>
  <si>
    <t>2.98E-09</t>
  </si>
  <si>
    <t>J2O13_07G017323</t>
  </si>
  <si>
    <t>5.86E-22</t>
  </si>
  <si>
    <t>3.09E-20</t>
  </si>
  <si>
    <t>NAD(P)H:quinone oxidoreductase OS=Solanum tuberosum OX=4113 PE=2 SV=1</t>
  </si>
  <si>
    <t>GO:0005829,GO:0010181,GO:0050136,GO:0008753</t>
  </si>
  <si>
    <t>cytosol|FMN binding|NADH dehydrogenase (quinone) activity|NADPH dehydrogenase (quinone) activity</t>
  </si>
  <si>
    <t>J2O13_07G017325</t>
  </si>
  <si>
    <t>3.44E-05</t>
  </si>
  <si>
    <t>SRS6</t>
  </si>
  <si>
    <t>Protein SHI RELATED SEQUENCE 6</t>
  </si>
  <si>
    <t>GO:0005634,GO:0003677,GO:0003700,GO:0046872,GO:0009851,GO:0009734,GO:0045893</t>
  </si>
  <si>
    <t>nucleus|DNA binding|DNA-binding transcription factor activity|metal ion binding|auxin biosynthetic process|auxin-activated signaling pathway|positive regulation of DNA-templated transcription</t>
  </si>
  <si>
    <t>J2O13_07G017326</t>
  </si>
  <si>
    <t>2.14E-12</t>
  </si>
  <si>
    <t>3.83E-11</t>
  </si>
  <si>
    <t>J2O13_07G017328</t>
  </si>
  <si>
    <t>J2O13_07G017332</t>
  </si>
  <si>
    <t>6.54E-05</t>
  </si>
  <si>
    <t>NPF5.4</t>
  </si>
  <si>
    <t>Protein NRT1/ PTR FAMILY 5.4</t>
  </si>
  <si>
    <t>GO:0016020,GO:0071916,GO:0022857,GO:0042937,GO:0055085</t>
  </si>
  <si>
    <t>membrane|dipeptide transmembrane transporter activity|transmembrane transporter activity|tripeptide transmembrane transporter activity|transmembrane transport</t>
  </si>
  <si>
    <t>J2O13_07G017333</t>
  </si>
  <si>
    <t>7OMT</t>
  </si>
  <si>
    <t>(R,S)-reticuline 7-O-methyltransferase</t>
  </si>
  <si>
    <t>GO:0102918,GO:0102917,GO:0042802,GO:0008171,GO:0046983,GO:0009821,GO:0032259</t>
  </si>
  <si>
    <t>(R)-reticuline 7-O-methyltransferase activity|(S)-reticuline 7-O-methyltransferase activity|identical protein binding|O-methyltransferase activity|protein dimerization activity|alkaloid biosynthetic process|methylation</t>
  </si>
  <si>
    <t>J2O13_07G017342</t>
  </si>
  <si>
    <t>9.08E-05</t>
  </si>
  <si>
    <t>J2O13_07G017345</t>
  </si>
  <si>
    <t>9.74E-16</t>
  </si>
  <si>
    <t>RPPL1</t>
  </si>
  <si>
    <t>Putative disease resistance RPP13-like protein 1</t>
  </si>
  <si>
    <t>GO:0043531,GO:0005524,GO:0006952,GO:0051707</t>
  </si>
  <si>
    <t>ADP binding|ATP binding|defense response|response to other organism</t>
  </si>
  <si>
    <t>J2O13_07G017353</t>
  </si>
  <si>
    <t>Annexin-like protein RJ4 OS=Fragaria ananassa OX=3747 PE=2 SV=2</t>
  </si>
  <si>
    <t>GO:0005509,GO:0005544,GO:0006950</t>
  </si>
  <si>
    <t>calcium ion binding|calcium-dependent phospholipid binding|response to stress</t>
  </si>
  <si>
    <t>J2O13_07G017354</t>
  </si>
  <si>
    <t>ANN4</t>
  </si>
  <si>
    <t>Annexin D4</t>
  </si>
  <si>
    <t>GO:0005737,GO:0005794,GO:0009506,GO:0005509,GO:0005544,GO:0003729,GO:0009737,GO:0009409,GO:0009408,GO:0006970,GO:0009651,GO:0009414</t>
  </si>
  <si>
    <t>cytoplasm|Golgi apparatus|plasmodesma|calcium ion binding|calcium-dependent phospholipid binding|mRNA binding|response to abscisic acid|response to cold|response to heat|response to osmotic stress|response to salt stress|response to water deprivation</t>
  </si>
  <si>
    <t>J2O13_07G017355</t>
  </si>
  <si>
    <t>ANN3</t>
  </si>
  <si>
    <t>Annexin D3</t>
  </si>
  <si>
    <t>GO:0005737,GO:0000325,GO:0005509,GO:0005544,GO:0009409,GO:0009408,GO:0009651,GO:0009414</t>
  </si>
  <si>
    <t>cytoplasm|plant-type vacuole|calcium ion binding|calcium-dependent phospholipid binding|response to cold|response to heat|response to salt stress|response to water deprivation</t>
  </si>
  <si>
    <t>J2O13_07G017360</t>
  </si>
  <si>
    <t>5.36E-05</t>
  </si>
  <si>
    <t>BDH2</t>
  </si>
  <si>
    <t>(+)-borneol dehydrogenase 2</t>
  </si>
  <si>
    <t>GO:0016616,GO:0046211</t>
  </si>
  <si>
    <t>oxidoreductase activity, acting on the CH-OH group of donors, NAD or NADP as acceptor|(+)-camphor biosynthetic process</t>
  </si>
  <si>
    <t>J2O13_07G017373</t>
  </si>
  <si>
    <t>2.41E-17</t>
  </si>
  <si>
    <t>IQD11</t>
  </si>
  <si>
    <t>Protein IQ-DOMAIN 11</t>
  </si>
  <si>
    <t>GO:0005737,GO:0005856,GO:0005634,GO:0005516</t>
  </si>
  <si>
    <t>cytoplasm|cytoskeleton|nucleus|calmodulin binding</t>
  </si>
  <si>
    <t>J2O13_07G017378</t>
  </si>
  <si>
    <t>1.34E-29</t>
  </si>
  <si>
    <t>1.44E-27</t>
  </si>
  <si>
    <t>At5g08350</t>
  </si>
  <si>
    <t>GEM-like protein 4</t>
  </si>
  <si>
    <t>J2O13_07G017380</t>
  </si>
  <si>
    <t>5.75E-06</t>
  </si>
  <si>
    <t>3.57E-05</t>
  </si>
  <si>
    <t>J2O13_07G017381</t>
  </si>
  <si>
    <t>3.06E-08</t>
  </si>
  <si>
    <t>2.93E-07</t>
  </si>
  <si>
    <t>J2O13_07G017407</t>
  </si>
  <si>
    <t>FTRA1</t>
  </si>
  <si>
    <t>Ferredoxin-thioredoxin reductase subunit A1, chloroplastic</t>
  </si>
  <si>
    <t>GO:0009507,GO:0016491,GO:0015979</t>
  </si>
  <si>
    <t>chloroplast|oxidoreductase activity|photosynthesis</t>
  </si>
  <si>
    <t>J2O13_08G017411</t>
  </si>
  <si>
    <t>J2O13_08G017413</t>
  </si>
  <si>
    <t>1.86E-05</t>
  </si>
  <si>
    <t>GA2OX6</t>
  </si>
  <si>
    <t>Gibberellin 2-beta-dioxygenase 6</t>
  </si>
  <si>
    <t>GO:0005737,GO:0005634,GO:0052634,GO:0051213,GO:0045543,GO:0046872,GO:0010336,GO:0045487</t>
  </si>
  <si>
    <t>cytoplasm|nucleus|C-19 gibberellin 2-beta-dioxygenase activity|dioxygenase activity|gibberellin 2-beta-dioxygenase activity|metal ion binding|gibberellic acid homeostasis|gibberellin catabolic process</t>
  </si>
  <si>
    <t>J2O13_08G017422</t>
  </si>
  <si>
    <t>J2O13_08G017428</t>
  </si>
  <si>
    <t>3.60E-09</t>
  </si>
  <si>
    <t>4.00E-08</t>
  </si>
  <si>
    <t>MAA3</t>
  </si>
  <si>
    <t>Probable helicase MAGATAMA 3</t>
  </si>
  <si>
    <t>GO:0005634,GO:0005524,GO:0004386,GO:0016787,GO:0003723,GO:0009553,GO:0010183,GO:0009875</t>
  </si>
  <si>
    <t>nucleus|ATP binding|helicase activity|hydrolase activity|RNA binding|embryo sac development|pollen tube guidance|pollen-pistil interaction</t>
  </si>
  <si>
    <t>J2O13_08G017437</t>
  </si>
  <si>
    <t>KRP7</t>
  </si>
  <si>
    <t>Cyclin-dependent kinase inhibitor 7</t>
  </si>
  <si>
    <t>GO:0001673,GO:0005654,GO:0004861,GO:0007049,GO:0045736</t>
  </si>
  <si>
    <t>male germ cell nucleus|nucleoplasm|cyclin-dependent protein serine/threonine kinase inhibitor activity|cell cycle|negative regulation of cyclin-dependent protein serine/threonine kinase activity</t>
  </si>
  <si>
    <t>J2O13_08G017454</t>
  </si>
  <si>
    <t>CYP707A4</t>
  </si>
  <si>
    <t>Abscisic acid 8'-hydroxylase 4</t>
  </si>
  <si>
    <t>GO:0016020,GO:0010295,GO:0020037,GO:0005506,GO:0004497,GO:0016491,GO:0046345,GO:0016125</t>
  </si>
  <si>
    <t>membrane|(+)-abscisic acid 8'-hydroxylase activity|heme binding|iron ion binding|monooxygenase activity|oxidoreductase activity|abscisic acid catabolic process|sterol metabolic process</t>
  </si>
  <si>
    <t>J2O13_08G017455</t>
  </si>
  <si>
    <t>1.33E-08</t>
  </si>
  <si>
    <t>NIR1</t>
  </si>
  <si>
    <t>Ferredoxin--nitrite reductase, chloroplastic</t>
  </si>
  <si>
    <t>GO:0009507,GO:0051539,GO:0048307,GO:0020037,GO:0046872,GO:0042128</t>
  </si>
  <si>
    <t>chloroplast|4 iron, 4 sulfur cluster binding|ferredoxin-nitrite reductase activity|heme binding|metal ion binding|nitrate assimilation</t>
  </si>
  <si>
    <t>J2O13_08G017457</t>
  </si>
  <si>
    <t>COR27</t>
  </si>
  <si>
    <t>Cold-regulated protein 27</t>
  </si>
  <si>
    <t>GO:0005634,GO:0045892,GO:0042752,GO:2000028,GO:0009737,GO:0009646,GO:0009637,GO:0009409,GO:0010114,GO:0009615,GO:0048511,GO:0010228</t>
  </si>
  <si>
    <t>nucleus|negative regulation of DNA-templated transcription|regulation of circadian rhythm|regulation of photoperiodism, flowering|response to abscisic acid|response to absence of light|response to blue light|response to cold|response to red light|response to virus|rhythmic process|vegetative to reproductive phase transition of meristem</t>
  </si>
  <si>
    <t>J2O13_08G017459</t>
  </si>
  <si>
    <t>7.20E-05</t>
  </si>
  <si>
    <t>RACK1B</t>
  </si>
  <si>
    <t>Guanine nucleotide-binding protein subunit beta-like protein B</t>
  </si>
  <si>
    <t>GO:0005829,GO:0005634,GO:1990904,GO:0005840,GO:0005080,GO:0043022,GO:0045182,GO:0001934,GO:0072344,GO:0007165</t>
  </si>
  <si>
    <t>cytosol|nucleus|ribonucleoprotein complex|ribosome|protein kinase C binding|ribosome binding|translation regulator activity|positive regulation of protein phosphorylation|rescue of stalled ribosome|signal transduction</t>
  </si>
  <si>
    <t>J2O13_08G017467</t>
  </si>
  <si>
    <t>At1g49730</t>
  </si>
  <si>
    <t>Probable receptor-like protein kinase At1g49730</t>
  </si>
  <si>
    <t>J2O13_08G017468</t>
  </si>
  <si>
    <t>J2O13_08G017476</t>
  </si>
  <si>
    <t>RPS16</t>
  </si>
  <si>
    <t>40S ribosomal protein S16</t>
  </si>
  <si>
    <t>GO:0005737,GO:1990904,GO:0005840,GO:0003735,GO:0006412</t>
  </si>
  <si>
    <t>cytoplasm|ribonucleoprotein complex|ribosome|structural constituent of ribosome|translation</t>
  </si>
  <si>
    <t>J2O13_08G017480</t>
  </si>
  <si>
    <t>7.65E-18</t>
  </si>
  <si>
    <t>PAB</t>
  </si>
  <si>
    <t>Protein IN CHLOROPLAST ATPASE BIOGENESIS, chloroplastic</t>
  </si>
  <si>
    <t>GO:0009570,GO:0033614</t>
  </si>
  <si>
    <t>chloroplast stroma|chloroplast proton-transporting ATP synthase complex assembly</t>
  </si>
  <si>
    <t>J2O13_08G017488</t>
  </si>
  <si>
    <t>2.67E-31</t>
  </si>
  <si>
    <t>TOGT1</t>
  </si>
  <si>
    <t>Scopoletin glucosyltransferase</t>
  </si>
  <si>
    <t>GO:0042802,GO:0050275</t>
  </si>
  <si>
    <t>identical protein binding|scopoletin glucosyltransferase activity</t>
  </si>
  <si>
    <t>J2O13_08G017489</t>
  </si>
  <si>
    <t>J2O13_08G017490</t>
  </si>
  <si>
    <t>J2O13_08G017493</t>
  </si>
  <si>
    <t>J2O13_08G017494</t>
  </si>
  <si>
    <t>IRX15-L</t>
  </si>
  <si>
    <t>Protein IRX15-LIKE</t>
  </si>
  <si>
    <t>GO:0005794,GO:0000139,GO:0009834,GO:0045492</t>
  </si>
  <si>
    <t>Golgi apparatus|Golgi membrane|plant-type secondary cell wall biogenesis|xylan biosynthetic process</t>
  </si>
  <si>
    <t>J2O13_08G017499</t>
  </si>
  <si>
    <t>7.33E-11</t>
  </si>
  <si>
    <t>MUCUNAIN</t>
  </si>
  <si>
    <t>Cysteine proteinase mucunain (Fragment)</t>
  </si>
  <si>
    <t>GO:0005773,GO:0008234,GO:0031871,GO:0006508</t>
  </si>
  <si>
    <t>vacuole|cysteine-type peptidase activity|proteinase activated receptor binding|proteolysis</t>
  </si>
  <si>
    <t>J2O13_08G017503</t>
  </si>
  <si>
    <t>CYCD3-1</t>
  </si>
  <si>
    <t>Cyclin-D3-1</t>
  </si>
  <si>
    <t>GO:0000307,GO:0005737,GO:0005634,GO:0016538,GO:0051301,GO:0000082,GO:0010444,GO:0044772,GO:0000079,GO:0009735,GO:0009744,GO:0048316</t>
  </si>
  <si>
    <t>cyclin-dependent protein kinase holoenzyme complex|cytoplasm|nucleus|cyclin-dependent protein serine/threonine kinase regulator activity|cell division|G1/S transition of mitotic cell cycle|guard mother cell differentiation|mitotic cell cycle phase transition|regulation of cyclin-dependent protein serine/threonine kinase activity|response to cytokinin|response to sucrose|seed development</t>
  </si>
  <si>
    <t>J2O13_08G017509</t>
  </si>
  <si>
    <t>CYCLASE1</t>
  </si>
  <si>
    <t>Cyclase-like protein 1</t>
  </si>
  <si>
    <t>GO:0005783,GO:0005576,GO:0005794,GO:0005886,GO:0099503,GO:0004061,GO:0006952,GO:0043069,GO:0019441</t>
  </si>
  <si>
    <t>endoplasmic reticulum|extracellular region|Golgi apparatus|plasma membrane|secretory vesicle|arylformamidase activity|defense response|negative regulation of programmed cell death|tryptophan catabolic process to kynurenine</t>
  </si>
  <si>
    <t>J2O13_08G017511</t>
  </si>
  <si>
    <t>9.12E-14</t>
  </si>
  <si>
    <t>ARF1</t>
  </si>
  <si>
    <t>ADP-ribosylation factor 1</t>
  </si>
  <si>
    <t>ko04072,ko04144,ko05110,ko05130,ko05132,ko05131,ko05134</t>
  </si>
  <si>
    <t>Phospholipase D signaling pathway|Endocytosis|Vibrio cholerae infection|Pathogenic Escherichia coli infection|Salmonella infection|Shigellosis|Legionellosis</t>
  </si>
  <si>
    <t>GO:0005794,GO:0005525,GO:0003924,GO:0015031,GO:0016192</t>
  </si>
  <si>
    <t>Golgi apparatus|GTP binding|GTPase activity|protein transport|vesicle-mediated transport</t>
  </si>
  <si>
    <t>J2O13_08G017518</t>
  </si>
  <si>
    <t>4.50E-08</t>
  </si>
  <si>
    <t>4.18E-07</t>
  </si>
  <si>
    <t>RPL10</t>
  </si>
  <si>
    <t>50S ribosomal protein L10, chloroplastic</t>
  </si>
  <si>
    <t>GO:0009507,GO:0009941,GO:0009570,GO:0022626,GO:0015934,GO:0009536,GO:0019843,GO:0003735,GO:0006412</t>
  </si>
  <si>
    <t>chloroplast|chloroplast envelope|chloroplast stroma|cytosolic ribosome|large ribosomal subunit|plastid|rRNA binding|structural constituent of ribosome|translation</t>
  </si>
  <si>
    <t>J2O13_08G017524</t>
  </si>
  <si>
    <t>CAD14</t>
  </si>
  <si>
    <t>Probable cinnamyl alcohol dehydrogenase 1</t>
  </si>
  <si>
    <t>J2O13_08G017532</t>
  </si>
  <si>
    <t>7.44E-05</t>
  </si>
  <si>
    <t>Basic secretory protease (Fragments) OS=Boswellia serrata OX=613112 PE=1 SV=1</t>
  </si>
  <si>
    <t>GO:0046872,GO:0008237,GO:0006508</t>
  </si>
  <si>
    <t>metal ion binding|metallopeptidase activity|proteolysis</t>
  </si>
  <si>
    <t>J2O13_08G017555</t>
  </si>
  <si>
    <t>4.38E-09</t>
  </si>
  <si>
    <t>4.80E-08</t>
  </si>
  <si>
    <t>GH3.1</t>
  </si>
  <si>
    <t>Probable indole-3-acetic acid-amido synthetase GH3.1</t>
  </si>
  <si>
    <t>GO:0005737,GO:0016881,GO:0009733</t>
  </si>
  <si>
    <t>cytoplasm|acid-amino acid ligase activity|response to auxin</t>
  </si>
  <si>
    <t>J2O13_08G017585</t>
  </si>
  <si>
    <t>AZF2</t>
  </si>
  <si>
    <t>Zinc finger protein AZF2</t>
  </si>
  <si>
    <t>GO:0005634,GO:0003677,GO:0003700,GO:0046872,GO:0043565,GO:0000976,GO:0009738,GO:0009793,GO:0042538,GO:0045892,GO:0009737,GO:0009414</t>
  </si>
  <si>
    <t>nucleus|DNA binding|DNA-binding transcription factor activity|metal ion binding|sequence-specific DNA binding|transcription cis-regulatory region binding|abscisic acid-activated signaling pathway|embryo development ending in seed dormancy|hyperosmotic salinity response|negative regulation of DNA-templated transcription|response to abscisic acid|response to water deprivation</t>
  </si>
  <si>
    <t>J2O13_08G017594</t>
  </si>
  <si>
    <t>J2O13_08G017618</t>
  </si>
  <si>
    <t>8.23E-12</t>
  </si>
  <si>
    <t>J2O13_08G017622</t>
  </si>
  <si>
    <t>NAT4</t>
  </si>
  <si>
    <t>Nucleobase-ascorbate transporter 4</t>
  </si>
  <si>
    <t>J2O13_08G017624</t>
  </si>
  <si>
    <t>9.28E-06</t>
  </si>
  <si>
    <t>CYCD1-1</t>
  </si>
  <si>
    <t>Cyclin-D1-1</t>
  </si>
  <si>
    <t>GO:0000307,GO:0005737,GO:0005634,GO:0016538,GO:0051301,GO:0044772,GO:0000079</t>
  </si>
  <si>
    <t>cyclin-dependent protein kinase holoenzyme complex|cytoplasm|nucleus|cyclin-dependent protein serine/threonine kinase regulator activity|cell division|mitotic cell cycle phase transition|regulation of cyclin-dependent protein serine/threonine kinase activity</t>
  </si>
  <si>
    <t>J2O13_08G017628</t>
  </si>
  <si>
    <t>J2O13_08G017630</t>
  </si>
  <si>
    <t>J2O13_08G017641</t>
  </si>
  <si>
    <t>2.74E-20</t>
  </si>
  <si>
    <t>1.24E-18</t>
  </si>
  <si>
    <t>J2O13_08G017650</t>
  </si>
  <si>
    <t>7.08E-06</t>
  </si>
  <si>
    <t>4.31E-05</t>
  </si>
  <si>
    <t>J2O13_08G017651</t>
  </si>
  <si>
    <t>EGY3</t>
  </si>
  <si>
    <t>Probable zinc metallopeptidase EGY3, chloroplastic</t>
  </si>
  <si>
    <t>GO:0031969,GO:0008237,GO:0006508,GO:0009651</t>
  </si>
  <si>
    <t>chloroplast membrane|metallopeptidase activity|proteolysis|response to salt stress</t>
  </si>
  <si>
    <t>J2O13_08G017660</t>
  </si>
  <si>
    <t>1.57E-10</t>
  </si>
  <si>
    <t>2.11E-09</t>
  </si>
  <si>
    <t>J2O13_08G017661</t>
  </si>
  <si>
    <t>1.50E-13</t>
  </si>
  <si>
    <t>3.10E-12</t>
  </si>
  <si>
    <t>J2O13_08G017662</t>
  </si>
  <si>
    <t>J2O13_08G017673</t>
  </si>
  <si>
    <t>J2O13_08G017700</t>
  </si>
  <si>
    <t>HKT13</t>
  </si>
  <si>
    <t>Cation transporter HKT1;3</t>
  </si>
  <si>
    <t>GO:0005789,GO:0000139,GO:0005886,GO:0008324,GO:0015081,GO:0006813,GO:0035725</t>
  </si>
  <si>
    <t>endoplasmic reticulum membrane|Golgi membrane|plasma membrane|cation transmembrane transporter activity|sodium ion transmembrane transporter activity|potassium ion transport|sodium ion transmembrane transport</t>
  </si>
  <si>
    <t>J2O13_08G017704</t>
  </si>
  <si>
    <t>8.75E-09</t>
  </si>
  <si>
    <t>Malate dehydrogenase, glyoxysomal OS=Citrullus lanatus OX=3654 PE=1 SV=1</t>
  </si>
  <si>
    <t>GO:0009514,GO:0030060,GO:0006097,GO:0006108,GO:0006099</t>
  </si>
  <si>
    <t>glyoxysome|L-malate dehydrogenase activity|glyoxylate cycle|malate metabolic process|tricarboxylic acid cycle</t>
  </si>
  <si>
    <t>J2O13_08G017706</t>
  </si>
  <si>
    <t>BHLH25</t>
  </si>
  <si>
    <t>Transcription factor bHLH25</t>
  </si>
  <si>
    <t>J2O13_08G017715</t>
  </si>
  <si>
    <t>KEA3</t>
  </si>
  <si>
    <t>K(+) efflux antiporter 3, chloroplastic</t>
  </si>
  <si>
    <t>GO:0009507,GO:0031969,GO:0009535,GO:0000139,GO:0016020,GO:0042651,GO:0015299,GO:0019722,GO:0009658,GO:0010196,GO:0009643,GO:1905157,GO:0006813,GO:1900069,GO:0010109,GO:0009644</t>
  </si>
  <si>
    <t>chloroplast|chloroplast membrane|chloroplast thylakoid membrane|Golgi membrane|membrane|thylakoid membrane|solute:proton antiporter activity|calcium-mediated signaling|chloroplast organization|nonphotochemical quenching|photosynthetic acclimation|positive regulation of photosynthesis|potassium ion transport|regulation of cellular hyperosmotic salinity response|regulation of photosynthesis|response to high light intensity</t>
  </si>
  <si>
    <t>J2O13_08G017730</t>
  </si>
  <si>
    <t>7.96E-19</t>
  </si>
  <si>
    <t>3.11E-17</t>
  </si>
  <si>
    <t>LIP1P</t>
  </si>
  <si>
    <t>Lipoyl synthase, chloroplastic</t>
  </si>
  <si>
    <t>ko00785</t>
  </si>
  <si>
    <t>Lipoic acid metabolism</t>
  </si>
  <si>
    <t>GO:0009507,GO:0005739,GO:0051539,GO:0016992,GO:0046872,GO:0009107,GO:0009249</t>
  </si>
  <si>
    <t>chloroplast|mitochondrion|4 iron, 4 sulfur cluster binding|lipoate synthase activity|metal ion binding|lipoate biosynthetic process|protein lipoylation</t>
  </si>
  <si>
    <t>J2O13_08G017761</t>
  </si>
  <si>
    <t>5.61E-37</t>
  </si>
  <si>
    <t>1.05E-34</t>
  </si>
  <si>
    <t>OsI_012692</t>
  </si>
  <si>
    <t>Costars family protein</t>
  </si>
  <si>
    <t>J2O13_08G017772</t>
  </si>
  <si>
    <t>6.45E-33</t>
  </si>
  <si>
    <t>9.05E-31</t>
  </si>
  <si>
    <t>At5g09550</t>
  </si>
  <si>
    <t>Guanosine nucleotide diphosphate dissociation inhibitor At5g09550</t>
  </si>
  <si>
    <t>GO:0048046,GO:0005737,GO:0005096,GO:0005093,GO:0015031,GO:0007264,GO:0016192</t>
  </si>
  <si>
    <t>apoplast|cytoplasm|GTPase activator activity|Rab GDP-dissociation inhibitor activity|protein transport|small GTPase mediated signal transduction|vesicle-mediated transport</t>
  </si>
  <si>
    <t>J2O13_08G017773</t>
  </si>
  <si>
    <t>7.56E-10</t>
  </si>
  <si>
    <t>9.26E-09</t>
  </si>
  <si>
    <t>J2O13_08G017777</t>
  </si>
  <si>
    <t>J2O13_08G017778</t>
  </si>
  <si>
    <t>ATJ39</t>
  </si>
  <si>
    <t>Chaperone protein dnaJ 39</t>
  </si>
  <si>
    <t>J2O13_08G017779</t>
  </si>
  <si>
    <t>J2O13_08G017792</t>
  </si>
  <si>
    <t>3.99E-26</t>
  </si>
  <si>
    <t>3.13E-24</t>
  </si>
  <si>
    <t>J2O13_08G017794</t>
  </si>
  <si>
    <t>J2O13_08G017807</t>
  </si>
  <si>
    <t>7.24E-06</t>
  </si>
  <si>
    <t>J2O13_08G017809</t>
  </si>
  <si>
    <t>8.88E-05</t>
  </si>
  <si>
    <t>J2O13_08G017810</t>
  </si>
  <si>
    <t>8.17E-05</t>
  </si>
  <si>
    <t>J2O13_08G017811</t>
  </si>
  <si>
    <t>J2O13_08G017820</t>
  </si>
  <si>
    <t>J2O13_08G017823</t>
  </si>
  <si>
    <t>1.61E-06</t>
  </si>
  <si>
    <t>PSKR1</t>
  </si>
  <si>
    <t>Phytosulfokine receptor 1</t>
  </si>
  <si>
    <t>GO:0005886,GO:0005524,GO:0004383,GO:0001653,GO:0004672,GO:0106310,GO:0004674,GO:0045087,GO:0006468,GO:0031347</t>
  </si>
  <si>
    <t>plasma membrane|ATP binding|guanylate cyclase activity|peptide receptor activity|protein kinase activity|protein serine kinase activity|protein serine/threonine kinase activity|innate immune response|protein phosphorylation|regulation of defense response</t>
  </si>
  <si>
    <t>J2O13_08G017825</t>
  </si>
  <si>
    <t>J2O13_08G017831</t>
  </si>
  <si>
    <t>1.40E-14</t>
  </si>
  <si>
    <t>3.30E-13</t>
  </si>
  <si>
    <t>F6H1-3</t>
  </si>
  <si>
    <t>Feruloyl CoA ortho-hydroxylase F6H1-3</t>
  </si>
  <si>
    <t>GO:0016706,GO:0046872,GO:0009805,GO:0009699,GO:0009620,GO:0002238</t>
  </si>
  <si>
    <t>2-oxoglutarate-dependent dioxygenase activity|metal ion binding|coumarin biosynthetic process|phenylpropanoid biosynthetic process|response to fungus|response to molecule of fungal origin</t>
  </si>
  <si>
    <t>J2O13_08G017835</t>
  </si>
  <si>
    <t>4.87E-14</t>
  </si>
  <si>
    <t>J2O13_08G017842</t>
  </si>
  <si>
    <t>J2O13_08G017843</t>
  </si>
  <si>
    <t>J2O13_08G017845</t>
  </si>
  <si>
    <t>4.08E-08</t>
  </si>
  <si>
    <t>3.83E-07</t>
  </si>
  <si>
    <t>J2O13_08G017857</t>
  </si>
  <si>
    <t>ZHD4</t>
  </si>
  <si>
    <t>Zinc-finger homeodomain protein 4</t>
  </si>
  <si>
    <t>GO:0005634,GO:0003700,GO:0046872,GO:0042803,GO:0000976,GO:0048574,GO:0006355</t>
  </si>
  <si>
    <t>nucleus|DNA-binding transcription factor activity|metal ion binding|protein homodimerization activity|transcription cis-regulatory region binding|long-day photoperiodism, flowering|regulation of DNA-templated transcription</t>
  </si>
  <si>
    <t>J2O13_08G017873</t>
  </si>
  <si>
    <t>J2O13_08G017877</t>
  </si>
  <si>
    <t>5.39E-05</t>
  </si>
  <si>
    <t>HSP26-A</t>
  </si>
  <si>
    <t>Probable glutathione S-transferase</t>
  </si>
  <si>
    <t>GO:0005737,GO:0004364,GO:0006749,GO:0009737,GO:0009733,GO:0009735,GO:0009739,GO:0009408,GO:0010038</t>
  </si>
  <si>
    <t>cytoplasm|glutathione transferase activity|glutathione metabolic process|response to abscisic acid|response to auxin|response to cytokinin|response to gibberellin|response to heat|response to metal ion</t>
  </si>
  <si>
    <t>J2O13_08G017882</t>
  </si>
  <si>
    <t>9.55E-06</t>
  </si>
  <si>
    <t>5.68E-05</t>
  </si>
  <si>
    <t>MET1B</t>
  </si>
  <si>
    <t>DNA (cytosine-5)-methyltransferase 1B</t>
  </si>
  <si>
    <t>ko00270,ko05206</t>
  </si>
  <si>
    <t>Cysteine and methionine metabolism|MicroRNAs in cancer</t>
  </si>
  <si>
    <t>GO:0005634,GO:0003682,GO:0003886,GO:0003677,GO:0010424,GO:0009793,GO:0010216,GO:0006349</t>
  </si>
  <si>
    <t>nucleus|chromatin binding|DNA (cytosine-5-)-methyltransferase activity|DNA binding|DNA methylation on cytosine within a CG sequence|embryo development ending in seed dormancy|maintenance of DNA methylation|regulation of gene expression by genomic imprinting</t>
  </si>
  <si>
    <t>J2O13_08G017892</t>
  </si>
  <si>
    <t>J2O13_08G017905</t>
  </si>
  <si>
    <t>6.63E-08</t>
  </si>
  <si>
    <t>J2O13_08G017907</t>
  </si>
  <si>
    <t>4.16E-08</t>
  </si>
  <si>
    <t>J2O13_08G017934</t>
  </si>
  <si>
    <t>5.15E-08</t>
  </si>
  <si>
    <t>4.72E-07</t>
  </si>
  <si>
    <t>J2O13_08G017946</t>
  </si>
  <si>
    <t>3.58E-27</t>
  </si>
  <si>
    <t>3.09E-25</t>
  </si>
  <si>
    <t>DMP3</t>
  </si>
  <si>
    <t>Protein DMP3</t>
  </si>
  <si>
    <t>GO:0005783,GO:0005789,GO:0010256,GO:0090693</t>
  </si>
  <si>
    <t>endoplasmic reticulum|endoplasmic reticulum membrane|endomembrane system organization|plant organ senescence</t>
  </si>
  <si>
    <t>J2O13_08G017950</t>
  </si>
  <si>
    <t>2.29E-14</t>
  </si>
  <si>
    <t>J2O13_08G017957</t>
  </si>
  <si>
    <t>AGO2</t>
  </si>
  <si>
    <t>Protein argonaute 2</t>
  </si>
  <si>
    <t>GO:0005737,GO:0005829,GO:0005634,GO:1990904,GO:0004521,GO:0003729,GO:0003723,GO:0035197,GO:0042742,GO:0051607,GO:0019048,GO:0006417,GO:0035194</t>
  </si>
  <si>
    <t>cytoplasm|cytosol|nucleus|ribonucleoprotein complex|endoribonuclease activity|mRNA binding|RNA binding|siRNA binding|defense response to bacterium|defense response to virus|modulation by virus of host process|regulation of translation|RNA-mediated post-transcriptional gene silencing</t>
  </si>
  <si>
    <t>J2O13_08G017976</t>
  </si>
  <si>
    <t>2.15E-11</t>
  </si>
  <si>
    <t>3.31E-10</t>
  </si>
  <si>
    <t>J2O13_08G017998</t>
  </si>
  <si>
    <t>J2O13_08G017999</t>
  </si>
  <si>
    <t>MLO4</t>
  </si>
  <si>
    <t>MLO-like protein 4</t>
  </si>
  <si>
    <t>GO:0016020,GO:0005516,GO:0006952,GO:0009607</t>
  </si>
  <si>
    <t>membrane|calmodulin binding|defense response|response to biotic stimulus</t>
  </si>
  <si>
    <t>J2O13_08G018033</t>
  </si>
  <si>
    <t>6.82E-13</t>
  </si>
  <si>
    <t>At1g60990</t>
  </si>
  <si>
    <t>Putative transferase At1g60990, chloroplastic</t>
  </si>
  <si>
    <t>GO:0009507,GO:0005737,GO:0016491,GO:0016740</t>
  </si>
  <si>
    <t>chloroplast|cytoplasm|oxidoreductase activity|transferase activity</t>
  </si>
  <si>
    <t>J2O13_08G018045</t>
  </si>
  <si>
    <t>At4g11060</t>
  </si>
  <si>
    <t>Single-stranded DNA-binding protein, mitochondrial</t>
  </si>
  <si>
    <t>GO:0042645,GO:0009295,GO:0003729,GO:0003697,GO:0006264,GO:0051096</t>
  </si>
  <si>
    <t>mitochondrial nucleoid|nucleoid|mRNA binding|single-stranded DNA binding|mitochondrial DNA replication|positive regulation of helicase activity</t>
  </si>
  <si>
    <t>J2O13_08G018068</t>
  </si>
  <si>
    <t>3.07E-12</t>
  </si>
  <si>
    <t>5.35E-11</t>
  </si>
  <si>
    <t>J2O13_08G018093</t>
  </si>
  <si>
    <t>2.01E-17</t>
  </si>
  <si>
    <t>6.75E-16</t>
  </si>
  <si>
    <t>PAP4</t>
  </si>
  <si>
    <t>Probable plastid-lipid-associated protein 4, chloroplastic</t>
  </si>
  <si>
    <t>GO:0009507,GO:0009534,GO:0009535,GO:0005829,GO:0010287</t>
  </si>
  <si>
    <t>chloroplast|chloroplast thylakoid|chloroplast thylakoid membrane|cytosol|plastoglobule</t>
  </si>
  <si>
    <t>J2O13_08G018096</t>
  </si>
  <si>
    <t>Basic blue protein OS=Cucumis sativus OX=3659 PE=1 SV=1</t>
  </si>
  <si>
    <t>J2O13_08G018099</t>
  </si>
  <si>
    <t>1.79E-40</t>
  </si>
  <si>
    <t>4.15E-38</t>
  </si>
  <si>
    <t>SGS3</t>
  </si>
  <si>
    <t>Protein SUPPRESSOR OF GENE SILENCING 3</t>
  </si>
  <si>
    <t>GO:0048471,GO:0051607,GO:0050688,GO:0031047</t>
  </si>
  <si>
    <t>perinuclear region of cytoplasm|defense response to virus|regulation of defense response to virus|RNA-mediated gene silencing</t>
  </si>
  <si>
    <t>J2O13_08G018101</t>
  </si>
  <si>
    <t>GATA26</t>
  </si>
  <si>
    <t>GATA transcription factor 26</t>
  </si>
  <si>
    <t>GO:0005634,GO:0043565,GO:0008270,GO:0006355</t>
  </si>
  <si>
    <t>nucleus|sequence-specific DNA binding|zinc ion binding|regulation of DNA-templated transcription</t>
  </si>
  <si>
    <t>J2O13_08G018121</t>
  </si>
  <si>
    <t>2.54E-14</t>
  </si>
  <si>
    <t>5.80E-13</t>
  </si>
  <si>
    <t>ko03013,ko03015</t>
  </si>
  <si>
    <t>Nucleocytoplasmic transport|mRNA surveillance pathway</t>
  </si>
  <si>
    <t>J2O13_08G018145</t>
  </si>
  <si>
    <t>4.36E-08</t>
  </si>
  <si>
    <t>4.07E-07</t>
  </si>
  <si>
    <t>BPS1</t>
  </si>
  <si>
    <t>Protein BPS1, chloroplastic</t>
  </si>
  <si>
    <t>GO:0009507,GO:0009793,GO:0048364,GO:0048367</t>
  </si>
  <si>
    <t>chloroplast|embryo development ending in seed dormancy|root development|shoot system development</t>
  </si>
  <si>
    <t>J2O13_08G018146</t>
  </si>
  <si>
    <t>SCPL40</t>
  </si>
  <si>
    <t>Serine carboxypeptidase-like 40</t>
  </si>
  <si>
    <t>J2O13_08G018151</t>
  </si>
  <si>
    <t>1.49E-54</t>
  </si>
  <si>
    <t>9.81E-52</t>
  </si>
  <si>
    <t>J2O13_08G018160</t>
  </si>
  <si>
    <t>RER4</t>
  </si>
  <si>
    <t>Protein RETICULATA-RELATED 4, chloroplastic</t>
  </si>
  <si>
    <t>GO:0009507,GO:0009941,GO:0009706,GO:0009536</t>
  </si>
  <si>
    <t>chloroplast|chloroplast envelope|chloroplast inner membrane|plastid</t>
  </si>
  <si>
    <t>J2O13_08G018184</t>
  </si>
  <si>
    <t>PAO1</t>
  </si>
  <si>
    <t>GO:0005737,GO:0050660,GO:0052904,GO:0052903,GO:0052895,GO:0052894,GO:0016491,GO:0046592,GO:0052902,GO:0052901,GO:0006598,GO:0046208</t>
  </si>
  <si>
    <t>cytoplasm|flavin adenine dinucleotide binding|N1-acetylspermidine:oxygen oxidoreductase (3-acetamidopropanal-forming) activity|N1-acetylspermine:oxygen oxidoreductase (3-acetamidopropanal-forming) activity|N1-acetylspermine:oxygen oxidoreductase (N1-acetylspermidine-forming) activity|norspermine:oxygen oxidoreductase activity|oxidoreductase activity|polyamine oxidase activity|spermidine:oxygen oxidoreductase (3-aminopropanal-forming) activity|spermine:oxygen oxidoreductase (spermidine-forming) activity|polyamine catabolic process|spermine catabolic process</t>
  </si>
  <si>
    <t>J2O13_08G018197</t>
  </si>
  <si>
    <t>4.59E-06</t>
  </si>
  <si>
    <t>2.90E-05</t>
  </si>
  <si>
    <t>DGR2</t>
  </si>
  <si>
    <t>Protein DUF642 L-GALACTONO-1,4-LACTONE-RESPONSIVE GENE 2</t>
  </si>
  <si>
    <t>GO:0005576,GO:0009505,GO:0009506,GO:0009536,GO:0010015</t>
  </si>
  <si>
    <t>extracellular region|plant-type cell wall|plasmodesma|plastid|root morphogenesis</t>
  </si>
  <si>
    <t>J2O13_08G018201</t>
  </si>
  <si>
    <t>J2O13_08G018202</t>
  </si>
  <si>
    <t>4.24E-31</t>
  </si>
  <si>
    <t>5.28E-29</t>
  </si>
  <si>
    <t>J2O13_08G018225</t>
  </si>
  <si>
    <t>3.03E-09</t>
  </si>
  <si>
    <t>ATAB2</t>
  </si>
  <si>
    <t>Protein TAB2 homolog, chloroplastic</t>
  </si>
  <si>
    <t>GO:0009507,GO:0003723,GO:0009658,GO:0009704,GO:0048564,GO:0006412</t>
  </si>
  <si>
    <t>chloroplast|RNA binding|chloroplast organization|de-etiolation|photosystem I assembly|translation</t>
  </si>
  <si>
    <t>J2O13_08G018226</t>
  </si>
  <si>
    <t>2.55E-30</t>
  </si>
  <si>
    <t>2.92E-28</t>
  </si>
  <si>
    <t>PSBT</t>
  </si>
  <si>
    <t>Photosystem II 5 kDa protein, chloroplastic</t>
  </si>
  <si>
    <t>GO:0009535,GO:0009523,GO:0015979</t>
  </si>
  <si>
    <t>chloroplast thylakoid membrane|photosystem II|photosynthesis</t>
  </si>
  <si>
    <t>J2O13_08G018229</t>
  </si>
  <si>
    <t>1.68E-09</t>
  </si>
  <si>
    <t>1.95E-08</t>
  </si>
  <si>
    <t>J2O13_08G018232</t>
  </si>
  <si>
    <t>QRT2</t>
  </si>
  <si>
    <t>Polygalacturonase QRT2</t>
  </si>
  <si>
    <t>GO:0005576,GO:0004650,GO:0009901,GO:0009830,GO:0010047,GO:0045490,GO:0048235</t>
  </si>
  <si>
    <t>extracellular region|polygalacturonase activity|anther dehiscence|cell wall modification involved in abscission|fruit dehiscence|pectin catabolic process|pollen sperm cell differentiation</t>
  </si>
  <si>
    <t>J2O13_08G018245</t>
  </si>
  <si>
    <t>J2O13_08G018255</t>
  </si>
  <si>
    <t>6.95E-20</t>
  </si>
  <si>
    <t>3.00E-18</t>
  </si>
  <si>
    <t>J2O13_08G018262</t>
  </si>
  <si>
    <t>RGA1</t>
  </si>
  <si>
    <t>Putative disease resistance protein RGA1</t>
  </si>
  <si>
    <t>J2O13_08G018294</t>
  </si>
  <si>
    <t>J2O13_08G018297</t>
  </si>
  <si>
    <t>J2O13_08G018338</t>
  </si>
  <si>
    <t>1.43E-13</t>
  </si>
  <si>
    <t>2.96E-12</t>
  </si>
  <si>
    <t>At3g52120</t>
  </si>
  <si>
    <t>SURP and G-patch domain-containing protein 1-like protein</t>
  </si>
  <si>
    <t>GO:0005654,GO:0003723,GO:0006397,GO:0008380</t>
  </si>
  <si>
    <t>nucleoplasm|RNA binding|mRNA processing|RNA splicing</t>
  </si>
  <si>
    <t>J2O13_08G018347</t>
  </si>
  <si>
    <t>1.20E-27</t>
  </si>
  <si>
    <t>1.11E-25</t>
  </si>
  <si>
    <t>FTIP4</t>
  </si>
  <si>
    <t>FT-interacting protein 4</t>
  </si>
  <si>
    <t>GO:0005737,GO:0005829,GO:0005783,GO:0005789,GO:0005768,GO:0010008,GO:0005794,GO:0000139,GO:0043229,GO:0009505,GO:0005886,GO:0009506,GO:0031982,GO:0016757,GO:0046872,GO:1902182</t>
  </si>
  <si>
    <t>cytoplasm|cytosol|endoplasmic reticulum|endoplasmic reticulum membrane|endosome|endosome membrane|Golgi apparatus|Golgi membrane|intracellular organelle|plant-type cell wall|plasma membrane|plasmodesma|vesicle|glycosyltransferase activity|metal ion binding|shoot apical meristem development</t>
  </si>
  <si>
    <t>J2O13_08G018363</t>
  </si>
  <si>
    <t>J2O13_08G018376</t>
  </si>
  <si>
    <t>LOX2</t>
  </si>
  <si>
    <t>Lipoxygenase 2, chloroplastic</t>
  </si>
  <si>
    <t>GO:0009507,GO:0009941,GO:0009570,GO:0009535,GO:0005737,GO:0005829,GO:0016165,GO:0046872,GO:0003729,GO:0016702,GO:1901149,GO:0006633,GO:0010597,GO:0009695,GO:0034440,GO:0031408,GO:0009617,GO:0009620,GO:0080027,GO:0009753,GO:0009611</t>
  </si>
  <si>
    <t>chloroplast|chloroplast envelope|chloroplast stroma|chloroplast thylakoid membrane|cytoplasm|cytosol|linoleate 13S-lipoxygenase activity|metal ion binding|mRNA binding|oxidoreductase activity, acting on single donors with incorporation of molecular oxygen, incorporation of two atoms of oxygen|salicylic acid binding|fatty acid biosynthetic process|green leaf volatile biosynthetic process|jasmonic acid biosynthetic process|lipid oxidation|oxylipin biosynthetic process|response to bacterium|response to fungus|response to herbivore|response to jasmonic acid|response to wounding</t>
  </si>
  <si>
    <t>J2O13_08G018379</t>
  </si>
  <si>
    <t>5.46E-10</t>
  </si>
  <si>
    <t>BGLU17</t>
  </si>
  <si>
    <t>Beta-glucosidase 17</t>
  </si>
  <si>
    <t>ko00500,ko00460,ko00999</t>
  </si>
  <si>
    <t>Starch and sucrose metabolism|Cyanoamino acid metabolism|Biosynthesis of various plant secondary metabolites</t>
  </si>
  <si>
    <t>J2O13_08G018381</t>
  </si>
  <si>
    <t>1.17E-25</t>
  </si>
  <si>
    <t>8.64E-24</t>
  </si>
  <si>
    <t>BGLU12</t>
  </si>
  <si>
    <t>Beta-glucosidase 12</t>
  </si>
  <si>
    <t>GO:0005576,GO:0033907,GO:0004565,GO:0008422,GO:0102483,GO:0005975</t>
  </si>
  <si>
    <t>extracellular region|beta-D-fucosidase activity|beta-galactosidase activity|beta-glucosidase activity|scopolin beta-glucosidase activity|carbohydrate metabolic process</t>
  </si>
  <si>
    <t>J2O13_08G018406</t>
  </si>
  <si>
    <t>ZEP</t>
  </si>
  <si>
    <t>Zeaxanthin epoxidase, chloroplastic</t>
  </si>
  <si>
    <t>GO:0009507,GO:0016020,GO:0071949,GO:0052662,GO:0009688</t>
  </si>
  <si>
    <t>chloroplast|membrane|FAD binding|zeaxanthin epoxidase activity|abscisic acid biosynthetic process</t>
  </si>
  <si>
    <t>J2O13_08G018412</t>
  </si>
  <si>
    <t>J2O13_08G018441</t>
  </si>
  <si>
    <t>9.76E-06</t>
  </si>
  <si>
    <t>5.80E-05</t>
  </si>
  <si>
    <t>J2O13_08G018445</t>
  </si>
  <si>
    <t>7.52E-05</t>
  </si>
  <si>
    <t>At3g19950</t>
  </si>
  <si>
    <t>E3 ubiquitin-protein ligase RING1-like</t>
  </si>
  <si>
    <t>GO:0005737,GO:0046872,GO:0061630,GO:0016567</t>
  </si>
  <si>
    <t>cytoplasm|metal ion binding|ubiquitin protein ligase activity|protein ubiquitination</t>
  </si>
  <si>
    <t>J2O13_08G018469</t>
  </si>
  <si>
    <t>4.33E-06</t>
  </si>
  <si>
    <t>SMXL3</t>
  </si>
  <si>
    <t>Protein SMAX1-LIKE 3</t>
  </si>
  <si>
    <t>J2O13_08G018503</t>
  </si>
  <si>
    <t>atpH</t>
  </si>
  <si>
    <t>ATP synthase subunit c, chloroplastic</t>
  </si>
  <si>
    <t>GO:0009535,GO:0045263,GO:0008289,GO:0046933</t>
  </si>
  <si>
    <t>chloroplast thylakoid membrane|proton-transporting ATP synthase complex, coupling factor F(o)|lipid binding|proton-transporting ATP synthase activity, rotational mechanism</t>
  </si>
  <si>
    <t>J2O13_08G018504</t>
  </si>
  <si>
    <t>1.87E-05</t>
  </si>
  <si>
    <t>atpI</t>
  </si>
  <si>
    <t>ATP synthase subunit a, chloroplastic</t>
  </si>
  <si>
    <t>GO:0009535,GO:0005886,GO:0045263,GO:0046933</t>
  </si>
  <si>
    <t>chloroplast thylakoid membrane|plasma membrane|proton-transporting ATP synthase complex, coupling factor F(o)|proton-transporting ATP synthase activity, rotational mechanism</t>
  </si>
  <si>
    <t>J2O13_08G018505</t>
  </si>
  <si>
    <t>1.62E-38</t>
  </si>
  <si>
    <t>3.33E-36</t>
  </si>
  <si>
    <t>rpoC2</t>
  </si>
  <si>
    <t>DNA-directed RNA polymerase subunit beta''</t>
  </si>
  <si>
    <t>GO:0009507,GO:0000428,GO:0003677,GO:0003899,GO:0008270,GO:0006351</t>
  </si>
  <si>
    <t>chloroplast|DNA-directed RNA polymerase complex|DNA binding|DNA-directed 5'-3' RNA polymerase activity|zinc ion binding|DNA-templated transcription</t>
  </si>
  <si>
    <t>J2O13_08G018538</t>
  </si>
  <si>
    <t>DET2</t>
  </si>
  <si>
    <t>Steroid 5-alpha-reductase DET2</t>
  </si>
  <si>
    <t>GO:0016020,GO:0003865,GO:0047751,GO:0016491,GO:0050213,GO:0016132,GO:0090378,GO:0090377</t>
  </si>
  <si>
    <t>membrane|3-oxo-5-alpha-steroid 4-dehydrogenase activity|cholestenone 5-alpha-reductase activity|oxidoreductase activity|progesterone 5-alpha-reductase activity|brassinosteroid biosynthetic process|seed trichome elongation|seed trichome initiation</t>
  </si>
  <si>
    <t>J2O13_08G018567</t>
  </si>
  <si>
    <t>6.46E-07</t>
  </si>
  <si>
    <t>4.83E-06</t>
  </si>
  <si>
    <t>WRI1</t>
  </si>
  <si>
    <t>Ethylene-responsive transcription factor WRI1</t>
  </si>
  <si>
    <t>GO:0005634,GO:0003677,GO:0003700,GO:0019900,GO:0009873,GO:0008610,GO:0006629,GO:1901959,GO:0006109,GO:0006110,GO:0009744,GO:0019432</t>
  </si>
  <si>
    <t>nucleus|DNA binding|DNA-binding transcription factor activity|kinase binding|ethylene-activated signaling pathway|lipid biosynthetic process|lipid metabolic process|positive regulation of cutin biosynthetic process|regulation of carbohydrate metabolic process|regulation of glycolytic process|response to sucrose|triglyceride biosynthetic process</t>
  </si>
  <si>
    <t>J2O13_08G018573</t>
  </si>
  <si>
    <t>6.72E-06</t>
  </si>
  <si>
    <t>4.11E-05</t>
  </si>
  <si>
    <t>GO:0005794,GO:0008422,GO:0102483,GO:0005975,GO:0019762,GO:0009651</t>
  </si>
  <si>
    <t>Golgi apparatus|beta-glucosidase activity|scopolin beta-glucosidase activity|carbohydrate metabolic process|glucosinolate catabolic process|response to salt stress</t>
  </si>
  <si>
    <t>J2O13_08G018578</t>
  </si>
  <si>
    <t>CCAMK</t>
  </si>
  <si>
    <t>Calcium and calcium/calmodulin-dependent serine/threonine-protein kinase</t>
  </si>
  <si>
    <t>GO:0005634,GO:0005524,GO:0005509,GO:0009931,GO:0005516,GO:0004683,GO:0106310,GO:0009877,GO:0046777,GO:0009608</t>
  </si>
  <si>
    <t>nucleus|ATP binding|calcium ion binding|calcium-dependent protein serine/threonine kinase activity|calmodulin binding|calmodulin-dependent protein kinase activity|protein serine kinase activity|nodulation|protein autophosphorylation|response to symbiont</t>
  </si>
  <si>
    <t>J2O13_08G018598</t>
  </si>
  <si>
    <t>TBL36</t>
  </si>
  <si>
    <t>Protein trichome birefringence-like 36</t>
  </si>
  <si>
    <t>J2O13_08G018601</t>
  </si>
  <si>
    <t>J2O13_08G018607</t>
  </si>
  <si>
    <t>J2O13_08G018609</t>
  </si>
  <si>
    <t>FDX3</t>
  </si>
  <si>
    <t>Ferredoxin-3, chloroplastic</t>
  </si>
  <si>
    <t>GO:0009507,GO:0009570,GO:0009578,GO:0051537,GO:0009055,GO:0046872,GO:0022900</t>
  </si>
  <si>
    <t>chloroplast|chloroplast stroma|etioplast stroma|2 iron, 2 sulfur cluster binding|electron transfer activity|metal ion binding|electron transport chain</t>
  </si>
  <si>
    <t>J2O13_08G018614</t>
  </si>
  <si>
    <t>J2O13_08G018640</t>
  </si>
  <si>
    <t>J2O13_08G018654</t>
  </si>
  <si>
    <t>CAT7</t>
  </si>
  <si>
    <t>Cationic amino acid transporter 7, chloroplastic</t>
  </si>
  <si>
    <t>GO:0031969,GO:0005886,GO:0015171,GO:0006865</t>
  </si>
  <si>
    <t>chloroplast membrane|plasma membrane|amino acid transmembrane transporter activity|amino acid transport</t>
  </si>
  <si>
    <t>J2O13_08G018662</t>
  </si>
  <si>
    <t>6.41E-09</t>
  </si>
  <si>
    <t>6.90E-08</t>
  </si>
  <si>
    <t>PPR4</t>
  </si>
  <si>
    <t>Pentatricopeptide repeat-containing protein At5g04810, chloroplastic</t>
  </si>
  <si>
    <t>GO:0009507,GO:0003729,GO:0009880,GO:0048366,GO:0008380</t>
  </si>
  <si>
    <t>chloroplast|mRNA binding|embryonic pattern specification|leaf development|RNA splicing</t>
  </si>
  <si>
    <t>J2O13_08G018682</t>
  </si>
  <si>
    <t>3.14E-11</t>
  </si>
  <si>
    <t>J2O13_08G018688</t>
  </si>
  <si>
    <t>2.29E-48</t>
  </si>
  <si>
    <t>9.25E-46</t>
  </si>
  <si>
    <t>ORRM1</t>
  </si>
  <si>
    <t>Organelle RRM domain-containing protein 1, chloroplastic</t>
  </si>
  <si>
    <t>GO:0009507,GO:0005739,GO:0003729,GO:0003723,GO:1900871,GO:0016554,GO:0080156,GO:0006397,GO:0009409</t>
  </si>
  <si>
    <t>chloroplast|mitochondrion|mRNA binding|RNA binding|chloroplast mRNA modification|cytidine to uridine editing|mitochondrial mRNA modification|mRNA processing|response to cold</t>
  </si>
  <si>
    <t>J2O13_08G018693</t>
  </si>
  <si>
    <t>J2O13_08G018707</t>
  </si>
  <si>
    <t>9.85E-17</t>
  </si>
  <si>
    <t>3.01E-15</t>
  </si>
  <si>
    <t>J2O13_08G018711</t>
  </si>
  <si>
    <t>At5g15810</t>
  </si>
  <si>
    <t>tRNA (guanine(26)-N(2))-dimethyltransferase 1</t>
  </si>
  <si>
    <t>GO:0005634,GO:0004809,GO:0000049,GO:0002940</t>
  </si>
  <si>
    <t>nucleus|tRNA (guanine-N2-)-methyltransferase activity|tRNA binding|tRNA N2-guanine methylation</t>
  </si>
  <si>
    <t>J2O13_08G018729</t>
  </si>
  <si>
    <t>J2O13_08G018735</t>
  </si>
  <si>
    <t>1.35E-17</t>
  </si>
  <si>
    <t>4.64E-16</t>
  </si>
  <si>
    <t>DHAR2</t>
  </si>
  <si>
    <t>Glutathione S-transferase DHAR2</t>
  </si>
  <si>
    <t>GO:0005829,GO:0005739,GO:0005886,GO:0043295,GO:0045174,GO:0004364,GO:0140547,GO:0033355,GO:0019852,GO:0080151,GO:0010731</t>
  </si>
  <si>
    <t>cytosol|mitochondrion|plasma membrane|glutathione binding|glutathione dehydrogenase (ascorbate) activity|glutathione transferase activity|acquisition of seed longevity|ascorbate glutathione cycle|L-ascorbic acid metabolic process|positive regulation of salicylic acid mediated signaling pathway|protein glutathionylation</t>
  </si>
  <si>
    <t>J2O13_08G018738</t>
  </si>
  <si>
    <t>At1g25270</t>
  </si>
  <si>
    <t>WAT1-related protein At1g25270</t>
  </si>
  <si>
    <t>J2O13_08G018739</t>
  </si>
  <si>
    <t>3.20E-07</t>
  </si>
  <si>
    <t>2.54E-06</t>
  </si>
  <si>
    <t>SDE3</t>
  </si>
  <si>
    <t>Probable RNA helicase SDE3</t>
  </si>
  <si>
    <t>GO:0005829,GO:0043186,GO:0005524,GO:0016887,GO:0003723,GO:0003724,GO:0035194,GO:0009616</t>
  </si>
  <si>
    <t>cytosol|P granule|ATP binding|ATP hydrolysis activity|RNA binding|RNA helicase activity|RNA-mediated post-transcriptional gene silencing|RNAi-mediated antiviral immune response</t>
  </si>
  <si>
    <t>J2O13_08G018748</t>
  </si>
  <si>
    <t>J2O13_08G018756</t>
  </si>
  <si>
    <t>2.46E-21</t>
  </si>
  <si>
    <t>1.25E-19</t>
  </si>
  <si>
    <t>J2O13_08G018762</t>
  </si>
  <si>
    <t>3.69E-13</t>
  </si>
  <si>
    <t>7.30E-12</t>
  </si>
  <si>
    <t>PBL9</t>
  </si>
  <si>
    <t>Probable serine/threonine-protein kinase PBL9</t>
  </si>
  <si>
    <t>GO:0005886,GO:0005524,GO:0106310,GO:0004674,GO:0004713,GO:0006952</t>
  </si>
  <si>
    <t>plasma membrane|ATP binding|protein serine kinase activity|protein serine/threonine kinase activity|protein tyrosine kinase activity|defense response</t>
  </si>
  <si>
    <t>J2O13_08G018767</t>
  </si>
  <si>
    <t>2.42E-16</t>
  </si>
  <si>
    <t>J2O13_08G018790</t>
  </si>
  <si>
    <t>ABCG6</t>
  </si>
  <si>
    <t>ABC transporter G family member 6</t>
  </si>
  <si>
    <t>GO:0016020,GO:0140359,GO:0005524,GO:0016887,GO:0042626,GO:1903825,GO:0009624,GO:0010345,GO:0055085</t>
  </si>
  <si>
    <t>membrane|ABC-type transporter activity|ATP binding|ATP hydrolysis activity|ATPase-coupled transmembrane transporter activity|organic acid transmembrane transport|response to nematode|suberin biosynthetic process|transmembrane transport</t>
  </si>
  <si>
    <t>J2O13_08G018794</t>
  </si>
  <si>
    <t>9.29E-07</t>
  </si>
  <si>
    <t>6.73E-06</t>
  </si>
  <si>
    <t>J2O13_08G018801</t>
  </si>
  <si>
    <t>8.79E-52</t>
  </si>
  <si>
    <t>4.47E-49</t>
  </si>
  <si>
    <t>J2O13_08G018808</t>
  </si>
  <si>
    <t>ATS3A</t>
  </si>
  <si>
    <t>Embryo-specific protein ATS3A</t>
  </si>
  <si>
    <t>GO:0005576,GO:0009506</t>
  </si>
  <si>
    <t>extracellular region|plasmodesma</t>
  </si>
  <si>
    <t>J2O13_08G018835</t>
  </si>
  <si>
    <t>J2O13_08G018836</t>
  </si>
  <si>
    <t>1.57E-06</t>
  </si>
  <si>
    <t>1.09E-05</t>
  </si>
  <si>
    <t>J2O13_08G018843</t>
  </si>
  <si>
    <t>7.64E-09</t>
  </si>
  <si>
    <t>8.07E-08</t>
  </si>
  <si>
    <t>J2O13_08G018865</t>
  </si>
  <si>
    <t>J2O13_08G018868</t>
  </si>
  <si>
    <t>J2O13_08G018878</t>
  </si>
  <si>
    <t>2.22E-09</t>
  </si>
  <si>
    <t>2.55E-08</t>
  </si>
  <si>
    <t>psbB</t>
  </si>
  <si>
    <t>Photosystem II CP47 reaction center protein</t>
  </si>
  <si>
    <t>GO:0009535,GO:0009523,GO:0016168,GO:0045156,GO:0009772</t>
  </si>
  <si>
    <t>chloroplast thylakoid membrane|photosystem II|chlorophyll binding|electron transporter, transferring electrons within the cyclic electron transport pathway of photosynthesis activity|photosynthetic electron transport in photosystem II</t>
  </si>
  <si>
    <t>J2O13_08G018879</t>
  </si>
  <si>
    <t>J2O13_08G018880</t>
  </si>
  <si>
    <t>petA</t>
  </si>
  <si>
    <t>Cytochrome f</t>
  </si>
  <si>
    <t>GO:0009535,GO:0009055,GO:0020037,GO:0005506,GO:0015979</t>
  </si>
  <si>
    <t>chloroplast thylakoid membrane|electron transfer activity|heme binding|iron ion binding|photosynthesis</t>
  </si>
  <si>
    <t>J2O13_08G018881</t>
  </si>
  <si>
    <t>atpB</t>
  </si>
  <si>
    <t>ATP synthase subunit beta, chloroplastic</t>
  </si>
  <si>
    <t>J2O13_08G018883</t>
  </si>
  <si>
    <t>J2O13_08G018884</t>
  </si>
  <si>
    <t>J2O13_08G018889</t>
  </si>
  <si>
    <t>3.21E-14</t>
  </si>
  <si>
    <t>7.23E-13</t>
  </si>
  <si>
    <t>J2O13_08G018890</t>
  </si>
  <si>
    <t>LBD1</t>
  </si>
  <si>
    <t>LOB domain-containing protein 1</t>
  </si>
  <si>
    <t>J2O13_08G018931</t>
  </si>
  <si>
    <t>3.19E-06</t>
  </si>
  <si>
    <t>TET6</t>
  </si>
  <si>
    <t>Tetraspanin-6</t>
  </si>
  <si>
    <t>GO:0005886,GO:0009506,GO:0009734,GO:0035265</t>
  </si>
  <si>
    <t>plasma membrane|plasmodesma|auxin-activated signaling pathway|organ growth</t>
  </si>
  <si>
    <t>J2O13_08G018933</t>
  </si>
  <si>
    <t>UBC20</t>
  </si>
  <si>
    <t>Ubiquitin-conjugating enzyme E2 20</t>
  </si>
  <si>
    <t>GO:0005634,GO:0005524,GO:0061631,GO:0004842,GO:0031145,GO:0000209,GO:0030071</t>
  </si>
  <si>
    <t>nucleus|ATP binding|ubiquitin conjugating enzyme activity|ubiquitin-protein transferase activity|anaphase-promoting complex-dependent catabolic process|protein polyubiquitination|regulation of mitotic metaphase/anaphase transition</t>
  </si>
  <si>
    <t>J2O13_08G018945</t>
  </si>
  <si>
    <t>J2O13_08G018956</t>
  </si>
  <si>
    <t>J2O13_08G018961</t>
  </si>
  <si>
    <t>5.12E-19</t>
  </si>
  <si>
    <t>PDIL1-3</t>
  </si>
  <si>
    <t>Protein disulfide isomerase-like 1-3</t>
  </si>
  <si>
    <t>GO:0005829,GO:0005783,GO:0005788,GO:0000325,GO:0099503,GO:0003756,GO:0006457,GO:0034976</t>
  </si>
  <si>
    <t>cytosol|endoplasmic reticulum|endoplasmic reticulum lumen|plant-type vacuole|secretory vesicle|protein disulfide isomerase activity|protein folding|response to endoplasmic reticulum stress</t>
  </si>
  <si>
    <t>J2O13_08G018964</t>
  </si>
  <si>
    <t>1.33E-06</t>
  </si>
  <si>
    <t>9.38E-06</t>
  </si>
  <si>
    <t>PIP2-5</t>
  </si>
  <si>
    <t>Probable aquaporin PIP2-5</t>
  </si>
  <si>
    <t>GO:0005886,GO:0015250,GO:0006833</t>
  </si>
  <si>
    <t>plasma membrane|water channel activity|water transport</t>
  </si>
  <si>
    <t>J2O13_08G018978</t>
  </si>
  <si>
    <t>EDR2L</t>
  </si>
  <si>
    <t>Protein ENHANCED DISEASE RESISTANCE 2-like</t>
  </si>
  <si>
    <t>GO:0005789,GO:0010008,GO:0005886,GO:0008289,GO:0006952</t>
  </si>
  <si>
    <t>endoplasmic reticulum membrane|endosome membrane|plasma membrane|lipid binding|defense response</t>
  </si>
  <si>
    <t>J2O13_08G018985</t>
  </si>
  <si>
    <t>1.63E-10</t>
  </si>
  <si>
    <t>2.19E-09</t>
  </si>
  <si>
    <t>SYT3</t>
  </si>
  <si>
    <t>Synaptotagmin-3</t>
  </si>
  <si>
    <t>GO:0005783,GO:0016020,GO:0008289,GO:0046872,GO:0006869</t>
  </si>
  <si>
    <t>endoplasmic reticulum|membrane|lipid binding|metal ion binding|lipid transport</t>
  </si>
  <si>
    <t>J2O13_08G019030</t>
  </si>
  <si>
    <t>J2O13_08G019043</t>
  </si>
  <si>
    <t>KINUC</t>
  </si>
  <si>
    <t>Kinesin-like protein KIN-UC</t>
  </si>
  <si>
    <t>GO:0005871,GO:0005874,GO:0009524,GO:0005819,GO:0005524,GO:0016887,GO:0008017,GO:0003777,GO:0008574,GO:0030705,GO:0007018</t>
  </si>
  <si>
    <t>kinesin complex|microtubule|phragmoplast|spindle|ATP binding|ATP hydrolysis activity|microtubule binding|microtubule motor activity|plus-end-directed microtubule motor activity|cytoskeleton-dependent intracellular transport|microtubule-based movement</t>
  </si>
  <si>
    <t>J2O13_08G019050</t>
  </si>
  <si>
    <t>2.49E-26</t>
  </si>
  <si>
    <t>1.99E-24</t>
  </si>
  <si>
    <t>J2O13_08G019059</t>
  </si>
  <si>
    <t>2.20E-06</t>
  </si>
  <si>
    <t>RD19D</t>
  </si>
  <si>
    <t>Probable cysteine protease RD19D</t>
  </si>
  <si>
    <t>GO:0005615,GO:0005764,GO:0004197,GO:0051603</t>
  </si>
  <si>
    <t>extracellular space|lysosome|cysteine-type endopeptidase activity|proteolysis involved in protein catabolic process</t>
  </si>
  <si>
    <t>J2O13_08G019060</t>
  </si>
  <si>
    <t>5.14E-19</t>
  </si>
  <si>
    <t>ACR10</t>
  </si>
  <si>
    <t>ACT domain-containing protein ACR10</t>
  </si>
  <si>
    <t>J2O13_08G019067</t>
  </si>
  <si>
    <t>J2O13_08G019082</t>
  </si>
  <si>
    <t>CCL5</t>
  </si>
  <si>
    <t>Probable CoA ligase CCL5</t>
  </si>
  <si>
    <t>J2O13_08G019084</t>
  </si>
  <si>
    <t>9.14E-05</t>
  </si>
  <si>
    <t>J2O13_08G019092</t>
  </si>
  <si>
    <t>SLC1</t>
  </si>
  <si>
    <t>Probable 2-oxoglutarate-dependent dioxygenase SLC1</t>
  </si>
  <si>
    <t>GO:0005737,GO:0005634,GO:0051213,GO:0046872</t>
  </si>
  <si>
    <t>cytoplasm|nucleus|dioxygenase activity|metal ion binding</t>
  </si>
  <si>
    <t>J2O13_08G019093</t>
  </si>
  <si>
    <t>4.18E-20</t>
  </si>
  <si>
    <t>1.85E-18</t>
  </si>
  <si>
    <t>HB2</t>
  </si>
  <si>
    <t>Non-symbiotic hemoglobin 2</t>
  </si>
  <si>
    <t>GO:0020037,GO:0046872,GO:0019825</t>
  </si>
  <si>
    <t>heme binding|metal ion binding|oxygen binding</t>
  </si>
  <si>
    <t>J2O13_08G019094</t>
  </si>
  <si>
    <t>2.13E-05</t>
  </si>
  <si>
    <t>J2O13_08G019099</t>
  </si>
  <si>
    <t>1.16E-08</t>
  </si>
  <si>
    <t>1.19E-07</t>
  </si>
  <si>
    <t>DSP4</t>
  </si>
  <si>
    <t>Phosphoglucan phosphatase DSP4, amyloplastic</t>
  </si>
  <si>
    <t>GO:0009501,GO:0009507,GO:0005634,GO:0019203,GO:0008138,GO:0006073,GO:0046838,GO:0006470</t>
  </si>
  <si>
    <t>amyloplast|chloroplast|nucleus|carbohydrate phosphatase activity|protein tyrosine/serine/threonine phosphatase activity|cellular glucan metabolic process|phosphorylated carbohydrate dephosphorylation|protein dephosphorylation</t>
  </si>
  <si>
    <t>J2O13_08G019104</t>
  </si>
  <si>
    <t>GINT1</t>
  </si>
  <si>
    <t>Glucosamine inositolphosphorylceramide transferase 1</t>
  </si>
  <si>
    <t>GO:0016020,GO:0016757,GO:0045140,GO:0046872,GO:0030259,GO:0006486,GO:0009737,GO:0009651,GO:0009845</t>
  </si>
  <si>
    <t>membrane|glycosyltransferase activity|inositol phosphoceramide synthase activity|metal ion binding|lipid glycosylation|protein glycosylation|response to abscisic acid|response to salt stress|seed germination</t>
  </si>
  <si>
    <t>J2O13_08G019108</t>
  </si>
  <si>
    <t>4.93E-05</t>
  </si>
  <si>
    <t>KCS7</t>
  </si>
  <si>
    <t>3-ketoacyl-CoA synthase 7</t>
  </si>
  <si>
    <t>J2O13_08G019109</t>
  </si>
  <si>
    <t>7.30E-26</t>
  </si>
  <si>
    <t>5.54E-24</t>
  </si>
  <si>
    <t>J2O13_08G019116</t>
  </si>
  <si>
    <t>J2O13_08G019119</t>
  </si>
  <si>
    <t>2.65E-15</t>
  </si>
  <si>
    <t>6.87E-14</t>
  </si>
  <si>
    <t>OTU3</t>
  </si>
  <si>
    <t>OVARIAN TUMOR DOMAIN-containing deubiquitinating enzyme 3</t>
  </si>
  <si>
    <t>GO:0004843,GO:0030968,GO:0016579,GO:0030433</t>
  </si>
  <si>
    <t>cysteine-type deubiquitinase activity|endoplasmic reticulum unfolded protein response|protein deubiquitination|ubiquitin-dependent ERAD pathway</t>
  </si>
  <si>
    <t>J2O13_08G019137</t>
  </si>
  <si>
    <t>4.10E-11</t>
  </si>
  <si>
    <t>6.06E-10</t>
  </si>
  <si>
    <t>SULTR41</t>
  </si>
  <si>
    <t>Sulfate transporter 4.1, chloroplastic</t>
  </si>
  <si>
    <t>GO:0031969,GO:0005886,GO:0008271,GO:0015293</t>
  </si>
  <si>
    <t>chloroplast membrane|plasma membrane|secondary active sulfate transmembrane transporter activity|symporter activity</t>
  </si>
  <si>
    <t>J2O13_08G019146</t>
  </si>
  <si>
    <t>3.90E-19</t>
  </si>
  <si>
    <t>PPL1</t>
  </si>
  <si>
    <t>PsbP-like protein 1, chloroplastic</t>
  </si>
  <si>
    <t>GO:0009507,GO:0009543,GO:0098807,GO:0005829,GO:0019898,GO:0009654,GO:0009579,GO:0031977,GO:0042651,GO:0005509,GO:0015979</t>
  </si>
  <si>
    <t>chloroplast|chloroplast thylakoid lumen|chloroplast thylakoid membrane protein complex|cytosol|extrinsic component of membrane|photosystem II oxygen evolving complex|thylakoid|thylakoid lumen|thylakoid membrane|calcium ion binding|photosynthesis</t>
  </si>
  <si>
    <t>J2O13_08G019150</t>
  </si>
  <si>
    <t>1.80E-16</t>
  </si>
  <si>
    <t>5.35E-15</t>
  </si>
  <si>
    <t>PNSL1</t>
  </si>
  <si>
    <t>Photosynthetic NDH subunit of lumenal location 1, chloroplastic</t>
  </si>
  <si>
    <t>GO:0009507,GO:0009535,GO:0019898,GO:0009654,GO:0009579,GO:0005509,GO:0015979</t>
  </si>
  <si>
    <t>chloroplast|chloroplast thylakoid membrane|extrinsic component of membrane|photosystem II oxygen evolving complex|thylakoid|calcium ion binding|photosynthesis</t>
  </si>
  <si>
    <t>J2O13_08G019153</t>
  </si>
  <si>
    <t>2.17E-06</t>
  </si>
  <si>
    <t>TIP1-3</t>
  </si>
  <si>
    <t>Aquaporin TIP1-3</t>
  </si>
  <si>
    <t>GO:0016020,GO:0005774,GO:0015204,GO:0015250,GO:0015840,GO:0006833</t>
  </si>
  <si>
    <t>membrane|vacuolar membrane|urea transmembrane transporter activity|water channel activity|urea transport|water transport</t>
  </si>
  <si>
    <t>J2O13_08G019156</t>
  </si>
  <si>
    <t>1.13E-27</t>
  </si>
  <si>
    <t>1.04E-25</t>
  </si>
  <si>
    <t>CCB3</t>
  </si>
  <si>
    <t>Protein COFACTOR ASSEMBLY OF COMPLEX C SUBUNIT B CCB3, chloroplastic</t>
  </si>
  <si>
    <t>J2O13_08G019173</t>
  </si>
  <si>
    <t>2.46E-14</t>
  </si>
  <si>
    <t>5.65E-13</t>
  </si>
  <si>
    <t>ELP1</t>
  </si>
  <si>
    <t>Elongator complex protein 1</t>
  </si>
  <si>
    <t>GO:0005829,GO:0033588,GO:0005634,GO:0043621,GO:0000049,GO:0080178,GO:0009738,GO:0009734,GO:0051301,GO:0071215,GO:0048530,GO:0009965,GO:0031538,GO:0035265,GO:0008284,GO:0009787,GO:0010928,GO:2000024,GO:0009737,GO:0006979,GO:0006400,GO:0002926</t>
  </si>
  <si>
    <t>cytosol|elongator holoenzyme complex|nucleus|protein self-association|tRNA binding|5-carbamoylmethyl uridine residue modification|abscisic acid-activated signaling pathway|auxin-activated signaling pathway|cell division|cellular response to abscisic acid stimulus|fruit morphogenesis|leaf morphogenesis|negative regulation of anthocyanin metabolic process|organ growth|positive regulation of cell population proliferation|regulation of abscisic acid-activated signaling pathway|regulation of auxin mediated signaling pathway|regulation of leaf development|response to abscisic acid|response to oxidative stress|tRNA modification|tRNA wobble base 5-methoxycarbonylmethyl-2-thiouridinylation</t>
  </si>
  <si>
    <t>J2O13_08G019178</t>
  </si>
  <si>
    <t>ECI1</t>
  </si>
  <si>
    <t>Enoyl-CoA delta isomerase 1, peroxisomal</t>
  </si>
  <si>
    <t>ko00071</t>
  </si>
  <si>
    <t>Fatty acid degradation</t>
  </si>
  <si>
    <t>GO:0005777,GO:0004165,GO:0006635,GO:0009062</t>
  </si>
  <si>
    <t>peroxisome|delta(3)-delta(2)-enoyl-CoA isomerase activity|fatty acid beta-oxidation|fatty acid catabolic process</t>
  </si>
  <si>
    <t>J2O13_08G019190</t>
  </si>
  <si>
    <t>8.07E-14</t>
  </si>
  <si>
    <t>OVA1</t>
  </si>
  <si>
    <t>Methionine--tRNA ligase, chloroplastic/mitochondrial</t>
  </si>
  <si>
    <t>ko00450,ko00970</t>
  </si>
  <si>
    <t>Selenocompound metabolism|Aminoacyl-tRNA biosynthesis</t>
  </si>
  <si>
    <t>GO:0009507,GO:0009570,GO:0005739,GO:0005524,GO:0004825,GO:0006431,GO:0048481</t>
  </si>
  <si>
    <t>chloroplast|chloroplast stroma|mitochondrion|ATP binding|methionine-tRNA ligase activity|methionyl-tRNA aminoacylation|plant ovule development</t>
  </si>
  <si>
    <t>J2O13_08G019195</t>
  </si>
  <si>
    <t>3.13E-11</t>
  </si>
  <si>
    <t>4.71E-10</t>
  </si>
  <si>
    <t>UBC7</t>
  </si>
  <si>
    <t>Ubiquitin-conjugating enzyme E2 7</t>
  </si>
  <si>
    <t>ko04141,ko04120,ko05012,ko05022</t>
  </si>
  <si>
    <t>Protein processing in endoplasmic reticulum|Ubiquitin mediated proteolysis|Parkinson disease|Pathways of neurodegeneration - multiple diseases</t>
  </si>
  <si>
    <t>GO:0005524,GO:0061631,GO:0000209,GO:0006511</t>
  </si>
  <si>
    <t>ATP binding|ubiquitin conjugating enzyme activity|protein polyubiquitination|ubiquitin-dependent protein catabolic process</t>
  </si>
  <si>
    <t>J2O13_08G019197</t>
  </si>
  <si>
    <t>2.92E-18</t>
  </si>
  <si>
    <t>1.08E-16</t>
  </si>
  <si>
    <t>HSP70-4</t>
  </si>
  <si>
    <t>Heat shock 70 kDa protein 4</t>
  </si>
  <si>
    <t>GO:0005737,GO:0005829,GO:0005794,GO:0005739,GO:0005634,GO:0009505,GO:0000325,GO:0005886,GO:0005524,GO:0016887,GO:0140662,GO:0031072,GO:0051787,GO:0044183,GO:0031625,GO:0051082,GO:0034620,GO:0051085,GO:0042026,GO:0016567,GO:0009617,GO:0009408,GO:0009266,GO:0009615</t>
  </si>
  <si>
    <t>cytoplasm|cytosol|Golgi apparatus|mitochondrion|nucleus|plant-type cell wall|plant-type vacuole|plasma membrane|ATP binding|ATP hydrolysis activity|ATP-dependent protein folding chaperone|heat shock protein binding|misfolded protein binding|protein folding chaperone|ubiquitin protein ligase binding|unfolded protein binding|cellular response to unfolded protein|chaperone cofactor-dependent protein refolding|protein refolding|protein ubiquitination|response to bacterium|response to heat|response to temperature stimulus|response to virus</t>
  </si>
  <si>
    <t>J2O13_08G019200</t>
  </si>
  <si>
    <t>J2O13_08G019201</t>
  </si>
  <si>
    <t>8.16E-08</t>
  </si>
  <si>
    <t>7.22E-07</t>
  </si>
  <si>
    <t>J2O13_08G019204</t>
  </si>
  <si>
    <t>1.63E-74</t>
  </si>
  <si>
    <t>3.63E-71</t>
  </si>
  <si>
    <t>Heat shock cognate 70 kDa protein</t>
  </si>
  <si>
    <t>GO:0005524,GO:0140662</t>
  </si>
  <si>
    <t>ATP binding|ATP-dependent protein folding chaperone</t>
  </si>
  <si>
    <t>J2O13_08G019206</t>
  </si>
  <si>
    <t>J2O13_08G019210</t>
  </si>
  <si>
    <t>DOF3.6</t>
  </si>
  <si>
    <t>Dof zinc finger protein DOF3.6</t>
  </si>
  <si>
    <t>GO:0005634,GO:0003677,GO:0003700,GO:0046872</t>
  </si>
  <si>
    <t>nucleus|DNA binding|DNA-binding transcription factor activity|metal ion binding</t>
  </si>
  <si>
    <t>J2O13_08G019211</t>
  </si>
  <si>
    <t>RCOM_1206790</t>
  </si>
  <si>
    <t>CASP-like protein 4D1</t>
  </si>
  <si>
    <t>J2O13_08G019212</t>
  </si>
  <si>
    <t>PRL2</t>
  </si>
  <si>
    <t>Protein pleiotropic regulator PRL2</t>
  </si>
  <si>
    <t>GO:0071013,GO:0080008,GO:0000974,GO:0000398</t>
  </si>
  <si>
    <t>catalytic step 2 spliceosome|Cul4-RING E3 ubiquitin ligase complex|Prp19 complex|mRNA splicing, via spliceosome</t>
  </si>
  <si>
    <t>J2O13_08G019214</t>
  </si>
  <si>
    <t>6.90E-11</t>
  </si>
  <si>
    <t>9.84E-10</t>
  </si>
  <si>
    <t>Actin OS=Gossypium hirsutum OX=3635 PE=3 SV=1</t>
  </si>
  <si>
    <t>GO:0005737,GO:0005856,GO:0005524,GO:0016787</t>
  </si>
  <si>
    <t>cytoplasm|cytoskeleton|ATP binding|hydrolase activity</t>
  </si>
  <si>
    <t>J2O13_08G019224</t>
  </si>
  <si>
    <t>3.83E-69</t>
  </si>
  <si>
    <t>5.25E-66</t>
  </si>
  <si>
    <t>J2O13_08G019229</t>
  </si>
  <si>
    <t>5.49E-09</t>
  </si>
  <si>
    <t>5.95E-08</t>
  </si>
  <si>
    <t>J2O13_08G019231</t>
  </si>
  <si>
    <t>GINS2</t>
  </si>
  <si>
    <t>DNA replication complex GINS protein PSF2</t>
  </si>
  <si>
    <t>GO:0000811,GO:0006260,GO:0000727</t>
  </si>
  <si>
    <t>GINS complex|DNA replication|double-strand break repair via break-induced replication</t>
  </si>
  <si>
    <t>J2O13_08G019233</t>
  </si>
  <si>
    <t>9.20E-07</t>
  </si>
  <si>
    <t>6.68E-06</t>
  </si>
  <si>
    <t>PBL10</t>
  </si>
  <si>
    <t>Probable serine/threonine-protein kinase PBL10</t>
  </si>
  <si>
    <t>GO:0005886,GO:0005524,GO:0106310,GO:0004674,GO:0004713,GO:0006952,GO:1902458</t>
  </si>
  <si>
    <t>plasma membrane|ATP binding|protein serine kinase activity|protein serine/threonine kinase activity|protein tyrosine kinase activity|defense response|positive regulation of stomatal opening</t>
  </si>
  <si>
    <t>J2O13_08G019240</t>
  </si>
  <si>
    <t>4.39E-14</t>
  </si>
  <si>
    <t>9.76E-13</t>
  </si>
  <si>
    <t>J2O13_08G019248</t>
  </si>
  <si>
    <t>DVL11</t>
  </si>
  <si>
    <t>Small polypeptide DEVIL 11</t>
  </si>
  <si>
    <t>J2O13_08G019259</t>
  </si>
  <si>
    <t>3.84E-17</t>
  </si>
  <si>
    <t>1.24E-15</t>
  </si>
  <si>
    <t>RCA1</t>
  </si>
  <si>
    <t>Ribulose bisphosphate carboxylase/oxygenase activase 1, chloroplastic</t>
  </si>
  <si>
    <t>J2O13_08G019262</t>
  </si>
  <si>
    <t>5.72E-16</t>
  </si>
  <si>
    <t>AHL15</t>
  </si>
  <si>
    <t>AT-hook motif nuclear-localized protein 15</t>
  </si>
  <si>
    <t>GO:0005634,GO:0003700,GO:0003680,GO:0045087,GO:0045824</t>
  </si>
  <si>
    <t>nucleus|DNA-binding transcription factor activity|minor groove of adenine-thymine-rich DNA binding|innate immune response|negative regulation of innate immune response</t>
  </si>
  <si>
    <t>J2O13_08G019276</t>
  </si>
  <si>
    <t>1.37E-11</t>
  </si>
  <si>
    <t>UVR8</t>
  </si>
  <si>
    <t>Ultraviolet-B receptor UVR8</t>
  </si>
  <si>
    <t>GO:0000785,GO:0005829,GO:0005634,GO:0009536,GO:0003682,GO:0005085,GO:0042802,GO:0009881,GO:0042803,GO:0009649,GO:0009411,GO:0010224</t>
  </si>
  <si>
    <t>chromatin|cytosol|nucleus|plastid|chromatin binding|guanyl-nucleotide exchange factor activity|identical protein binding|photoreceptor activity|protein homodimerization activity|entrainment of circadian clock|response to UV|response to UV-B</t>
  </si>
  <si>
    <t>J2O13_08G019286</t>
  </si>
  <si>
    <t>4.35E-15</t>
  </si>
  <si>
    <t>1.11E-13</t>
  </si>
  <si>
    <t>J2O13_08G019290</t>
  </si>
  <si>
    <t>FPGS1</t>
  </si>
  <si>
    <t>Folylpolyglutamate synthase</t>
  </si>
  <si>
    <t>ko00790,ko01523</t>
  </si>
  <si>
    <t>Folate biosynthesis|Antifolate resistance</t>
  </si>
  <si>
    <t>GO:0009507,GO:0005737,GO:0005829,GO:0005739,GO:0005524,GO:0046872,GO:0004326,GO:0009396,GO:0009809,GO:0006730,GO:1904961,GO:0048364,GO:0048767,GO:0010449,GO:0046901</t>
  </si>
  <si>
    <t>chloroplast|cytoplasm|cytosol|mitochondrion|ATP binding|metal ion binding|tetrahydrofolylpolyglutamate synthase activity|folic acid-containing compound biosynthetic process|lignin biosynthetic process|one-carbon metabolic process|quiescent center organization|root development|root hair elongation|root meristem growth|tetrahydrofolylpolyglutamate biosynthetic process</t>
  </si>
  <si>
    <t>J2O13_08G019291</t>
  </si>
  <si>
    <t>J2O13_08G019293</t>
  </si>
  <si>
    <t>5.08E-06</t>
  </si>
  <si>
    <t>3.18E-05</t>
  </si>
  <si>
    <t>J2O13_08G019297</t>
  </si>
  <si>
    <t>J2O13_08G019310</t>
  </si>
  <si>
    <t>1.31E-11</t>
  </si>
  <si>
    <t>2.08E-10</t>
  </si>
  <si>
    <t>ROPGEF5</t>
  </si>
  <si>
    <t>Rop guanine nucleotide exchange factor 5</t>
  </si>
  <si>
    <t>GO:0005085</t>
  </si>
  <si>
    <t>guanyl-nucleotide exchange factor activity</t>
  </si>
  <si>
    <t>J2O13_08G019312</t>
  </si>
  <si>
    <t>1.33E-10</t>
  </si>
  <si>
    <t>1.81E-09</t>
  </si>
  <si>
    <t>J2O13_08G019314</t>
  </si>
  <si>
    <t>2.67E-30</t>
  </si>
  <si>
    <t>3.03E-28</t>
  </si>
  <si>
    <t>7DLGT</t>
  </si>
  <si>
    <t>7-deoxyloganetic acid glucosyl transferase</t>
  </si>
  <si>
    <t>GO:0005829,GO:0005634,GO:0102970,GO:0008194</t>
  </si>
  <si>
    <t>cytosol|nucleus|7-deoxyloganetic acid glucosyltransferase activity|UDP-glycosyltransferase activity</t>
  </si>
  <si>
    <t>J2O13_08G019335</t>
  </si>
  <si>
    <t>3.96E-17</t>
  </si>
  <si>
    <t>Sedoheptulose-1,7-bisphosphatase, chloroplastic OS=Spinacia oleracea OX=3562 PE=2 SV=1</t>
  </si>
  <si>
    <t>GO:0009507,GO:0046872,GO:0050278,GO:0019253</t>
  </si>
  <si>
    <t>chloroplast|metal ion binding|sedoheptulose-bisphosphatase activity|reductive pentose-phosphate cycle</t>
  </si>
  <si>
    <t>J2O13_08G019338</t>
  </si>
  <si>
    <t>2.08E-13</t>
  </si>
  <si>
    <t>4.20E-12</t>
  </si>
  <si>
    <t>J2O13_08G019355</t>
  </si>
  <si>
    <t>2.62E-16</t>
  </si>
  <si>
    <t>7.55E-15</t>
  </si>
  <si>
    <t>PIP1-2</t>
  </si>
  <si>
    <t>Aquaporin PIP1-2</t>
  </si>
  <si>
    <t>GO:0005886,GO:0015267</t>
  </si>
  <si>
    <t>plasma membrane|channel activity</t>
  </si>
  <si>
    <t>J2O13_08G019360</t>
  </si>
  <si>
    <t>J2O13_08G019361</t>
  </si>
  <si>
    <t>2.44E-12</t>
  </si>
  <si>
    <t>HSPRO2</t>
  </si>
  <si>
    <t>Nematode resistance protein-like HSPRO2</t>
  </si>
  <si>
    <t>GO:0005737,GO:0020037,GO:0046872,GO:0071456,GO:0042742,GO:0006979,GO:0009751,GO:0019441</t>
  </si>
  <si>
    <t>cytoplasm|heme binding|metal ion binding|cellular response to hypoxia|defense response to bacterium|response to oxidative stress|response to salicylic acid|tryptophan catabolic process to kynurenine</t>
  </si>
  <si>
    <t>J2O13_08G019367</t>
  </si>
  <si>
    <t>At3g47110</t>
  </si>
  <si>
    <t>Putative receptor-like protein kinase At3g47110</t>
  </si>
  <si>
    <t>J2O13_08G019377</t>
  </si>
  <si>
    <t>ASA1</t>
  </si>
  <si>
    <t>Anthranilate synthase alpha subunit 1, chloroplastic</t>
  </si>
  <si>
    <t>ko00400,ko00405,ko02024,ko02025</t>
  </si>
  <si>
    <t>Phenylalanine, tyrosine and tryptophan biosynthesis|Phenazine biosynthesis|Quorum sensing|Biofilm formation - Pseudomonas aeruginosa</t>
  </si>
  <si>
    <t>GO:0009507,GO:0004049,GO:0046872,GO:0010600,GO:0000162</t>
  </si>
  <si>
    <t>chloroplast|anthranilate synthase activity|metal ion binding|regulation of auxin biosynthetic process|tryptophan biosynthetic process</t>
  </si>
  <si>
    <t>J2O13_08G019386</t>
  </si>
  <si>
    <t>7.61E-13</t>
  </si>
  <si>
    <t>1.43E-11</t>
  </si>
  <si>
    <t>LHCB4.3</t>
  </si>
  <si>
    <t>Chlorophyll a-b binding protein CP29.3, chloroplastic</t>
  </si>
  <si>
    <t>ko00196</t>
  </si>
  <si>
    <t>Photosynthesis - antenna proteins</t>
  </si>
  <si>
    <t>GO:0009507,GO:0009534,GO:0009535,GO:0005794,GO:0009522,GO:0009523,GO:0009579,GO:0016168,GO:0046872,GO:0009768,GO:0009416</t>
  </si>
  <si>
    <t>chloroplast|chloroplast thylakoid|chloroplast thylakoid membrane|Golgi apparatus|photosystem I|photosystem II|thylakoid|chlorophyll binding|metal ion binding|photosynthesis, light harvesting in photosystem I|response to light stimulus</t>
  </si>
  <si>
    <t>J2O13_08G019387</t>
  </si>
  <si>
    <t>2.75E-05</t>
  </si>
  <si>
    <t>HMG1/2-like protein OS=Ipomoea nil OX=35883 PE=2 SV=1</t>
  </si>
  <si>
    <t>GO:0000785,GO:0005634,GO:0003682,GO:0003677,GO:0030527,GO:0006325</t>
  </si>
  <si>
    <t>chromatin|nucleus|chromatin binding|DNA binding|structural constituent of chromatin|chromatin organization</t>
  </si>
  <si>
    <t>J2O13_08G019395</t>
  </si>
  <si>
    <t>CPRD49</t>
  </si>
  <si>
    <t>GDSL esterase/lipase CPRD49</t>
  </si>
  <si>
    <t>GO:0005576,GO:0016787,GO:0016042</t>
  </si>
  <si>
    <t>extracellular region|hydrolase activity|lipid catabolic process</t>
  </si>
  <si>
    <t>J2O13_08G019396</t>
  </si>
  <si>
    <t>2.05E-36</t>
  </si>
  <si>
    <t>3.61E-34</t>
  </si>
  <si>
    <t>ELF4</t>
  </si>
  <si>
    <t>Protein EARLY FLOWERING 4</t>
  </si>
  <si>
    <t>GO:0005634,GO:0005667,GO:0042803,GO:0009649,GO:0009908,GO:0000122,GO:0009648,GO:0048573,GO:0042753,GO:0010017,GO:0009585,GO:0042752,GO:0009909,GO:0010114,GO:0048511</t>
  </si>
  <si>
    <t>nucleus|transcription regulator complex|protein homodimerization activity|entrainment of circadian clock|flower development|negative regulation of transcription by RNA polymerase II|photoperiodism|photoperiodism, flowering|positive regulation of circadian rhythm|red or far-red light signaling pathway|red, far-red light phototransduction|regulation of circadian rhythm|regulation of flower development|response to red light|rhythmic process</t>
  </si>
  <si>
    <t>J2O13_08G019399</t>
  </si>
  <si>
    <t>J2O13_08G019405</t>
  </si>
  <si>
    <t>9.19E-08</t>
  </si>
  <si>
    <t>SMXL8</t>
  </si>
  <si>
    <t>Protein SMAX1-LIKE 8</t>
  </si>
  <si>
    <t>GO:0005634,GO:0005524,GO:0016887,GO:1902347</t>
  </si>
  <si>
    <t>nucleus|ATP binding|ATP hydrolysis activity|response to strigolactone</t>
  </si>
  <si>
    <t>J2O13_08G019409</t>
  </si>
  <si>
    <t>3.76E-55</t>
  </si>
  <si>
    <t>2.57E-52</t>
  </si>
  <si>
    <t>JOX2</t>
  </si>
  <si>
    <t>Jasmonate-induced oxygenase 2</t>
  </si>
  <si>
    <t>GO:0005829,GO:0051213,GO:0005506,GO:0120091,GO:0097237,GO:0006952,GO:1900366,GO:1900150,GO:2000022</t>
  </si>
  <si>
    <t>cytosol|dioxygenase activity|iron ion binding|jasmonic acid hydrolase|cellular response to toxic substance|defense response|negative regulation of defense response to insect|regulation of defense response to fungus|regulation of jasmonic acid mediated signaling pathway</t>
  </si>
  <si>
    <t>J2O13_08G019412</t>
  </si>
  <si>
    <t>8.12E-07</t>
  </si>
  <si>
    <t>5.95E-06</t>
  </si>
  <si>
    <t>PAI1</t>
  </si>
  <si>
    <t>N-(5'-phosphoribosyl)anthranilate isomerase 1, chloroplastic</t>
  </si>
  <si>
    <t>GO:0009507,GO:0004640,GO:0000162</t>
  </si>
  <si>
    <t>chloroplast|phosphoribosylanthranilate isomerase activity|tryptophan biosynthetic process</t>
  </si>
  <si>
    <t>J2O13_08G019414</t>
  </si>
  <si>
    <t>1.52E-09</t>
  </si>
  <si>
    <t>1.78E-08</t>
  </si>
  <si>
    <t>FAD7A-1</t>
  </si>
  <si>
    <t>Omega-3 fatty acid desaturase, chloroplastic</t>
  </si>
  <si>
    <t>GO:0031969,GO:0016717,GO:0006636</t>
  </si>
  <si>
    <t>chloroplast membrane|oxidoreductase activity, acting on paired donors, with oxidation of a pair of donors resulting in the reduction of molecular oxygen to two molecules of water|unsaturated fatty acid biosynthetic process</t>
  </si>
  <si>
    <t>J2O13_08G019416</t>
  </si>
  <si>
    <t>J2O13_08G019429</t>
  </si>
  <si>
    <t>2.48E-05</t>
  </si>
  <si>
    <t>ATL66</t>
  </si>
  <si>
    <t>RING-H2 finger protein ATL66</t>
  </si>
  <si>
    <t>J2O13_08G019433</t>
  </si>
  <si>
    <t>LBD21</t>
  </si>
  <si>
    <t>LOB domain-containing protein 21</t>
  </si>
  <si>
    <t>J2O13_08G019435</t>
  </si>
  <si>
    <t>4.91E-09</t>
  </si>
  <si>
    <t>5.34E-08</t>
  </si>
  <si>
    <t>UGP3</t>
  </si>
  <si>
    <t>UTP--glucose-1-phosphate uridylyltransferase 3, chloroplastic</t>
  </si>
  <si>
    <t>GO:0009507,GO:0003977,GO:0003983,GO:0046506,GO:0006011,GO:0006048</t>
  </si>
  <si>
    <t>chloroplast|UDP-N-acetylglucosamine diphosphorylase activity|UTP:glucose-1-phosphate uridylyltransferase activity|sulfolipid biosynthetic process|UDP-glucose metabolic process|UDP-N-acetylglucosamine biosynthetic process</t>
  </si>
  <si>
    <t>J2O13_08G019436</t>
  </si>
  <si>
    <t>9.91E-05</t>
  </si>
  <si>
    <t>At2g40250</t>
  </si>
  <si>
    <t>GDSL esterase/lipase At2g40250</t>
  </si>
  <si>
    <t>J2O13_08G019437</t>
  </si>
  <si>
    <t>At1g14600</t>
  </si>
  <si>
    <t>Putative Myb family transcription factor At1g14600</t>
  </si>
  <si>
    <t>GO:0005634,GO:0003700,GO:0000976,GO:0010158,GO:0006355</t>
  </si>
  <si>
    <t>nucleus|DNA-binding transcription factor activity|transcription cis-regulatory region binding|abaxial cell fate specification|regulation of DNA-templated transcription</t>
  </si>
  <si>
    <t>J2O13_08G019446</t>
  </si>
  <si>
    <t>5.14E-08</t>
  </si>
  <si>
    <t>At2g40280</t>
  </si>
  <si>
    <t>Probable methyltransferase PMT23</t>
  </si>
  <si>
    <t>GO:0005737,GO:0005768,GO:0005794,GO:0000137,GO:0000139,GO:0005802,GO:0008168,GO:0032259</t>
  </si>
  <si>
    <t>cytoplasm|endosome|Golgi apparatus|Golgi cis cisterna|Golgi membrane|trans-Golgi network|methyltransferase activity|methylation</t>
  </si>
  <si>
    <t>J2O13_08G019456</t>
  </si>
  <si>
    <t>1.36E-10</t>
  </si>
  <si>
    <t>1.85E-09</t>
  </si>
  <si>
    <t>RDM4</t>
  </si>
  <si>
    <t>RNA-directed DNA methylation 4</t>
  </si>
  <si>
    <t>GO:0003700,GO:0006306,GO:0009791,GO:0006355,GO:0031047</t>
  </si>
  <si>
    <t>DNA-binding transcription factor activity|DNA methylation|post-embryonic development|regulation of DNA-templated transcription|RNA-mediated gene silencing</t>
  </si>
  <si>
    <t>J2O13_08G019458</t>
  </si>
  <si>
    <t>J2O13_08G019460</t>
  </si>
  <si>
    <t>PYL4</t>
  </si>
  <si>
    <t>Abscisic acid receptor PYL4</t>
  </si>
  <si>
    <t>GO:0005737,GO:0005634,GO:0009705,GO:0005886,GO:0010427,GO:0042803,GO:0004864,GO:0038023,GO:0044389,GO:0009738,GO:0080163</t>
  </si>
  <si>
    <t>cytoplasm|nucleus|plant-type vacuole membrane|plasma membrane|abscisic acid binding|protein homodimerization activity|protein phosphatase inhibitor activity|signaling receptor activity|ubiquitin-like protein ligase binding|abscisic acid-activated signaling pathway|regulation of protein serine/threonine phosphatase activity</t>
  </si>
  <si>
    <t>J2O13_08G019468</t>
  </si>
  <si>
    <t>J2O13_08G019469</t>
  </si>
  <si>
    <t>B2 protein OS=Daucus carota OX=4039 PE=2 SV=1</t>
  </si>
  <si>
    <t>GO:0005768,GO:0010941,GO:1904350,GO:0034976,GO:1902074</t>
  </si>
  <si>
    <t>endosome|regulation of cell death|regulation of protein catabolic process in the vacuole|response to endoplasmic reticulum stress|response to salt</t>
  </si>
  <si>
    <t>J2O13_08G019470</t>
  </si>
  <si>
    <t>RER6</t>
  </si>
  <si>
    <t>Protein RETICULATA-RELATED 6, chloroplastic</t>
  </si>
  <si>
    <t>GO:0009507,GO:0031969</t>
  </si>
  <si>
    <t>chloroplast|chloroplast membrane</t>
  </si>
  <si>
    <t>J2O13_08G019474</t>
  </si>
  <si>
    <t>3.41E-07</t>
  </si>
  <si>
    <t>ERD15</t>
  </si>
  <si>
    <t>Protein EARLY RESPONSIVE TO DEHYDRATION 15</t>
  </si>
  <si>
    <t>GO:0005634,GO:0003677,GO:0045893</t>
  </si>
  <si>
    <t>nucleus|DNA binding|positive regulation of DNA-templated transcription</t>
  </si>
  <si>
    <t>J2O13_08G019491</t>
  </si>
  <si>
    <t>NPF5.1</t>
  </si>
  <si>
    <t>Protein NRT1/ PTR FAMILY 5.1</t>
  </si>
  <si>
    <t>GO:0016020,GO:0071916,GO:0022857,GO:0042937,GO:0009624,GO:0055085</t>
  </si>
  <si>
    <t>membrane|dipeptide transmembrane transporter activity|transmembrane transporter activity|tripeptide transmembrane transporter activity|response to nematode|transmembrane transport</t>
  </si>
  <si>
    <t>J2O13_08G019492</t>
  </si>
  <si>
    <t>2.60E-28</t>
  </si>
  <si>
    <t>2.51E-26</t>
  </si>
  <si>
    <t>J2O13_08G019504</t>
  </si>
  <si>
    <t>2.57E-14</t>
  </si>
  <si>
    <t>5.87E-13</t>
  </si>
  <si>
    <t>POT2</t>
  </si>
  <si>
    <t>Potassium transporter 2</t>
  </si>
  <si>
    <t>J2O13_08G019525</t>
  </si>
  <si>
    <t>2.12E-07</t>
  </si>
  <si>
    <t>1.73E-06</t>
  </si>
  <si>
    <t>WRKY70</t>
  </si>
  <si>
    <t>WRKY DNA-binding transcription factor 70</t>
  </si>
  <si>
    <t>GO:0005634,GO:0003700,GO:0043565,GO:0002215,GO:2000068,GO:0009625,GO:0009753,GO:0009624,GO:0009751</t>
  </si>
  <si>
    <t>nucleus|DNA-binding transcription factor activity|sequence-specific DNA binding|defense response to nematode|regulation of defense response to insect|response to insect|response to jasmonic acid|response to nematode|response to salicylic acid</t>
  </si>
  <si>
    <t>J2O13_08G019535</t>
  </si>
  <si>
    <t>1.79E-06</t>
  </si>
  <si>
    <t>1.23E-05</t>
  </si>
  <si>
    <t>J2O13_08G019539</t>
  </si>
  <si>
    <t>At5g05200</t>
  </si>
  <si>
    <t>Uncharacterized aarF domain-containing protein kinase At5g05200, chloroplastic</t>
  </si>
  <si>
    <t>GO:0009507,GO:0005743,GO:0031966,GO:0005886,GO:0010287,GO:0005524,GO:0016301,GO:0055088,GO:0007005,GO:0016310</t>
  </si>
  <si>
    <t>chloroplast|mitochondrial inner membrane|mitochondrial membrane|plasma membrane|plastoglobule|ATP binding|kinase activity|lipid homeostasis|mitochondrion organization|phosphorylation</t>
  </si>
  <si>
    <t>J2O13_08G019544</t>
  </si>
  <si>
    <t>J2O13_09G019559</t>
  </si>
  <si>
    <t>AS2</t>
  </si>
  <si>
    <t>Protein ASYMMETRIC LEAVES 2</t>
  </si>
  <si>
    <t>GO:0005654,GO:0005634,GO:0009943,GO:0048441,GO:0009944,GO:0009954,GO:0009799</t>
  </si>
  <si>
    <t>nucleoplasm|nucleus|adaxial/abaxial axis specification|petal development|polarity specification of adaxial/abaxial axis|proximal/distal pattern formation|specification of symmetry</t>
  </si>
  <si>
    <t>J2O13_09G019561</t>
  </si>
  <si>
    <t>KOR2</t>
  </si>
  <si>
    <t>Endoglucanase 7</t>
  </si>
  <si>
    <t>GO:0016020,GO:0008810,GO:0071555,GO:0030245</t>
  </si>
  <si>
    <t>membrane|cellulase activity|cell wall organization|cellulose catabolic process</t>
  </si>
  <si>
    <t>J2O13_09G019564</t>
  </si>
  <si>
    <t>8.64E-07</t>
  </si>
  <si>
    <t>6.29E-06</t>
  </si>
  <si>
    <t>AHASS2</t>
  </si>
  <si>
    <t>Acetolactate synthase small subunit 2, chloroplastic</t>
  </si>
  <si>
    <t>ko00650,ko00660,ko00290,ko00770</t>
  </si>
  <si>
    <t>Butanoate metabolism|C5-Branched dibasic acid metabolism|Valine, leucine and isoleucine biosynthesis|Pantothenate and CoA biosynthesis</t>
  </si>
  <si>
    <t>GO:0009507,GO:0005829,GO:0005777,GO:1990610,GO:0043621,GO:0009097,GO:0006551,GO:0050790,GO:0009099,GO:0006573</t>
  </si>
  <si>
    <t>chloroplast|cytosol|peroxisome|acetolactate synthase regulator activity|protein self-association|isoleucine biosynthetic process|leucine metabolic process|regulation of catalytic activity|valine biosynthetic process|valine metabolic process</t>
  </si>
  <si>
    <t>J2O13_09G019574</t>
  </si>
  <si>
    <t>2.53E-36</t>
  </si>
  <si>
    <t>4.37E-34</t>
  </si>
  <si>
    <t>J2O13_09G019576</t>
  </si>
  <si>
    <t>1.74E-15</t>
  </si>
  <si>
    <t>4.63E-14</t>
  </si>
  <si>
    <t>PGLP1A</t>
  </si>
  <si>
    <t>Phosphoglycolate phosphatase 1A, chloroplastic</t>
  </si>
  <si>
    <t>GO:0009507,GO:0016791,GO:0008967,GO:0009853</t>
  </si>
  <si>
    <t>chloroplast|phosphatase activity|phosphoglycolate phosphatase activity|photorespiration</t>
  </si>
  <si>
    <t>J2O13_09G019584</t>
  </si>
  <si>
    <t>At2g30310</t>
  </si>
  <si>
    <t>GDSL esterase/lipase At2g30310</t>
  </si>
  <si>
    <t>J2O13_09G019607</t>
  </si>
  <si>
    <t>Thioredoxin F-type, chloroplastic OS=Pisum sativum OX=3888 PE=2 SV=1</t>
  </si>
  <si>
    <t>J2O13_09G019609</t>
  </si>
  <si>
    <t>J2O13_09G019610</t>
  </si>
  <si>
    <t>SCPL20</t>
  </si>
  <si>
    <t>Serine carboxypeptidase-like 20</t>
  </si>
  <si>
    <t>GO:0005576,GO:0005777,GO:0000325,GO:0016747,GO:0004185,GO:0006508,GO:0019748</t>
  </si>
  <si>
    <t>extracellular region|peroxisome|plant-type vacuole|acyltransferase activity, transferring groups other than amino-acyl groups|serine-type carboxypeptidase activity|proteolysis|secondary metabolic process</t>
  </si>
  <si>
    <t>J2O13_09G019611</t>
  </si>
  <si>
    <t>2.91E-17</t>
  </si>
  <si>
    <t>9.47E-16</t>
  </si>
  <si>
    <t>CBP1</t>
  </si>
  <si>
    <t>Serine carboxypeptidase 1</t>
  </si>
  <si>
    <t>GO:0016747,GO:0004185,GO:0006508,GO:0019748</t>
  </si>
  <si>
    <t>acyltransferase activity, transferring groups other than amino-acyl groups|serine-type carboxypeptidase activity|proteolysis|secondary metabolic process</t>
  </si>
  <si>
    <t>J2O13_09G019623</t>
  </si>
  <si>
    <t>CPR1</t>
  </si>
  <si>
    <t>F-box protein CPR1</t>
  </si>
  <si>
    <t>GO:0005737,GO:0005634,GO:0031348,GO:0042177,GO:0009626,GO:0016567</t>
  </si>
  <si>
    <t>cytoplasm|nucleus|negative regulation of defense response|negative regulation of protein catabolic process|plant-type hypersensitive response|protein ubiquitination</t>
  </si>
  <si>
    <t>J2O13_09G019626</t>
  </si>
  <si>
    <t>8.18E-05</t>
  </si>
  <si>
    <t>J2O13_09G019632</t>
  </si>
  <si>
    <t>2.12E-16</t>
  </si>
  <si>
    <t>6.20E-15</t>
  </si>
  <si>
    <t>WAKL1</t>
  </si>
  <si>
    <t>Wall-associated receptor kinase-like 1</t>
  </si>
  <si>
    <t>GO:0009505,GO:0005886,GO:0005524,GO:0030247,GO:0106310,GO:0004674,GO:0007166,GO:0006468</t>
  </si>
  <si>
    <t>plant-type cell wall|plasma membrane|ATP binding|polysaccharide binding|protein serine kinase activity|protein serine/threonine kinase activity|cell surface receptor signaling pathway|protein phosphorylation</t>
  </si>
  <si>
    <t>J2O13_09G019633</t>
  </si>
  <si>
    <t>Auxin-responsive protein SAUR71</t>
  </si>
  <si>
    <t>GO:0005737,GO:0009734</t>
  </si>
  <si>
    <t>cytoplasm|auxin-activated signaling pathway</t>
  </si>
  <si>
    <t>J2O13_09G019646</t>
  </si>
  <si>
    <t>5.61E-19</t>
  </si>
  <si>
    <t>2.24E-17</t>
  </si>
  <si>
    <t>J2O13_09G019652</t>
  </si>
  <si>
    <t>J2O13_09G019657</t>
  </si>
  <si>
    <t>4.60E-08</t>
  </si>
  <si>
    <t>J2O13_09G019659</t>
  </si>
  <si>
    <t>3.39E-11</t>
  </si>
  <si>
    <t>5.07E-10</t>
  </si>
  <si>
    <t>LAZY1</t>
  </si>
  <si>
    <t>Protein LAZY 1</t>
  </si>
  <si>
    <t>GO:0005634,GO:0005886,GO:0009959,GO:0009958,GO:2000012</t>
  </si>
  <si>
    <t>nucleus|plasma membrane|negative gravitropism|positive gravitropism|regulation of auxin polar transport</t>
  </si>
  <si>
    <t>J2O13_09G019663</t>
  </si>
  <si>
    <t>8.46E-08</t>
  </si>
  <si>
    <t>7.48E-07</t>
  </si>
  <si>
    <t>SPL16</t>
  </si>
  <si>
    <t>Squamosa promoter-binding-like protein 16</t>
  </si>
  <si>
    <t>J2O13_09G019664</t>
  </si>
  <si>
    <t>J2O13_09G019667</t>
  </si>
  <si>
    <t>EJ2</t>
  </si>
  <si>
    <t>MADS-box protein EJ2</t>
  </si>
  <si>
    <t>GO:0005634,GO:0000981,GO:0046983,GO:0000978,GO:0045944,GO:0006357</t>
  </si>
  <si>
    <t>nucleus|DNA-binding transcription factor activity, RNA polymerase II-specific|protein dimerization activity|RNA polymerase II cis-regulatory region sequence-specific DNA binding|positive regulation of transcription by RNA polymerase II|regulation of transcription by RNA polymerase II</t>
  </si>
  <si>
    <t>J2O13_09G019681</t>
  </si>
  <si>
    <t>LTPG1</t>
  </si>
  <si>
    <t>Non-specific lipid transfer protein GPI-anchored 1</t>
  </si>
  <si>
    <t>GO:0005783,GO:0005576,GO:0005794,GO:0005634,GO:0009505,GO:0005886,GO:0099503,GO:0008289,GO:0042335,GO:0050832,GO:0006869</t>
  </si>
  <si>
    <t>endoplasmic reticulum|extracellular region|Golgi apparatus|nucleus|plant-type cell wall|plasma membrane|secretory vesicle|lipid binding|cuticle development|defense response to fungus|lipid transport</t>
  </si>
  <si>
    <t>J2O13_09G019682</t>
  </si>
  <si>
    <t>At1g27930</t>
  </si>
  <si>
    <t>Probable methyltransferase At1g27930</t>
  </si>
  <si>
    <t>GO:0005768,GO:0005794,GO:0005797,GO:0000139,GO:0005634,GO:0005802,GO:0030775,GO:0009827,GO:0009834,GO:0006479,GO:0045492</t>
  </si>
  <si>
    <t>endosome|Golgi apparatus|Golgi medial cisterna|Golgi membrane|nucleus|trans-Golgi network|glucuronoxylan 4-O-methyltransferase activity|plant-type cell wall modification|plant-type secondary cell wall biogenesis|protein methylation|xylan biosynthetic process</t>
  </si>
  <si>
    <t>J2O13_09G019697</t>
  </si>
  <si>
    <t>5.28E-13</t>
  </si>
  <si>
    <t>1.02E-11</t>
  </si>
  <si>
    <t>J2O13_09G019698</t>
  </si>
  <si>
    <t>J2O13_09G019727</t>
  </si>
  <si>
    <t>LOX6</t>
  </si>
  <si>
    <t>Lipoxygenase 6, chloroplastic</t>
  </si>
  <si>
    <t>GO:0009507,GO:0005886,GO:0016165,GO:0046872,GO:0016702,GO:0006633,GO:0009695,GO:0034440,GO:0031408,GO:0009611</t>
  </si>
  <si>
    <t>chloroplast|plasma membrane|linoleate 13S-lipoxygenase activity|metal ion binding|oxidoreductase activity, acting on single donors with incorporation of molecular oxygen, incorporation of two atoms of oxygen|fatty acid biosynthetic process|jasmonic acid biosynthetic process|lipid oxidation|oxylipin biosynthetic process|response to wounding</t>
  </si>
  <si>
    <t>J2O13_09G019728</t>
  </si>
  <si>
    <t>7.19E-06</t>
  </si>
  <si>
    <t>4.38E-05</t>
  </si>
  <si>
    <t>4CLL9</t>
  </si>
  <si>
    <t>4-coumarate--CoA ligase-like 9</t>
  </si>
  <si>
    <t>GO:0005777,GO:0005524,GO:0016405,GO:0102391,GO:0004321,GO:0006633,GO:0009695,GO:0031408</t>
  </si>
  <si>
    <t>peroxisome|ATP binding|CoA-ligase activity|decanoate-CoA ligase activity|fatty-acyl-CoA synthase activity|fatty acid biosynthetic process|jasmonic acid biosynthetic process|oxylipin biosynthetic process</t>
  </si>
  <si>
    <t>J2O13_09G019729</t>
  </si>
  <si>
    <t>9.19E-07</t>
  </si>
  <si>
    <t>J2O13_09G019733</t>
  </si>
  <si>
    <t>4.31E-21</t>
  </si>
  <si>
    <t>2.12E-19</t>
  </si>
  <si>
    <t>J2O13_09G019753</t>
  </si>
  <si>
    <t>LHT2</t>
  </si>
  <si>
    <t>Lysine histidine transporter 2</t>
  </si>
  <si>
    <t>GO:0016020,GO:0005886,GO:0015172,GO:0015171,GO:0015293,GO:0003333</t>
  </si>
  <si>
    <t>membrane|plasma membrane|acidic amino acid transmembrane transporter activity|amino acid transmembrane transporter activity|symporter activity|amino acid transmembrane transport</t>
  </si>
  <si>
    <t>J2O13_09G019756</t>
  </si>
  <si>
    <t>ABCC5</t>
  </si>
  <si>
    <t>ABC transporter C family member 5</t>
  </si>
  <si>
    <t>GO:0016020,GO:0000325,GO:0005774,GO:0005773,GO:0008559,GO:0005524,GO:0016887,GO:0042626,GO:0008281,GO:1901527,GO:0030007,GO:0009651,GO:0055085</t>
  </si>
  <si>
    <t>membrane|plant-type vacuole|vacuolar membrane|vacuole|ABC-type xenobiotic transporter activity|ATP binding|ATP hydrolysis activity|ATPase-coupled transmembrane transporter activity|sulfonylurea receptor activity|abscisic acid-activated signaling pathway involved in stomatal movement|cellular potassium ion homeostasis|response to salt stress|transmembrane transport</t>
  </si>
  <si>
    <t>J2O13_09G019758</t>
  </si>
  <si>
    <t>7.55E-08</t>
  </si>
  <si>
    <t>6.74E-07</t>
  </si>
  <si>
    <t>SPO11-2</t>
  </si>
  <si>
    <t>Meiotic recombination protein SPO11-2</t>
  </si>
  <si>
    <t>GO:0000228,GO:0005524,GO:0003677,GO:0003918,GO:0016787,GO:0046872,GO:0051026,GO:0007059,GO:0009553,GO:0007129,GO:0051321,GO:0042138,GO:0000706,GO:0009555,GO:0007131,GO:0048316</t>
  </si>
  <si>
    <t>nuclear chromosome|ATP binding|DNA binding|DNA topoisomerase type II (double strand cut, ATP-hydrolyzing) activity|hydrolase activity|metal ion binding|chiasma assembly|chromosome segregation|embryo sac development|homologous chromosome pairing at meiosis|meiotic cell cycle|meiotic DNA double-strand break formation|meiotic DNA double-strand break processing|pollen development|reciprocal meiotic recombination|seed development</t>
  </si>
  <si>
    <t>J2O13_09G019759</t>
  </si>
  <si>
    <t>CXE16</t>
  </si>
  <si>
    <t>Probable carboxylesterase 16</t>
  </si>
  <si>
    <t>J2O13_09G019763</t>
  </si>
  <si>
    <t>1.64E-12</t>
  </si>
  <si>
    <t>2.97E-11</t>
  </si>
  <si>
    <t>HHL1</t>
  </si>
  <si>
    <t>Protein HHL1, chloroplastic</t>
  </si>
  <si>
    <t>GO:0009507,GO:0009941,GO:0009534,GO:0009535,GO:0005739,GO:0003729</t>
  </si>
  <si>
    <t>chloroplast|chloroplast envelope|chloroplast thylakoid|chloroplast thylakoid membrane|mitochondrion|mRNA binding</t>
  </si>
  <si>
    <t>J2O13_09G019764</t>
  </si>
  <si>
    <t>2.02E-13</t>
  </si>
  <si>
    <t>4.10E-12</t>
  </si>
  <si>
    <t>CYP71P1</t>
  </si>
  <si>
    <t>Tryptamine 5-hydroxylase</t>
  </si>
  <si>
    <t>GO:0005789,GO:0020037,GO:0005506,GO:0004497,GO:0016705,GO:0006952,GO:0006587</t>
  </si>
  <si>
    <t>endoplasmic reticulum membrane|heme binding|iron ion binding|monooxygenase activity|oxidoreductase activity, acting on paired donors, with incorporation or reduction of molecular oxygen|defense response|serotonin biosynthetic process from tryptophan</t>
  </si>
  <si>
    <t>J2O13_09G019765</t>
  </si>
  <si>
    <t>MYB20</t>
  </si>
  <si>
    <t>Transcription factor MYB20</t>
  </si>
  <si>
    <t>GO:0005634,GO:0000987,GO:0003700,GO:0000976,GO:0030154,GO:0009094,GO:0045892,GO:0045893,GO:1901002,GO:1901141,GO:2000762,GO:2000652</t>
  </si>
  <si>
    <t>nucleus|cis-regulatory region sequence-specific DNA binding|DNA-binding transcription factor activity|transcription cis-regulatory region binding|cell differentiation|L-phenylalanine biosynthetic process|negative regulation of DNA-templated transcription|positive regulation of DNA-templated transcription|positive regulation of response to salt stress|regulation of lignin biosynthetic process|regulation of phenylpropanoid metabolic process|regulation of secondary cell wall biogenesis</t>
  </si>
  <si>
    <t>J2O13_09G019768</t>
  </si>
  <si>
    <t>1.62E-09</t>
  </si>
  <si>
    <t>At1g67720</t>
  </si>
  <si>
    <t>Probable LRR receptor-like serine/threonine-protein kinase At1g67720</t>
  </si>
  <si>
    <t>J2O13_09G019775</t>
  </si>
  <si>
    <t>KCR2</t>
  </si>
  <si>
    <t>Very-long-chain 3-oxoacyl-CoA reductase-like protein At1g24470</t>
  </si>
  <si>
    <t>ko00062,ko00140,ko01040</t>
  </si>
  <si>
    <t>Fatty acid elongation|Steroid hormone biosynthesis|Biosynthesis of unsaturated fatty acids</t>
  </si>
  <si>
    <t>GO:0005783,GO:0005789,GO:0045703,GO:0016491</t>
  </si>
  <si>
    <t>endoplasmic reticulum|endoplasmic reticulum membrane|ketoreductase activity|oxidoreductase activity</t>
  </si>
  <si>
    <t>J2O13_09G019777</t>
  </si>
  <si>
    <t>J2O13_09G019778</t>
  </si>
  <si>
    <t>3.26E-07</t>
  </si>
  <si>
    <t>2.58E-06</t>
  </si>
  <si>
    <t>PSBY</t>
  </si>
  <si>
    <t>Photosystem II core complex proteins psbY, chloroplastic</t>
  </si>
  <si>
    <t>GO:0009535,GO:0009523,GO:0030145,GO:0015979</t>
  </si>
  <si>
    <t>chloroplast thylakoid membrane|photosystem II|manganese ion binding|photosynthesis</t>
  </si>
  <si>
    <t>J2O13_09G019779</t>
  </si>
  <si>
    <t>4.87E-08</t>
  </si>
  <si>
    <t>4.49E-07</t>
  </si>
  <si>
    <t>J2O13_09G019780</t>
  </si>
  <si>
    <t>9.99E-07</t>
  </si>
  <si>
    <t>ALB4</t>
  </si>
  <si>
    <t>ALBINO3-like protein 1, chloroplastic</t>
  </si>
  <si>
    <t>GO:0009507,GO:0009535,GO:0009579,GO:0032977,GO:0009658,GO:0051205,GO:0072598,GO:0010027</t>
  </si>
  <si>
    <t>chloroplast|chloroplast thylakoid membrane|thylakoid|membrane insertase activity|chloroplast organization|protein insertion into membrane|protein localization to chloroplast|thylakoid membrane organization</t>
  </si>
  <si>
    <t>J2O13_09G019783</t>
  </si>
  <si>
    <t>J2O13_09G019799</t>
  </si>
  <si>
    <t>SEOB</t>
  </si>
  <si>
    <t>Protein SIEVE ELEMENT OCCLUSION B</t>
  </si>
  <si>
    <t>GO:0042803,GO:0043621,GO:0010088</t>
  </si>
  <si>
    <t>protein homodimerization activity|protein self-association|phloem development</t>
  </si>
  <si>
    <t>J2O13_09G019810</t>
  </si>
  <si>
    <t>CYP71B36</t>
  </si>
  <si>
    <t>Cytochrome P450 71B36</t>
  </si>
  <si>
    <t>J2O13_09G019813</t>
  </si>
  <si>
    <t>9.23E-06</t>
  </si>
  <si>
    <t>J2O13_09G019814</t>
  </si>
  <si>
    <t>CYP71B26</t>
  </si>
  <si>
    <t>Cytochrome P450 71B26</t>
  </si>
  <si>
    <t>J2O13_09G019817</t>
  </si>
  <si>
    <t>3.96E-24</t>
  </si>
  <si>
    <t>2.51E-22</t>
  </si>
  <si>
    <t>MKP1</t>
  </si>
  <si>
    <t>Protein-tyrosine-phosphatase MKP1</t>
  </si>
  <si>
    <t>GO:0005829,GO:0017017,GO:0004725,GO:0006952,GO:0006470,GO:1902065,GO:0009651,GO:0010224,GO:0010225</t>
  </si>
  <si>
    <t>cytosol|MAP kinase tyrosine/serine/threonine phosphatase activity|protein tyrosine phosphatase activity|defense response|protein dephosphorylation|response to L-glutamate|response to salt stress|response to UV-B|response to UV-C</t>
  </si>
  <si>
    <t>J2O13_09G019821</t>
  </si>
  <si>
    <t>2.18E-07</t>
  </si>
  <si>
    <t>SUFE2</t>
  </si>
  <si>
    <t>SufE-like protein 2, chloroplastic</t>
  </si>
  <si>
    <t>GO:0009507,GO:0008047,GO:0016226,GO:0051176</t>
  </si>
  <si>
    <t>chloroplast|enzyme activator activity|iron-sulfur cluster assembly|positive regulation of sulfur metabolic process</t>
  </si>
  <si>
    <t>J2O13_09G019828</t>
  </si>
  <si>
    <t>J2O13_09G019830</t>
  </si>
  <si>
    <t>7.06E-13</t>
  </si>
  <si>
    <t>At1g67900</t>
  </si>
  <si>
    <t>BTB/POZ domain-containing protein At1g67900</t>
  </si>
  <si>
    <t>J2O13_09G019835</t>
  </si>
  <si>
    <t>J2O13_09G019845</t>
  </si>
  <si>
    <t>ABCB26</t>
  </si>
  <si>
    <t>ABC transporter B family member 26, chloroplastic</t>
  </si>
  <si>
    <t>GO:0009507,GO:0009941,GO:0031969,GO:0005739,GO:0140359,GO:0005524,GO:0016887,GO:0042626</t>
  </si>
  <si>
    <t>chloroplast|chloroplast envelope|chloroplast membrane|mitochondrion|ABC-type transporter activity|ATP binding|ATP hydrolysis activity|ATPase-coupled transmembrane transporter activity</t>
  </si>
  <si>
    <t>J2O13_09G019853</t>
  </si>
  <si>
    <t>9.80E-05</t>
  </si>
  <si>
    <t>GGAT2</t>
  </si>
  <si>
    <t>Glutamate--glyoxylate aminotransferase 2</t>
  </si>
  <si>
    <t>ko00630,ko00710,ko00250,ko00260,ko00220</t>
  </si>
  <si>
    <t>Glyoxylate and dicarboxylate metabolism|Carbon fixation in photosynthetic organisms|Alanine, aspartate and glutamate metabolism|Glycine, serine and threonine metabolism|Arginine biosynthesis</t>
  </si>
  <si>
    <t>GO:0009507,GO:0009570,GO:0005829,GO:0005739,GO:0005777,GO:0008453,GO:0047958,GO:0004021,GO:0003729,GO:0030170,GO:0009058,GO:0042853,GO:0009853</t>
  </si>
  <si>
    <t>chloroplast|chloroplast stroma|cytosol|mitochondrion|peroxisome|alanine-glyoxylate transaminase activity|glycine:2-oxoglutarate aminotransferase activity|L-alanine:2-oxoglutarate aminotransferase activity|mRNA binding|pyridoxal phosphate binding|biosynthetic process|L-alanine catabolic process|photorespiration</t>
  </si>
  <si>
    <t>J2O13_09G019855</t>
  </si>
  <si>
    <t>J2O13_09G019859</t>
  </si>
  <si>
    <t>J2O13_09G019865</t>
  </si>
  <si>
    <t>8.15E-06</t>
  </si>
  <si>
    <t>4.91E-05</t>
  </si>
  <si>
    <t>R1</t>
  </si>
  <si>
    <t>Alpha-glucan water dikinase, chloroplastic</t>
  </si>
  <si>
    <t>GO:0009507,GO:0005524,GO:0102216,GO:0046872,GO:0102218,GO:0005975,GO:0016310</t>
  </si>
  <si>
    <t>chloroplast|ATP binding|maltodextrin water dikinase|metal ion binding|starch, H2O dikinase activity|carbohydrate metabolic process|phosphorylation</t>
  </si>
  <si>
    <t>J2O13_09G019868</t>
  </si>
  <si>
    <t>NRT2.5</t>
  </si>
  <si>
    <t>High affinity nitrate transporter 2.5</t>
  </si>
  <si>
    <t>J2O13_09G019870</t>
  </si>
  <si>
    <t>1.44E-19</t>
  </si>
  <si>
    <t>6.06E-18</t>
  </si>
  <si>
    <t>CRK3</t>
  </si>
  <si>
    <t>Cysteine-rich receptor-like protein kinase 3</t>
  </si>
  <si>
    <t>GO:0005739,GO:0005886,GO:0005524,GO:0106310,GO:0004674,GO:0006468</t>
  </si>
  <si>
    <t>mitochondrion|plasma membrane|ATP binding|protein serine kinase activity|protein serine/threonine kinase activity|protein phosphorylation</t>
  </si>
  <si>
    <t>J2O13_09G019871</t>
  </si>
  <si>
    <t>3.42E-14</t>
  </si>
  <si>
    <t>7.66E-13</t>
  </si>
  <si>
    <t>CRK2</t>
  </si>
  <si>
    <t>Cysteine-rich receptor-like protein kinase 2</t>
  </si>
  <si>
    <t>GO:0005886,GO:0009506,GO:0005524,GO:0016301,GO:0004672,GO:0106310,GO:0004674,GO:0052545,GO:0046777,GO:0006468,GO:0072593,GO:0010193</t>
  </si>
  <si>
    <t>plasma membrane|plasmodesma|ATP binding|kinase activity|protein kinase activity|protein serine kinase activity|protein serine/threonine kinase activity|callose localization|protein autophosphorylation|protein phosphorylation|reactive oxygen species metabolic process|response to ozone</t>
  </si>
  <si>
    <t>J2O13_09G019872</t>
  </si>
  <si>
    <t>1.71E-40</t>
  </si>
  <si>
    <t>4.00E-38</t>
  </si>
  <si>
    <t>MENG</t>
  </si>
  <si>
    <t>2-phytyl-1,4-beta-naphthoquinone methyltransferase, chloroplastic</t>
  </si>
  <si>
    <t>GO:0009507,GO:0052624,GO:0008168,GO:0032259,GO:0042372,GO:0006744</t>
  </si>
  <si>
    <t>chloroplast|2-phytyl-1,4-naphthoquinone methyltransferase activity|methyltransferase activity|methylation|phylloquinone biosynthetic process|ubiquinone biosynthetic process</t>
  </si>
  <si>
    <t>J2O13_09G019900</t>
  </si>
  <si>
    <t>3.46E-13</t>
  </si>
  <si>
    <t>6.85E-12</t>
  </si>
  <si>
    <t>J2O13_09G019908</t>
  </si>
  <si>
    <t>1.80E-09</t>
  </si>
  <si>
    <t>At1g60420</t>
  </si>
  <si>
    <t>Probable nucleoredoxin 1</t>
  </si>
  <si>
    <t>GO:0005829,GO:0005634,GO:0004791,GO:0009860,GO:0010183,GO:0080092</t>
  </si>
  <si>
    <t>cytosol|nucleus|thioredoxin-disulfide reductase activity|pollen tube growth|pollen tube guidance|regulation of pollen tube growth</t>
  </si>
  <si>
    <t>J2O13_09G019910</t>
  </si>
  <si>
    <t>4.11E-06</t>
  </si>
  <si>
    <t>2.63E-05</t>
  </si>
  <si>
    <t>MTOPVIB</t>
  </si>
  <si>
    <t>Type 2 DNA topoisomerase 6 subunit B-like</t>
  </si>
  <si>
    <t>GO:0000793,GO:0005737,GO:0005634,GO:0003918,GO:0030674,GO:0048314,GO:0042138,GO:0048235,GO:0065003,GO:0007131</t>
  </si>
  <si>
    <t>condensed chromosome|cytoplasm|nucleus|DNA topoisomerase type II (double strand cut, ATP-hydrolyzing) activity|protein-macromolecule adaptor activity|embryo sac morphogenesis|meiotic DNA double-strand break formation|pollen sperm cell differentiation|protein-containing complex assembly|reciprocal meiotic recombination</t>
  </si>
  <si>
    <t>J2O13_09G019911</t>
  </si>
  <si>
    <t>4.61E-11</t>
  </si>
  <si>
    <t>GOLS1</t>
  </si>
  <si>
    <t>Galactinol synthase 1</t>
  </si>
  <si>
    <t>GO:0005737,GO:0047216,GO:0046872,GO:0052576,GO:0070417,GO:0006012,GO:0010325</t>
  </si>
  <si>
    <t>cytoplasm|inositol 3-alpha-galactosyltransferase activity|metal ion binding|carbohydrate storage|cellular response to cold|galactose metabolic process|raffinose family oligosaccharide biosynthetic process</t>
  </si>
  <si>
    <t>J2O13_09G019914</t>
  </si>
  <si>
    <t>At1g48100</t>
  </si>
  <si>
    <t>Polygalacturonase At1g48100</t>
  </si>
  <si>
    <t>GO:0005576,GO:0004650,GO:0005975,GO:0009831</t>
  </si>
  <si>
    <t>extracellular region|polygalacturonase activity|carbohydrate metabolic process|plant-type cell wall modification involved in multidimensional cell growth</t>
  </si>
  <si>
    <t>J2O13_09G019926</t>
  </si>
  <si>
    <t>7.83E-09</t>
  </si>
  <si>
    <t>XTH33</t>
  </si>
  <si>
    <t>Probable xyloglucan endotransglucosylase/hydrolase protein 33</t>
  </si>
  <si>
    <t>GO:0048046,GO:0005886,GO:0004553,GO:0030247,GO:0016762,GO:0042546,GO:0009831,GO:0010411</t>
  </si>
  <si>
    <t>apoplast|plasma membrane|hydrolase activity, hydrolyzing O-glycosyl compounds|polysaccharide binding|xyloglucan:xyloglucosyl transferase activity|cell wall biogenesis|plant-type cell wall modification involved in multidimensional cell growth|xyloglucan metabolic process</t>
  </si>
  <si>
    <t>J2O13_09G019938</t>
  </si>
  <si>
    <t>2.36E-07</t>
  </si>
  <si>
    <t>At5g59540</t>
  </si>
  <si>
    <t>1-aminocyclopropane-1-carboxylate oxidase homolog 12</t>
  </si>
  <si>
    <t>GO:0046872,GO:0016491</t>
  </si>
  <si>
    <t>metal ion binding|oxidoreductase activity</t>
  </si>
  <si>
    <t>J2O13_09G019943</t>
  </si>
  <si>
    <t>CDT1A</t>
  </si>
  <si>
    <t>CDT1-like protein a, chloroplastic</t>
  </si>
  <si>
    <t>ko04110</t>
  </si>
  <si>
    <t>Cell cycle</t>
  </si>
  <si>
    <t>GO:0009507,GO:0005634,GO:0004693,GO:0003677,GO:0070182,GO:0019901,GO:0009658,GO:0051276,GO:0006260,GO:0000076,GO:0071163,GO:0048229,GO:0000278,GO:0030174</t>
  </si>
  <si>
    <t>chloroplast|nucleus|cyclin-dependent protein serine/threonine kinase activity|DNA binding|DNA polymerase binding|protein kinase binding|chloroplast organization|chromosome organization|DNA replication|DNA replication checkpoint signaling|DNA replication preinitiation complex assembly|gametophyte development|mitotic cell cycle|regulation of DNA-templated DNA replication initiation</t>
  </si>
  <si>
    <t>J2O13_09G019954</t>
  </si>
  <si>
    <t>PHT1-4</t>
  </si>
  <si>
    <t>Inorganic phosphate transporter 1-4</t>
  </si>
  <si>
    <t>GO:0005794,GO:0005886,GO:0009506,GO:0005773,GO:0005315,GO:0015293,GO:0006817</t>
  </si>
  <si>
    <t>Golgi apparatus|plasma membrane|plasmodesma|vacuole|inorganic phosphate transmembrane transporter activity|symporter activity|phosphate ion transport</t>
  </si>
  <si>
    <t>J2O13_09G019955</t>
  </si>
  <si>
    <t>4.85E-05</t>
  </si>
  <si>
    <t>J2O13_09G019960</t>
  </si>
  <si>
    <t>MYB4</t>
  </si>
  <si>
    <t>Transcription factor MYB4</t>
  </si>
  <si>
    <t>GO:0005634,GO:0003677,GO:0045893,GO:0009409</t>
  </si>
  <si>
    <t>nucleus|DNA binding|positive regulation of DNA-templated transcription|response to cold</t>
  </si>
  <si>
    <t>J2O13_09G019964</t>
  </si>
  <si>
    <t>11S globulin seed storage protein 2 OS=Sesamum indicum OX=4182 PE=1 SV=1</t>
  </si>
  <si>
    <t>GO:0042735,GO:0045735,GO:0010431</t>
  </si>
  <si>
    <t>protein body|nutrient reservoir activity|seed maturation</t>
  </si>
  <si>
    <t>J2O13_09G019967</t>
  </si>
  <si>
    <t>J2O13_09G019972</t>
  </si>
  <si>
    <t>4.70E-11</t>
  </si>
  <si>
    <t>6.88E-10</t>
  </si>
  <si>
    <t>XERICO</t>
  </si>
  <si>
    <t>Probable E3 ubiquitin-protein ligase XERICO</t>
  </si>
  <si>
    <t>GO:0016020,GO:0046872,GO:0016740,GO:0009688,GO:0009687,GO:0016567,GO:0009739,GO:0006970,GO:0009651</t>
  </si>
  <si>
    <t>membrane|metal ion binding|transferase activity|abscisic acid biosynthetic process|abscisic acid metabolic process|protein ubiquitination|response to gibberellin|response to osmotic stress|response to salt stress</t>
  </si>
  <si>
    <t>J2O13_09G019984</t>
  </si>
  <si>
    <t>5.95E-05</t>
  </si>
  <si>
    <t>AIR3</t>
  </si>
  <si>
    <t>Subtilisin-like protease SBT5.3</t>
  </si>
  <si>
    <t>GO:0005576,GO:0004252,GO:0010102,GO:0006508,GO:0009733</t>
  </si>
  <si>
    <t>extracellular region|serine-type endopeptidase activity|lateral root morphogenesis|proteolysis|response to auxin</t>
  </si>
  <si>
    <t>J2O13_09G020001</t>
  </si>
  <si>
    <t>7.45E-20</t>
  </si>
  <si>
    <t>3.20E-18</t>
  </si>
  <si>
    <t>J2O13_09G020010</t>
  </si>
  <si>
    <t>CAX5</t>
  </si>
  <si>
    <t>Vacuolar cation/proton exchanger 5</t>
  </si>
  <si>
    <t>GO:0009705,GO:0015369,GO:0070588,GO:0006874</t>
  </si>
  <si>
    <t>plant-type vacuole membrane|calcium:proton antiporter activity|calcium ion transmembrane transport|cellular calcium ion homeostasis</t>
  </si>
  <si>
    <t>J2O13_09G020026</t>
  </si>
  <si>
    <t>8.78E-31</t>
  </si>
  <si>
    <t>1.05E-28</t>
  </si>
  <si>
    <t>UGT74AC1</t>
  </si>
  <si>
    <t>Mogroside IE synthase</t>
  </si>
  <si>
    <t>J2O13_09G020036</t>
  </si>
  <si>
    <t>1.03E-07</t>
  </si>
  <si>
    <t>8.99E-07</t>
  </si>
  <si>
    <t>PSAL</t>
  </si>
  <si>
    <t>Photosystem I reaction center subunit XI, chloroplastic</t>
  </si>
  <si>
    <t>GO:0009507,GO:0009941,GO:0031969,GO:0009534,GO:0009535,GO:0005829,GO:0009538,GO:0010287,GO:0009579,GO:0003729,GO:0019904,GO:0015979</t>
  </si>
  <si>
    <t>chloroplast|chloroplast envelope|chloroplast membrane|chloroplast thylakoid|chloroplast thylakoid membrane|cytosol|photosystem I reaction center|plastoglobule|thylakoid|mRNA binding|protein domain specific binding|photosynthesis</t>
  </si>
  <si>
    <t>J2O13_09G020037</t>
  </si>
  <si>
    <t>Os09g0520200</t>
  </si>
  <si>
    <t>Probable 1-acylglycerol-3-phosphate O-acyltransferase</t>
  </si>
  <si>
    <t>GO:0005737,GO:0003841,GO:0042171,GO:0004623,GO:0055088,GO:0006654</t>
  </si>
  <si>
    <t>cytoplasm|1-acylglycerol-3-phosphate O-acyltransferase activity|lysophosphatidic acid acyltransferase activity|phospholipase A2 activity|lipid homeostasis|phosphatidic acid biosynthetic process</t>
  </si>
  <si>
    <t>J2O13_09G020042</t>
  </si>
  <si>
    <t>5.45E-07</t>
  </si>
  <si>
    <t>4.12E-06</t>
  </si>
  <si>
    <t>J2O13_09G020055</t>
  </si>
  <si>
    <t>1.34E-07</t>
  </si>
  <si>
    <t>BASS3</t>
  </si>
  <si>
    <t>Probable sodium/metabolite cotransporter BASS3, chloroplastic</t>
  </si>
  <si>
    <t>J2O13_09G020056</t>
  </si>
  <si>
    <t>J2O13_09G020059</t>
  </si>
  <si>
    <t>4.77E-64</t>
  </si>
  <si>
    <t>5.00E-61</t>
  </si>
  <si>
    <t>At5g48480</t>
  </si>
  <si>
    <t>Uncharacterized protein At5g48480</t>
  </si>
  <si>
    <t>J2O13_09G020061</t>
  </si>
  <si>
    <t>4.01E-26</t>
  </si>
  <si>
    <t>J2O13_09G020064</t>
  </si>
  <si>
    <t>2.30E-09</t>
  </si>
  <si>
    <t>J2O13_09G020065</t>
  </si>
  <si>
    <t>J2O13_09G020071</t>
  </si>
  <si>
    <t>J2O13_09G020076</t>
  </si>
  <si>
    <t>1.48E-28</t>
  </si>
  <si>
    <t>1.46E-26</t>
  </si>
  <si>
    <t>CRRSP55</t>
  </si>
  <si>
    <t>Cysteine-rich repeat secretory protein 55</t>
  </si>
  <si>
    <t>GO:0005576,GO:0099503</t>
  </si>
  <si>
    <t>extracellular region|secretory vesicle</t>
  </si>
  <si>
    <t>J2O13_09G020083</t>
  </si>
  <si>
    <t>2.60E-14</t>
  </si>
  <si>
    <t>5.94E-13</t>
  </si>
  <si>
    <t>AIR12</t>
  </si>
  <si>
    <t>Auxin-induced in root cultures protein 12</t>
  </si>
  <si>
    <t>GO:0005886,GO:0046872,GO:0009734</t>
  </si>
  <si>
    <t>plasma membrane|metal ion binding|auxin-activated signaling pathway</t>
  </si>
  <si>
    <t>J2O13_09G020093</t>
  </si>
  <si>
    <t>J2O13_09G020106</t>
  </si>
  <si>
    <t>CEQORH</t>
  </si>
  <si>
    <t>Chloroplast envelope quinone oxidoreductase homolog</t>
  </si>
  <si>
    <t>GO:0009507,GO:0009941,GO:0009706,GO:0009535,GO:0005829,GO:0000325,GO:0005886,GO:0016491</t>
  </si>
  <si>
    <t>chloroplast|chloroplast envelope|chloroplast inner membrane|chloroplast thylakoid membrane|cytosol|plant-type vacuole|plasma membrane|oxidoreductase activity</t>
  </si>
  <si>
    <t>J2O13_09G020115</t>
  </si>
  <si>
    <t>4.94E-13</t>
  </si>
  <si>
    <t>9.58E-12</t>
  </si>
  <si>
    <t>GCH1</t>
  </si>
  <si>
    <t>GTP cyclohydrolase 1</t>
  </si>
  <si>
    <t>GO:0005737,GO:0005525,GO:0003934,GO:0042803,GO:0008270,GO:0035998,GO:0006729,GO:0046654</t>
  </si>
  <si>
    <t>cytoplasm|GTP binding|GTP cyclohydrolase I activity|protein homodimerization activity|zinc ion binding|7,8-dihydroneopterin 3'-triphosphate biosynthetic process|tetrahydrobiopterin biosynthetic process|tetrahydrofolate biosynthetic process</t>
  </si>
  <si>
    <t>J2O13_09G020121</t>
  </si>
  <si>
    <t>J2O13_09G020122</t>
  </si>
  <si>
    <t>CYP82G1</t>
  </si>
  <si>
    <t>Dimethylnonatriene synthase</t>
  </si>
  <si>
    <t>GO:0016020,GO:0097008,GO:0097007,GO:0102171,GO:0020037,GO:0005506,GO:0050832,GO:0002213,GO:0098542,GO:1901045,GO:0009617,GO:0046246,GO:0016114</t>
  </si>
  <si>
    <t>membrane|(3E)-4,8-dimethyl-1,3,7-nonatriene synthase activity|4,8,12-trimethyltrideca-1,3,7,11-tetraene synthase activity|DMNT synthase activity|heme binding|iron ion binding|defense response to fungus|defense response to insect|defense response to other organism|negative regulation of oviposition|response to bacterium|terpene biosynthetic process|terpenoid biosynthetic process</t>
  </si>
  <si>
    <t>J2O13_09G020125</t>
  </si>
  <si>
    <t>AFP3</t>
  </si>
  <si>
    <t>Ninja-family protein AFP3</t>
  </si>
  <si>
    <t>GO:0005634,GO:0045892,GO:0009737,GO:0007165</t>
  </si>
  <si>
    <t>nucleus|negative regulation of DNA-templated transcription|response to abscisic acid|signal transduction</t>
  </si>
  <si>
    <t>J2O13_09G020129</t>
  </si>
  <si>
    <t>1.12E-06</t>
  </si>
  <si>
    <t>8.02E-06</t>
  </si>
  <si>
    <t>J2O13_09G020136</t>
  </si>
  <si>
    <t>4.42E-21</t>
  </si>
  <si>
    <t>2.18E-19</t>
  </si>
  <si>
    <t>MEBL</t>
  </si>
  <si>
    <t>Membrane protein of ER body-like protein</t>
  </si>
  <si>
    <t>GO:0005789,GO:0010168,GO:0016020,GO:0005886,GO:0005381,GO:0005384,GO:0030026,GO:0006880</t>
  </si>
  <si>
    <t>endoplasmic reticulum membrane|ER body|membrane|plasma membrane|iron ion transmembrane transporter activity|manganese ion transmembrane transporter activity|cellular manganese ion homeostasis|intracellular sequestering of iron ion</t>
  </si>
  <si>
    <t>J2O13_09G020156</t>
  </si>
  <si>
    <t>PAP15</t>
  </si>
  <si>
    <t>Purple acid phosphatase 15</t>
  </si>
  <si>
    <t>GO:0005576,GO:0008707,GO:0003993,GO:0046872,GO:0009846,GO:0009845</t>
  </si>
  <si>
    <t>extracellular region|4-phytase activity|acid phosphatase activity|metal ion binding|pollen germination|seed germination</t>
  </si>
  <si>
    <t>J2O13_09G020158</t>
  </si>
  <si>
    <t>9.82E-16</t>
  </si>
  <si>
    <t>2.66E-14</t>
  </si>
  <si>
    <t>J2O13_09G020165</t>
  </si>
  <si>
    <t>2.28E-11</t>
  </si>
  <si>
    <t>3.49E-10</t>
  </si>
  <si>
    <t>MYOB5</t>
  </si>
  <si>
    <t>Probable myosin-binding protein 5</t>
  </si>
  <si>
    <t>GO:0016020,GO:0080115</t>
  </si>
  <si>
    <t>membrane|myosin XI tail binding</t>
  </si>
  <si>
    <t>J2O13_09G020168</t>
  </si>
  <si>
    <t>J2O13_09G020175</t>
  </si>
  <si>
    <t>At5g48800</t>
  </si>
  <si>
    <t>BTB/POZ domain-containing protein At5g48800</t>
  </si>
  <si>
    <t>J2O13_09G020186</t>
  </si>
  <si>
    <t>J2O13_09G020193</t>
  </si>
  <si>
    <t>1.77E-13</t>
  </si>
  <si>
    <t>3.61E-12</t>
  </si>
  <si>
    <t>At3g24760</t>
  </si>
  <si>
    <t>F-box/kelch-repeat protein At3g24760</t>
  </si>
  <si>
    <t>GO:0005737,GO:0004842,GO:0031146</t>
  </si>
  <si>
    <t>cytoplasm|ubiquitin-protein transferase activity|SCF-dependent proteasomal ubiquitin-dependent protein catabolic process</t>
  </si>
  <si>
    <t>J2O13_09G020201</t>
  </si>
  <si>
    <t>3.57E-10</t>
  </si>
  <si>
    <t>4.61E-09</t>
  </si>
  <si>
    <t>KAT1</t>
  </si>
  <si>
    <t>3-ketoacyl CoA thiolase 1, peroxisomal</t>
  </si>
  <si>
    <t>ko00071,ko00592,ko01040,ko00280,ko04146,ko03320</t>
  </si>
  <si>
    <t>Fatty acid degradation|alpha-Linolenic acid metabolism|Biosynthesis of unsaturated fatty acids|Valine, leucine and isoleucine degradation|Peroxisome|PPAR signaling pathway</t>
  </si>
  <si>
    <t>GO:0005777,GO:0003988,GO:0019438,GO:0010597</t>
  </si>
  <si>
    <t>peroxisome|acetyl-CoA C-acyltransferase activity|aromatic compound biosynthetic process|green leaf volatile biosynthetic process</t>
  </si>
  <si>
    <t>J2O13_09G020205</t>
  </si>
  <si>
    <t>J2O13_09G020206</t>
  </si>
  <si>
    <t>1.88E-08</t>
  </si>
  <si>
    <t>1.86E-07</t>
  </si>
  <si>
    <t>J2O13_09G020208</t>
  </si>
  <si>
    <t>2.31E-12</t>
  </si>
  <si>
    <t>4.11E-11</t>
  </si>
  <si>
    <t>J2O13_09G020231</t>
  </si>
  <si>
    <t>1.93E-09</t>
  </si>
  <si>
    <t>2.23E-08</t>
  </si>
  <si>
    <t>LPA1</t>
  </si>
  <si>
    <t>Protein LOW PSII ACCUMULATION 1, chloroplastic</t>
  </si>
  <si>
    <t>GO:0009507,GO:0009535,GO:0005576,GO:0010270</t>
  </si>
  <si>
    <t>chloroplast|chloroplast thylakoid membrane|extracellular region|photosystem II oxygen evolving complex assembly</t>
  </si>
  <si>
    <t>J2O13_09G020233</t>
  </si>
  <si>
    <t>J2O13_09G020236</t>
  </si>
  <si>
    <t>4.65E-19</t>
  </si>
  <si>
    <t>FTIP3</t>
  </si>
  <si>
    <t>FT-interacting protein 3</t>
  </si>
  <si>
    <t>GO:0005737,GO:0005829,GO:0005783,GO:0005789,GO:0005768,GO:0010008,GO:0000139,GO:0009505,GO:0005886,GO:0009506,GO:0016757,GO:0046872,GO:1902182</t>
  </si>
  <si>
    <t>cytoplasm|cytosol|endoplasmic reticulum|endoplasmic reticulum membrane|endosome|endosome membrane|Golgi membrane|plant-type cell wall|plasma membrane|plasmodesma|glycosyltransferase activity|metal ion binding|shoot apical meristem development</t>
  </si>
  <si>
    <t>J2O13_09G020239</t>
  </si>
  <si>
    <t>J2O13_09G020246</t>
  </si>
  <si>
    <t>7.89E-14</t>
  </si>
  <si>
    <t>1.70E-12</t>
  </si>
  <si>
    <t>TYDC2</t>
  </si>
  <si>
    <t>Tyrosine decarboxylase 2</t>
  </si>
  <si>
    <t>ko00350,ko00360,ko00380,ko00901,ko00950,ko00965,ko04728,ko04726,ko04361,ko05030,ko05031,ko05034</t>
  </si>
  <si>
    <t>Tyrosine metabolism|Phenylalanine metabolism|Tryptophan metabolism|Indole alkaloid biosynthesis|Isoquinoline alkaloid biosynthesis|Betalain biosynthesis|Dopaminergic synapse|Serotonergic synapse|Axon regeneration|Cocaine addiction|Amphetamine addiction|Alcoholism</t>
  </si>
  <si>
    <t>GO:0030170,GO:0004837,GO:0009820,GO:0006520</t>
  </si>
  <si>
    <t>pyridoxal phosphate binding|tyrosine decarboxylase activity|alkaloid metabolic process|amino acid metabolic process</t>
  </si>
  <si>
    <t>J2O13_09G020250</t>
  </si>
  <si>
    <t>6.04E-37</t>
  </si>
  <si>
    <t>1.12E-34</t>
  </si>
  <si>
    <t>PSB28</t>
  </si>
  <si>
    <t>Photosystem II reaction center PSB28 protein, chloroplastic</t>
  </si>
  <si>
    <t>GO:0009535,GO:0009654,GO:0015979</t>
  </si>
  <si>
    <t>chloroplast thylakoid membrane|photosystem II oxygen evolving complex|photosynthesis</t>
  </si>
  <si>
    <t>J2O13_09G020258</t>
  </si>
  <si>
    <t>4.38E-10</t>
  </si>
  <si>
    <t>5.59E-09</t>
  </si>
  <si>
    <t>J2O13_09G020271</t>
  </si>
  <si>
    <t>9.05E-09</t>
  </si>
  <si>
    <t>9.45E-08</t>
  </si>
  <si>
    <t>J2O13_09G020272</t>
  </si>
  <si>
    <t>4.65E-12</t>
  </si>
  <si>
    <t>7.85E-11</t>
  </si>
  <si>
    <t>RPL23A</t>
  </si>
  <si>
    <t>60S ribosomal protein L23</t>
  </si>
  <si>
    <t>GO:0005829,GO:0022625,GO:0005783,GO:0005576,GO:0005730,GO:0070180,GO:0003729,GO:0003735,GO:0006412</t>
  </si>
  <si>
    <t>cytosol|cytosolic large ribosomal subunit|endoplasmic reticulum|extracellular region|nucleolus|large ribosomal subunit rRNA binding|mRNA binding|structural constituent of ribosome|translation</t>
  </si>
  <si>
    <t>J2O13_09G020273</t>
  </si>
  <si>
    <t>J2O13_09G020283</t>
  </si>
  <si>
    <t>3.40E-12</t>
  </si>
  <si>
    <t>J2O13_09G020290</t>
  </si>
  <si>
    <t>6.04E-09</t>
  </si>
  <si>
    <t>6.52E-08</t>
  </si>
  <si>
    <t>J2O13_09G020340</t>
  </si>
  <si>
    <t>2.74E-17</t>
  </si>
  <si>
    <t>8.96E-16</t>
  </si>
  <si>
    <t>NOI4</t>
  </si>
  <si>
    <t>Protein NOI4</t>
  </si>
  <si>
    <t>GO:0005886,GO:0009624</t>
  </si>
  <si>
    <t>plasma membrane|response to nematode</t>
  </si>
  <si>
    <t>J2O13_09G020346</t>
  </si>
  <si>
    <t>6.76E-07</t>
  </si>
  <si>
    <t>5.03E-06</t>
  </si>
  <si>
    <t>ABC1K7</t>
  </si>
  <si>
    <t>Protein ACTIVITY OF BC1 COMPLEX KINASE 7, chloroplastic</t>
  </si>
  <si>
    <t>GO:0009535,GO:0010287,GO:0005524,GO:0004672,GO:0106310,GO:0004674,GO:0034599,GO:0055072,GO:0046467,GO:0016310,GO:0080177,GO:1901031,GO:1990641,GO:0006979</t>
  </si>
  <si>
    <t>chloroplast thylakoid membrane|plastoglobule|ATP binding|protein kinase activity|protein serine kinase activity|protein serine/threonine kinase activity|cellular response to oxidative stress|iron ion homeostasis|membrane lipid biosynthetic process|phosphorylation|plastoglobule organization|regulation of response to reactive oxygen species|response to iron ion starvation|response to oxidative stress</t>
  </si>
  <si>
    <t>J2O13_09G020355</t>
  </si>
  <si>
    <t>MTL2</t>
  </si>
  <si>
    <t>Probable caffeine synthase MTL2</t>
  </si>
  <si>
    <t>GO:0046872,GO:0008168,GO:0032259</t>
  </si>
  <si>
    <t>metal ion binding|methyltransferase activity|methylation</t>
  </si>
  <si>
    <t>J2O13_09G020363</t>
  </si>
  <si>
    <t>4.70E-10</t>
  </si>
  <si>
    <t>5.96E-09</t>
  </si>
  <si>
    <t>KINB2</t>
  </si>
  <si>
    <t>SNF1-related protein kinase regulatory subunit beta-2</t>
  </si>
  <si>
    <t>GO:0009507,GO:0005886,GO:0005524,GO:0005975,GO:0006633,GO:0042128</t>
  </si>
  <si>
    <t>chloroplast|plasma membrane|ATP binding|carbohydrate metabolic process|fatty acid biosynthetic process|nitrate assimilation</t>
  </si>
  <si>
    <t>J2O13_09G020364</t>
  </si>
  <si>
    <t>J2O13_09G020385</t>
  </si>
  <si>
    <t>7.98E-05</t>
  </si>
  <si>
    <t>CAB-151</t>
  </si>
  <si>
    <t>Chlorophyll a-b binding protein 151, chloroplastic</t>
  </si>
  <si>
    <t>GO:0009535,GO:0009522,GO:0009523,GO:0016168,GO:0046872,GO:0009768,GO:0009416</t>
  </si>
  <si>
    <t>chloroplast thylakoid membrane|photosystem I|photosystem II|chlorophyll binding|metal ion binding|photosynthesis, light harvesting in photosystem I|response to light stimulus</t>
  </si>
  <si>
    <t>J2O13_09G020386</t>
  </si>
  <si>
    <t>J2O13_09G020389</t>
  </si>
  <si>
    <t>J2O13_09G020412</t>
  </si>
  <si>
    <t>3.24E-31</t>
  </si>
  <si>
    <t>4.06E-29</t>
  </si>
  <si>
    <t>At5g35735</t>
  </si>
  <si>
    <t>Cytochrome b561 and DOMON domain-containing protein At5g35735</t>
  </si>
  <si>
    <t>GO:0016020,GO:0046872,GO:0071456</t>
  </si>
  <si>
    <t>membrane|metal ion binding|cellular response to hypoxia</t>
  </si>
  <si>
    <t>J2O13_09G020418</t>
  </si>
  <si>
    <t>1.11E-12</t>
  </si>
  <si>
    <t>2.04E-11</t>
  </si>
  <si>
    <t>EMB2761</t>
  </si>
  <si>
    <t>Threonine--tRNA ligase, chloroplastic/mitochondrial 2</t>
  </si>
  <si>
    <t>GO:0009507,GO:0009570,GO:0005739,GO:0005524,GO:0046872,GO:0004829,GO:0009793,GO:0006435</t>
  </si>
  <si>
    <t>chloroplast|chloroplast stroma|mitochondrion|ATP binding|metal ion binding|threonine-tRNA ligase activity|embryo development ending in seed dormancy|threonyl-tRNA aminoacylation</t>
  </si>
  <si>
    <t>J2O13_09G020422</t>
  </si>
  <si>
    <t>3.87E-08</t>
  </si>
  <si>
    <t>3.65E-07</t>
  </si>
  <si>
    <t>J2O13_09G020425</t>
  </si>
  <si>
    <t>4.12E-05</t>
  </si>
  <si>
    <t>J2O13_09G020426</t>
  </si>
  <si>
    <t>9.13E-13</t>
  </si>
  <si>
    <t>J2O13_09G020427</t>
  </si>
  <si>
    <t>3.86E-13</t>
  </si>
  <si>
    <t>7.61E-12</t>
  </si>
  <si>
    <t>J2O13_09G020434</t>
  </si>
  <si>
    <t>FIM5</t>
  </si>
  <si>
    <t>Fimbrin-5</t>
  </si>
  <si>
    <t>GO:0005884,GO:0032432,GO:0005737,GO:0051015,GO:0030036,GO:0051017,GO:0051639,GO:0009846,GO:0009860</t>
  </si>
  <si>
    <t>actin filament|actin filament bundle|cytoplasm|actin filament binding|actin cytoskeleton organization|actin filament bundle assembly|actin filament network formation|pollen germination|pollen tube growth</t>
  </si>
  <si>
    <t>J2O13_09G020446</t>
  </si>
  <si>
    <t>J2O13_09G020480</t>
  </si>
  <si>
    <t>ACO1</t>
  </si>
  <si>
    <t>1-aminocyclopropane-1-carboxylate oxidase</t>
  </si>
  <si>
    <t>GO:0009815,GO:0031418,GO:0046872,GO:0009693,GO:0009835</t>
  </si>
  <si>
    <t>1-aminocyclopropane-1-carboxylate oxidase activity|L-ascorbic acid binding|metal ion binding|ethylene biosynthetic process|fruit ripening</t>
  </si>
  <si>
    <t>J2O13_09G020482</t>
  </si>
  <si>
    <t>6.93E-14</t>
  </si>
  <si>
    <t>1.51E-12</t>
  </si>
  <si>
    <t>ACX1</t>
  </si>
  <si>
    <t>Peroxisomal acyl-coenzyme A oxidase 1</t>
  </si>
  <si>
    <t>ko00640,ko00071,ko00592,ko01040,ko00410,ko04024,ko04146,ko03320,ko04936</t>
  </si>
  <si>
    <t>Propanoate metabolism|Fatty acid degradation|alpha-Linolenic acid metabolism|Biosynthesis of unsaturated fatty acids|beta-Alanine metabolism|cAMP signaling pathway|Peroxisome|PPAR signaling pathway|Alcoholic liver disease</t>
  </si>
  <si>
    <t>GO:0005829,GO:0005777,GO:0009506,GO:0003997,GO:0071949,GO:0005504,GO:0050660,GO:0016401,GO:0006635,GO:0033540,GO:0009695,GO:0055088,GO:0001676,GO:0009620,GO:0009611,GO:0000038</t>
  </si>
  <si>
    <t>cytosol|peroxisome|plasmodesma|acyl-CoA oxidase activity|FAD binding|fatty acid binding|flavin adenine dinucleotide binding|palmitoyl-CoA oxidase activity|fatty acid beta-oxidation|fatty acid beta-oxidation using acyl-CoA oxidase|jasmonic acid biosynthetic process|lipid homeostasis|long-chain fatty acid metabolic process|response to fungus|response to wounding|very long-chain fatty acid metabolic process</t>
  </si>
  <si>
    <t>J2O13_09G020502</t>
  </si>
  <si>
    <t>5.75E-22</t>
  </si>
  <si>
    <t>3.04E-20</t>
  </si>
  <si>
    <t>At1g05030</t>
  </si>
  <si>
    <t>Probable plastidic glucose transporter 1</t>
  </si>
  <si>
    <t>GO:0031969,GO:0016020,GO:0015149,GO:0015749</t>
  </si>
  <si>
    <t>chloroplast membrane|membrane|hexose transmembrane transporter activity|monosaccharide transmembrane transport</t>
  </si>
  <si>
    <t>J2O13_09G020521</t>
  </si>
  <si>
    <t>4.62E-09</t>
  </si>
  <si>
    <t>J2O13_09G020528</t>
  </si>
  <si>
    <t>Os06g0358800</t>
  </si>
  <si>
    <t>Ribonuclease 3-like protein 3</t>
  </si>
  <si>
    <t>GO:0005737,GO:0005634,GO:0046872,GO:0004525,GO:0003723,GO:0030422</t>
  </si>
  <si>
    <t>cytoplasm|nucleus|metal ion binding|ribonuclease III activity|RNA binding|siRNA processing</t>
  </si>
  <si>
    <t>J2O13_09G020531</t>
  </si>
  <si>
    <t>8.40E-06</t>
  </si>
  <si>
    <t>At3g21620</t>
  </si>
  <si>
    <t>CSC1-like protein At3g21620</t>
  </si>
  <si>
    <t>J2O13_09G020534</t>
  </si>
  <si>
    <t>1.33E-19</t>
  </si>
  <si>
    <t>5.62E-18</t>
  </si>
  <si>
    <t>J2O13_09G020540</t>
  </si>
  <si>
    <t>8.24E-12</t>
  </si>
  <si>
    <t>CYP74B2</t>
  </si>
  <si>
    <t>Linolenate hydroperoxide lyase, chloroplastic</t>
  </si>
  <si>
    <t>GO:0009507,GO:0020037,GO:0005506,GO:0016829,GO:0004497,GO:0016705,GO:0010597</t>
  </si>
  <si>
    <t>chloroplast|heme binding|iron ion binding|lyase activity|monooxygenase activity|oxidoreductase activity, acting on paired donors, with incorporation or reduction of molecular oxygen|green leaf volatile biosynthetic process</t>
  </si>
  <si>
    <t>J2O13_09G020549</t>
  </si>
  <si>
    <t>CSLB4</t>
  </si>
  <si>
    <t>Cellulose synthase-like protein B4</t>
  </si>
  <si>
    <t>J2O13_09G020557</t>
  </si>
  <si>
    <t>2.24E-05</t>
  </si>
  <si>
    <t>WRKY6</t>
  </si>
  <si>
    <t>WRKY transcription factor 6</t>
  </si>
  <si>
    <t>GO:0005634,GO:0003700,GO:0000976,GO:0080169,GO:0016036,GO:0009873,GO:0045892</t>
  </si>
  <si>
    <t>nucleus|DNA-binding transcription factor activity|transcription cis-regulatory region binding|cellular response to boron-containing substance deprivation|cellular response to phosphate starvation|ethylene-activated signaling pathway|negative regulation of DNA-templated transcription</t>
  </si>
  <si>
    <t>J2O13_09G020560</t>
  </si>
  <si>
    <t>2.44E-08</t>
  </si>
  <si>
    <t>2.38E-07</t>
  </si>
  <si>
    <t>J2O13_09G020564</t>
  </si>
  <si>
    <t>8.21E-11</t>
  </si>
  <si>
    <t>1.16E-09</t>
  </si>
  <si>
    <t>UP3</t>
  </si>
  <si>
    <t>Stress-response A/B barrel domain-containing protein UP3</t>
  </si>
  <si>
    <t>GO:0009507,GO:0009570,GO:0005739,GO:0005777</t>
  </si>
  <si>
    <t>chloroplast|chloroplast stroma|mitochondrion|peroxisome</t>
  </si>
  <si>
    <t>J2O13_09G020585</t>
  </si>
  <si>
    <t>1.52E-07</t>
  </si>
  <si>
    <t>Probable 5'-adenylylsulfate reductase 1, chloroplastic</t>
  </si>
  <si>
    <t>GO:0009507,GO:0051539,GO:0033741,GO:0046872,GO:0004604,GO:0019344,GO:0019379</t>
  </si>
  <si>
    <t>chloroplast|4 iron, 4 sulfur cluster binding|adenylyl-sulfate reductase (glutathione) activity|metal ion binding|phosphoadenylyl-sulfate reductase (thioredoxin) activity|cysteine biosynthetic process|sulfate assimilation, phosphoadenylyl sulfate reduction by phosphoadenylyl-sulfate reductase (thioredoxin)</t>
  </si>
  <si>
    <t>J2O13_09G020588</t>
  </si>
  <si>
    <t>J2O13_09G020599</t>
  </si>
  <si>
    <t>11S globulin OS=Juglans nigra OX=16719 PE=1 SV=1</t>
  </si>
  <si>
    <t>GO:0043245,GO:0019863,GO:0045735,GO:0010431</t>
  </si>
  <si>
    <t>extraorganismal space|IgE binding|nutrient reservoir activity|seed maturation</t>
  </si>
  <si>
    <t>J2O13_09G020609</t>
  </si>
  <si>
    <t>2.23E-19</t>
  </si>
  <si>
    <t>9.28E-18</t>
  </si>
  <si>
    <t>RRP6L3</t>
  </si>
  <si>
    <t>Protein RRP6-like 3</t>
  </si>
  <si>
    <t>GO:0005737,GO:0005829,GO:0000176,GO:0005730,GO:0000175,GO:0000166,GO:0003727,GO:0000467,GO:0071044,GO:0071040,GO:0071039,GO:0071035,GO:0071036,GO:0071037,GO:0071038,GO:0071051</t>
  </si>
  <si>
    <t>cytoplasm|cytosol|nuclear exosome (RNase complex)|nucleolus|3'-5'-exoribonuclease activity|nucleotide binding|single-stranded RNA binding|exonucleolytic trimming to generate mature 3'-end of 5.8S rRNA from tricistronic rRNA transcript (SSU-rRNA, 5.8S rRNA, LSU-rRNA)|histone mRNA catabolic process|nuclear polyadenylation-dependent antisense transcript catabolic process|nuclear polyadenylation-dependent CUT catabolic process|nuclear polyadenylation-dependent rRNA catabolic process|nuclear polyadenylation-dependent snoRNA catabolic process|nuclear polyadenylation-dependent snRNA catabolic process|nuclear polyadenylation-dependent tRNA catabolic process|polyadenylation-dependent snoRNA 3'-end processing</t>
  </si>
  <si>
    <t>J2O13_09G020627</t>
  </si>
  <si>
    <t>GLR3.4</t>
  </si>
  <si>
    <t>Glutamate receptor 3.4</t>
  </si>
  <si>
    <t>GO:0009507,GO:0031969,GO:0005886,GO:0009536,GO:0005262,GO:0008066,GO:0015276,GO:0038023,GO:0006816,GO:0019722,GO:0071311,GO:0071230,GO:0070417,GO:0071260,GO:0009611</t>
  </si>
  <si>
    <t>chloroplast|chloroplast membrane|plasma membrane|plastid|calcium channel activity|glutamate receptor activity|ligand-gated ion channel activity|signaling receptor activity|calcium ion transport|calcium-mediated signaling|cellular response to acetate|cellular response to amino acid stimulus|cellular response to cold|cellular response to mechanical stimulus|response to wounding</t>
  </si>
  <si>
    <t>J2O13_09G020645</t>
  </si>
  <si>
    <t>6.34E-13</t>
  </si>
  <si>
    <t>VUP1</t>
  </si>
  <si>
    <t>Vascular-related unknown protein 1</t>
  </si>
  <si>
    <t>GO:0005829,GO:0005634,GO:0010089</t>
  </si>
  <si>
    <t>cytosol|nucleus|xylem development</t>
  </si>
  <si>
    <t>J2O13_09G020697</t>
  </si>
  <si>
    <t>J2O13_09G020701</t>
  </si>
  <si>
    <t>1.83E-16</t>
  </si>
  <si>
    <t>5.41E-15</t>
  </si>
  <si>
    <t>CRRSP38</t>
  </si>
  <si>
    <t>Cysteine-rich repeat secretory protein 38</t>
  </si>
  <si>
    <t>GO:0005829,GO:0005576,GO:0000325,GO:0099503,GO:0009737</t>
  </si>
  <si>
    <t>cytosol|extracellular region|plant-type vacuole|secretory vesicle|response to abscisic acid</t>
  </si>
  <si>
    <t>J2O13_09G020702</t>
  </si>
  <si>
    <t>J2O13_09G020721</t>
  </si>
  <si>
    <t>6.77E-08</t>
  </si>
  <si>
    <t>6.09E-07</t>
  </si>
  <si>
    <t>BHLH117</t>
  </si>
  <si>
    <t>Transcription factor bHLH117</t>
  </si>
  <si>
    <t>GO:0005634,GO:0003700,GO:0000981,GO:0046983,GO:0000978,GO:0006357</t>
  </si>
  <si>
    <t>nucleus|DNA-binding transcription factor activity|DNA-binding transcription factor activity, RNA polymerase II-specific|protein dimerization activity|RNA polymerase II cis-regulatory region sequence-specific DNA binding|regulation of transcription by RNA polymerase II</t>
  </si>
  <si>
    <t>J2O13_09G020725</t>
  </si>
  <si>
    <t>2.21E-27</t>
  </si>
  <si>
    <t>2.00E-25</t>
  </si>
  <si>
    <t>Xyloglucan endotransglucosylase protein 6</t>
  </si>
  <si>
    <t>J2O13_09G020753</t>
  </si>
  <si>
    <t>7.34E-23</t>
  </si>
  <si>
    <t>4.20E-21</t>
  </si>
  <si>
    <t>FLA21</t>
  </si>
  <si>
    <t>Fasciclin-like arabinogalactan protein 21</t>
  </si>
  <si>
    <t>J2O13_09G020772</t>
  </si>
  <si>
    <t>3.70E-08</t>
  </si>
  <si>
    <t>3.50E-07</t>
  </si>
  <si>
    <t>J2O13_09G020786</t>
  </si>
  <si>
    <t>4.36E-12</t>
  </si>
  <si>
    <t>7.40E-11</t>
  </si>
  <si>
    <t>J2O13_09G020796</t>
  </si>
  <si>
    <t>MYB10</t>
  </si>
  <si>
    <t>Transcription factor MYB10</t>
  </si>
  <si>
    <t>GO:0005634,GO:0003677,GO:0003700,GO:0010468,GO:0009646,GO:0046686,GO:0009723,GO:1990641,GO:0010043,GO:1990532</t>
  </si>
  <si>
    <t>nucleus|DNA binding|DNA-binding transcription factor activity|regulation of gene expression|response to absence of light|response to cadmium ion|response to ethylene|response to iron ion starvation|response to zinc ion|stress response to nickel ion</t>
  </si>
  <si>
    <t>J2O13_09G020804</t>
  </si>
  <si>
    <t>7.37E-09</t>
  </si>
  <si>
    <t>7.83E-08</t>
  </si>
  <si>
    <t>petC</t>
  </si>
  <si>
    <t>Cytochrome b6-f complex iron-sulfur subunit, chloroplastic</t>
  </si>
  <si>
    <t>GO:0009535,GO:0051537,GO:0046872,GO:0009496</t>
  </si>
  <si>
    <t>chloroplast thylakoid membrane|2 iron, 2 sulfur cluster binding|metal ion binding|plastoquinol--plastocyanin reductase activity</t>
  </si>
  <si>
    <t>J2O13_09G020829</t>
  </si>
  <si>
    <t>1.36E-25</t>
  </si>
  <si>
    <t>9.93E-24</t>
  </si>
  <si>
    <t>O10</t>
  </si>
  <si>
    <t>Protein OPAQUE10</t>
  </si>
  <si>
    <t>GO:0005884,GO:0005789,GO:0051015,GO:0008093,GO:0051764</t>
  </si>
  <si>
    <t>actin filament|endoplasmic reticulum membrane|actin filament binding|cytoskeletal anchor activity|actin crosslink formation</t>
  </si>
  <si>
    <t>J2O13_09G020839</t>
  </si>
  <si>
    <t>alphaDOX1</t>
  </si>
  <si>
    <t>Alpha-dioxygenase PIOX</t>
  </si>
  <si>
    <t>GO:0051213,GO:0020037,GO:0046872,GO:0004601,GO:0006952,GO:0006633,GO:0031408,GO:0006979</t>
  </si>
  <si>
    <t>dioxygenase activity|heme binding|metal ion binding|peroxidase activity|defense response|fatty acid biosynthetic process|oxylipin biosynthetic process|response to oxidative stress</t>
  </si>
  <si>
    <t>J2O13_09G020843</t>
  </si>
  <si>
    <t>MAP65-3</t>
  </si>
  <si>
    <t>65-kDa microtubule-associated protein 3</t>
  </si>
  <si>
    <t>GO:0055028,GO:0005737,GO:0005874,GO:0005634,GO:0009524,GO:0009574,GO:0005819,GO:0008017,GO:0000911,GO:0052096,GO:0000226,GO:0046785,GO:0000280,GO:0009624</t>
  </si>
  <si>
    <t>cortical microtubule|cytoplasm|microtubule|nucleus|phragmoplast|preprophase band|spindle|microtubule binding|cytokinesis by cell plate formation|formation of syncytium involving giant cell for nutrient acquisition|microtubule cytoskeleton organization|microtubule polymerization|nuclear division|response to nematode</t>
  </si>
  <si>
    <t>J2O13_09G020845</t>
  </si>
  <si>
    <t>SRK2H</t>
  </si>
  <si>
    <t>Serine/threonine-protein kinase SRK2H</t>
  </si>
  <si>
    <t>GO:0009536,GO:0005524,GO:0016301,GO:0003729,GO:0106310,GO:0004674,GO:0035556,GO:0006468,GO:0006970,GO:0009651</t>
  </si>
  <si>
    <t>plastid|ATP binding|kinase activity|mRNA binding|protein serine kinase activity|protein serine/threonine kinase activity|intracellular signal transduction|protein phosphorylation|response to osmotic stress|response to salt stress</t>
  </si>
  <si>
    <t>J2O13_09G020847</t>
  </si>
  <si>
    <t>J2O13_09G020858</t>
  </si>
  <si>
    <t>6.15E-06</t>
  </si>
  <si>
    <t>3.79E-05</t>
  </si>
  <si>
    <t>FAAH</t>
  </si>
  <si>
    <t>Fatty acid amide hydrolase</t>
  </si>
  <si>
    <t>GO:0005783,GO:0005789,GO:0005794,GO:0016020,GO:0000325,GO:0005886,GO:0009536,GO:0017064,GO:0047412,GO:0042742,GO:0016042,GO:0070291</t>
  </si>
  <si>
    <t>endoplasmic reticulum|endoplasmic reticulum membrane|Golgi apparatus|membrane|plant-type vacuole|plasma membrane|plastid|fatty acid amide hydrolase activity|N-(long-chain-acyl)ethanolamine deacylase activity|defense response to bacterium|lipid catabolic process|N-acylethanolamine metabolic process</t>
  </si>
  <si>
    <t>J2O13_09G020872</t>
  </si>
  <si>
    <t>7.85E-26</t>
  </si>
  <si>
    <t>5.90E-24</t>
  </si>
  <si>
    <t>NAC081</t>
  </si>
  <si>
    <t>Protein ATAF2</t>
  </si>
  <si>
    <t>GO:0005634,GO:0003700,GO:0043424,GO:0043565,GO:0009793,GO:0010150,GO:0045892,GO:0045893,GO:0008361,GO:0010099,GO:0009620,GO:0009753,GO:0009416,GO:0009751,GO:0009744,GO:0009611</t>
  </si>
  <si>
    <t>nucleus|DNA-binding transcription factor activity|protein histidine kinase binding|sequence-specific DNA binding|embryo development ending in seed dormancy|leaf senescence|negative regulation of DNA-templated transcription|positive regulation of DNA-templated transcription|regulation of cell size|regulation of photomorphogenesis|response to fungus|response to jasmonic acid|response to light stimulus|response to salicylic acid|response to sucrose|response to wounding</t>
  </si>
  <si>
    <t>J2O13_09G020874</t>
  </si>
  <si>
    <t>PAD4</t>
  </si>
  <si>
    <t>Lipase-like PAD4</t>
  </si>
  <si>
    <t>GO:0005737,GO:0005829,GO:0106093,GO:0005634,GO:0016298,GO:0016740,GO:0010618,GO:0071327,GO:0042742,GO:0050829,GO:0002213,GO:0009873,GO:0060866,GO:0010150,GO:0016042,GO:0031348,GO:0010105,GO:0009626,GO:1901183,GO:0010942,GO:1900426,GO:1900367,GO:0080151,GO:0010310,GO:2000022,GO:0080142,GO:2000031,GO:0009617,GO:0001666,GO:0009625,GO:0051707,GO:0009751,GO:0010225,GO:0009627,GO:0009862</t>
  </si>
  <si>
    <t>cytoplasm|cytosol|EDS1 disease-resistance complex|nucleus|lipase activity|transferase activity|aerenchyma formation|cellular response to trehalose stimulus|defense response to bacterium|defense response to Gram-negative bacterium|defense response to insect|ethylene-activated signaling pathway|leaf abscission|leaf senescence|lipid catabolic process|negative regulation of defense response|negative regulation of ethylene-activated signaling pathway|plant-type hypersensitive response|positive regulation of camalexin biosynthetic process|positive regulation of cell death|positive regulation of defense response to bacterium|positive regulation of defense response to insect|positive regulation of salicylic acid mediated signaling pathway|regulation of hydrogen peroxide metabolic process|regulation of jasmonic acid mediated signaling pathway|regulation of salicylic acid biosynthetic process|regulation of salicylic acid mediated signaling pathway|response to bacterium|response to hypoxia|response to insect|response to other organism|response to salicylic acid|response to UV-C|systemic acquired resistance|systemic acquired resistance, salicylic acid mediated signaling pathway</t>
  </si>
  <si>
    <t>J2O13_09G020882</t>
  </si>
  <si>
    <t>BGAL6</t>
  </si>
  <si>
    <t>GO:0048046,GO:0009536,GO:0005773,GO:0004565,GO:0005975,GO:0048354,GO:0009827</t>
  </si>
  <si>
    <t>apoplast|plastid|vacuole|beta-galactosidase activity|carbohydrate metabolic process|mucilage biosynthetic process involved in seed coat development|plant-type cell wall modification</t>
  </si>
  <si>
    <t>J2O13_09G020883</t>
  </si>
  <si>
    <t>2.79E-85</t>
  </si>
  <si>
    <t>8.28E-82</t>
  </si>
  <si>
    <t>PPD2</t>
  </si>
  <si>
    <t>PsbP domain-containing protein 2, chloroplastic</t>
  </si>
  <si>
    <t>GO:0009507,GO:0009543,GO:0019898,GO:0009654,GO:0009579,GO:0005509,GO:0015979</t>
  </si>
  <si>
    <t>chloroplast|chloroplast thylakoid lumen|extrinsic component of membrane|photosystem II oxygen evolving complex|thylakoid|calcium ion binding|photosynthesis</t>
  </si>
  <si>
    <t>J2O13_09G020908</t>
  </si>
  <si>
    <t>2.87E-06</t>
  </si>
  <si>
    <t>RGLG3</t>
  </si>
  <si>
    <t>E3 ubiquitin-protein ligase RGLG3</t>
  </si>
  <si>
    <t>GO:0005737,GO:0005634,GO:0046872,GO:0061630,GO:0004842,GO:0042742,GO:0009867,GO:0070534,GO:0009611</t>
  </si>
  <si>
    <t>cytoplasm|nucleus|metal ion binding|ubiquitin protein ligase activity|ubiquitin-protein transferase activity|defense response to bacterium|jasmonic acid mediated signaling pathway|protein K63-linked ubiquitination|response to wounding</t>
  </si>
  <si>
    <t>J2O13_09G020930</t>
  </si>
  <si>
    <t>2.71E-10</t>
  </si>
  <si>
    <t>3.56E-09</t>
  </si>
  <si>
    <t>HDA14</t>
  </si>
  <si>
    <t>Histone deacetylase 14, chloroplastic</t>
  </si>
  <si>
    <t>GO:0009507,GO:0009570,GO:0005737,GO:0005829,GO:0000118,GO:0005739,GO:0005634,GO:0043014,GO:0048487,GO:0019213,GO:0004407,GO:0033558,GO:0051721,GO:0043621,GO:0042903,GO:0008270,GO:0006325,GO:0016575,GO:0030186,GO:0000122,GO:0006476,GO:0042548,GO:0090042</t>
  </si>
  <si>
    <t>chloroplast|chloroplast stroma|cytoplasm|cytosol|histone deacetylase complex|mitochondrion|nucleus|alpha-tubulin binding|beta-tubulin binding|deacetylase activity|histone deacetylase activity|protein lysine deacetylase activity|protein phosphatase 2A binding|protein self-association|tubulin deacetylase activity|zinc ion binding|chromatin organization|histone deacetylation|melatonin metabolic process|negative regulation of transcription by RNA polymerase II|protein deacetylation|regulation of photosynthesis, light reaction|tubulin deacetylation</t>
  </si>
  <si>
    <t>J2O13_09G020938</t>
  </si>
  <si>
    <t>4.98E-07</t>
  </si>
  <si>
    <t>3.80E-06</t>
  </si>
  <si>
    <t>J2O13_09G020942</t>
  </si>
  <si>
    <t>J2O13_09G020947</t>
  </si>
  <si>
    <t>J2O13_09G020951</t>
  </si>
  <si>
    <t>2.22E-12</t>
  </si>
  <si>
    <t>3.97E-11</t>
  </si>
  <si>
    <t>SEU</t>
  </si>
  <si>
    <t>Transcriptional corepressor SEUSS</t>
  </si>
  <si>
    <t>GO:0005654,GO:0005634,GO:0005667,GO:0003677,GO:0046982,GO:0003714,GO:0030154,GO:0006974,GO:0071217,GO:0009793,GO:0048467,GO:0000122,GO:0048481,GO:0045944,GO:0009909,GO:0009733,GO:0009617,GO:0046898,GO:0009620,GO:0001666,GO:0009624,GO:0006979,GO:0010272</t>
  </si>
  <si>
    <t>nucleoplasm|nucleus|transcription regulator complex|DNA binding|protein heterodimerization activity|transcription corepressor activity|cell differentiation|cellular response to DNA damage stimulus|cellular response to external biotic stimulus|embryo development ending in seed dormancy|gynoecium development|negative regulation of transcription by RNA polymerase II|plant ovule development|positive regulation of transcription by RNA polymerase II|regulation of flower development|response to auxin|response to bacterium|response to cycloheximide|response to fungus|response to hypoxia|response to nematode|response to oxidative stress|response to silver ion</t>
  </si>
  <si>
    <t>J2O13_09G020955</t>
  </si>
  <si>
    <t>2.62E-14</t>
  </si>
  <si>
    <t>5.96E-13</t>
  </si>
  <si>
    <t>J2O13_09G020960</t>
  </si>
  <si>
    <t>CALS5</t>
  </si>
  <si>
    <t>Callose synthase 5</t>
  </si>
  <si>
    <t>GO:0000148,GO:0005886,GO:0003843,GO:0046527,GO:0006075,GO:0071555,GO:0009556,GO:0009555,GO:0009846,GO:0009860,GO:0010208,GO:0008360,GO:0080092</t>
  </si>
  <si>
    <t>1,3-beta-D-glucan synthase complex|plasma membrane|1,3-beta-D-glucan synthase activity|glucosyltransferase activity|(1-&gt;3)-beta-D-glucan biosynthetic process|cell wall organization|microsporogenesis|pollen development|pollen germination|pollen tube growth|pollen wall assembly|regulation of cell shape|regulation of pollen tube growth</t>
  </si>
  <si>
    <t>J2O13_09G020970</t>
  </si>
  <si>
    <t>6.33E-25</t>
  </si>
  <si>
    <t>4.40E-23</t>
  </si>
  <si>
    <t>ndhO</t>
  </si>
  <si>
    <t>NAD(P)H-quinone oxidoreductase subunit O, chloroplastic</t>
  </si>
  <si>
    <t>GO:0009507,GO:0009535,GO:0005739,GO:0010598,GO:0005886,GO:0016655,GO:0048038,GO:0010258</t>
  </si>
  <si>
    <t>chloroplast|chloroplast thylakoid membrane|mitochondrion|NAD(P)H dehydrogenase complex (plastoquinone)|plasma membrane|oxidoreductase activity, acting on NAD(P)H, quinone or similar compound as acceptor|quinone binding|NADH dehydrogenase complex (plastoquinone) assembly</t>
  </si>
  <si>
    <t>J2O13_09G020992</t>
  </si>
  <si>
    <t>AtMg01250</t>
  </si>
  <si>
    <t>Uncharacterized mitochondrial protein AtMg01250</t>
  </si>
  <si>
    <t>J2O13_09G021022</t>
  </si>
  <si>
    <t>1.99E-20</t>
  </si>
  <si>
    <t>9.13E-19</t>
  </si>
  <si>
    <t>PUB27</t>
  </si>
  <si>
    <t>U-box domain-containing protein 27</t>
  </si>
  <si>
    <t>J2O13_09G021035</t>
  </si>
  <si>
    <t>LECRK4</t>
  </si>
  <si>
    <t>G-type lectin S-receptor-like serine/threonine-protein kinase LECRK4</t>
  </si>
  <si>
    <t>GO:0016020,GO:0005524,GO:0030246,GO:0106310,GO:0004674,GO:0006468</t>
  </si>
  <si>
    <t>membrane|ATP binding|carbohydrate binding|protein serine kinase activity|protein serine/threonine kinase activity|protein phosphorylation</t>
  </si>
  <si>
    <t>J2O13_09G021044</t>
  </si>
  <si>
    <t>J2O13_09G021053</t>
  </si>
  <si>
    <t>5.49E-08</t>
  </si>
  <si>
    <t>5.00E-07</t>
  </si>
  <si>
    <t>ATL78</t>
  </si>
  <si>
    <t>RING-H2 finger protein ATL78</t>
  </si>
  <si>
    <t>J2O13_09G021066</t>
  </si>
  <si>
    <t>6.39E-24</t>
  </si>
  <si>
    <t>3.97E-22</t>
  </si>
  <si>
    <t>FBN5</t>
  </si>
  <si>
    <t>Fibrillin-5, chloroplastic</t>
  </si>
  <si>
    <t>GO:0009507,GO:0009570,GO:0010236</t>
  </si>
  <si>
    <t>chloroplast|chloroplast stroma|plastoquinone biosynthetic process</t>
  </si>
  <si>
    <t>J2O13_09G021067</t>
  </si>
  <si>
    <t>5.45E-06</t>
  </si>
  <si>
    <t>BOLA2</t>
  </si>
  <si>
    <t>Protein BOLA2</t>
  </si>
  <si>
    <t>GO:0005737,GO:0005829,GO:0005634,GO:0005886,GO:0051537,GO:0051536,GO:0006879,GO:0097428,GO:0010039,GO:0006979</t>
  </si>
  <si>
    <t>cytoplasm|cytosol|nucleus|plasma membrane|2 iron, 2 sulfur cluster binding|iron-sulfur cluster binding|cellular iron ion homeostasis|protein maturation by iron-sulfur cluster transfer|response to iron ion|response to oxidative stress</t>
  </si>
  <si>
    <t>J2O13_09G021074</t>
  </si>
  <si>
    <t>6.79E-11</t>
  </si>
  <si>
    <t>9.69E-10</t>
  </si>
  <si>
    <t>J2O13_09G021075</t>
  </si>
  <si>
    <t>2.30E-06</t>
  </si>
  <si>
    <t>1.55E-05</t>
  </si>
  <si>
    <t>J2O13_09G021078</t>
  </si>
  <si>
    <t>FLS1</t>
  </si>
  <si>
    <t>Flavonol synthase 1</t>
  </si>
  <si>
    <t>GO:0045431,GO:0031418,GO:0046872</t>
  </si>
  <si>
    <t>flavonol synthase activity|L-ascorbic acid binding|metal ion binding</t>
  </si>
  <si>
    <t>J2O13_09G021098</t>
  </si>
  <si>
    <t>8.89E-16</t>
  </si>
  <si>
    <t>J2O13_09G021101</t>
  </si>
  <si>
    <t>1.45E-09</t>
  </si>
  <si>
    <t>Ras-related protein Rab7 OS=Glycine max OX=3847 PE=2 SV=1</t>
  </si>
  <si>
    <t>GO:0005886,GO:0005774,GO:0005525,GO:0003924,GO:0015031</t>
  </si>
  <si>
    <t>plasma membrane|vacuolar membrane|GTP binding|GTPase activity|protein transport</t>
  </si>
  <si>
    <t>J2O13_09G021112</t>
  </si>
  <si>
    <t>TKI1</t>
  </si>
  <si>
    <t>TSL-kinase interacting protein 1</t>
  </si>
  <si>
    <t>GO:0005634,GO:0003682,GO:0003677,GO:0007389</t>
  </si>
  <si>
    <t>nucleus|chromatin binding|DNA binding|pattern specification process</t>
  </si>
  <si>
    <t>J2O13_09G021147</t>
  </si>
  <si>
    <t>ABR1</t>
  </si>
  <si>
    <t>Ethylene-responsive transcription factor ABR1</t>
  </si>
  <si>
    <t>GO:0005634,GO:0003677,GO:0003700,GO:0009738,GO:0050832,GO:0009873,GO:0009788,GO:0009737,GO:0009749,GO:0006970,GO:1902074,GO:0062211</t>
  </si>
  <si>
    <t>nucleus|DNA binding|DNA-binding transcription factor activity|abscisic acid-activated signaling pathway|defense response to fungus|ethylene-activated signaling pathway|negative regulation of abscisic acid-activated signaling pathway|response to abscisic acid|response to glucose|response to osmotic stress|response to salt|root regeneration</t>
  </si>
  <si>
    <t>J2O13_09G021159</t>
  </si>
  <si>
    <t>6.18E-11</t>
  </si>
  <si>
    <t>8.89E-10</t>
  </si>
  <si>
    <t>CBP</t>
  </si>
  <si>
    <t>Citrate-binding protein</t>
  </si>
  <si>
    <t>GO:0005773</t>
  </si>
  <si>
    <t>vacuole</t>
  </si>
  <si>
    <t>J2O13_09G021164</t>
  </si>
  <si>
    <t>8.87E-05</t>
  </si>
  <si>
    <t>FLA19</t>
  </si>
  <si>
    <t>Fasciclin-like arabinogalactan protein 19</t>
  </si>
  <si>
    <t>J2O13_09G021167</t>
  </si>
  <si>
    <t>J2O13_09G021172</t>
  </si>
  <si>
    <t>5.39E-07</t>
  </si>
  <si>
    <t>At5g64700</t>
  </si>
  <si>
    <t>WAT1-related protein At5g64700</t>
  </si>
  <si>
    <t>J2O13_09G021183</t>
  </si>
  <si>
    <t>7.57E-11</t>
  </si>
  <si>
    <t>ABCF5</t>
  </si>
  <si>
    <t>ABC transporter F family member 5</t>
  </si>
  <si>
    <t>GO:0005524,GO:0016887,GO:0003729,GO:0009624</t>
  </si>
  <si>
    <t>ATP binding|ATP hydrolysis activity|mRNA binding|response to nematode</t>
  </si>
  <si>
    <t>J2O13_09G021184</t>
  </si>
  <si>
    <t>3.82E-11</t>
  </si>
  <si>
    <t>5.66E-10</t>
  </si>
  <si>
    <t>J2O13_09G021194</t>
  </si>
  <si>
    <t>3.29E-12</t>
  </si>
  <si>
    <t>5.68E-11</t>
  </si>
  <si>
    <t>J2O13_09G021197</t>
  </si>
  <si>
    <t>7.59E-18</t>
  </si>
  <si>
    <t>J2O13_09G021200</t>
  </si>
  <si>
    <t>3.63E-05</t>
  </si>
  <si>
    <t>Stress enhanced protein 2, chloroplastic</t>
  </si>
  <si>
    <t>GO:0009535,GO:0009523,GO:0016168,GO:0071486,GO:0071492,GO:0009765,GO:0009611</t>
  </si>
  <si>
    <t>chloroplast thylakoid membrane|photosystem II|chlorophyll binding|cellular response to high light intensity|cellular response to UV-A|photosynthesis, light harvesting|response to wounding</t>
  </si>
  <si>
    <t>J2O13_09G021223</t>
  </si>
  <si>
    <t>2.50E-53</t>
  </si>
  <si>
    <t>1.54E-50</t>
  </si>
  <si>
    <t>ABC1K8</t>
  </si>
  <si>
    <t>Protein ACTIVITY OF BC1 COMPLEX KINASE 8, chloroplastic</t>
  </si>
  <si>
    <t>GO:0009507,GO:0009941,GO:0031969,GO:0009536,GO:0005524,GO:0004672,GO:0106310,GO:0004674,GO:0034599,GO:0007623,GO:0055072,GO:0010150,GO:0046467,GO:0016310,GO:1901031,GO:0046686,GO:0009644,GO:0042542,GO:1990641,GO:0006979</t>
  </si>
  <si>
    <t>chloroplast|chloroplast envelope|chloroplast membrane|plastid|ATP binding|protein kinase activity|protein serine kinase activity|protein serine/threonine kinase activity|cellular response to oxidative stress|circadian rhythm|iron ion homeostasis|leaf senescence|membrane lipid biosynthetic process|phosphorylation|regulation of response to reactive oxygen species|response to cadmium ion|response to high light intensity|response to hydrogen peroxide|response to iron ion starvation|response to oxidative stress</t>
  </si>
  <si>
    <t>J2O13_09G021230</t>
  </si>
  <si>
    <t>8.13E-16</t>
  </si>
  <si>
    <t>CYP71AU50</t>
  </si>
  <si>
    <t>Cytochrome P450 71AU50</t>
  </si>
  <si>
    <t>J2O13_09G021234</t>
  </si>
  <si>
    <t>PCMP-H41</t>
  </si>
  <si>
    <t>Pentatricopeptide repeat-containing protein At2g22070</t>
  </si>
  <si>
    <t>GO:0043231,GO:0003723,GO:0008270,GO:0009451</t>
  </si>
  <si>
    <t>intracellular membrane-bounded organelle|RNA binding|zinc ion binding|RNA modification</t>
  </si>
  <si>
    <t>J2O13_09G021240</t>
  </si>
  <si>
    <t>8.14E-14</t>
  </si>
  <si>
    <t>1.74E-12</t>
  </si>
  <si>
    <t>J2O13_09G021265</t>
  </si>
  <si>
    <t>3.38E-09</t>
  </si>
  <si>
    <t>3.77E-08</t>
  </si>
  <si>
    <t>SULTR21</t>
  </si>
  <si>
    <t>Sulfate transporter 2.1</t>
  </si>
  <si>
    <t>GO:0005886,GO:0008271,GO:0015116,GO:0015293,GO:1902358</t>
  </si>
  <si>
    <t>plasma membrane|secondary active sulfate transmembrane transporter activity|sulfate transmembrane transporter activity|symporter activity|sulfate transmembrane transport</t>
  </si>
  <si>
    <t>J2O13_09G021266</t>
  </si>
  <si>
    <t>J2O13_09G021271</t>
  </si>
  <si>
    <t>4.42E-09</t>
  </si>
  <si>
    <t>FLZ5</t>
  </si>
  <si>
    <t>FCS-Like Zinc finger 5</t>
  </si>
  <si>
    <t>GO:0005829,GO:0005634,GO:0019900,GO:0046872,GO:0009749,GO:1905582,GO:0042594,GO:0009744</t>
  </si>
  <si>
    <t>cytosol|nucleus|kinase binding|metal ion binding|response to glucose|response to mannose|response to starvation|response to sucrose</t>
  </si>
  <si>
    <t>J2O13_09G021274</t>
  </si>
  <si>
    <t>J2O13_09G021286</t>
  </si>
  <si>
    <t>5.32E-22</t>
  </si>
  <si>
    <t>2.83E-20</t>
  </si>
  <si>
    <t>J2O13_09G021293</t>
  </si>
  <si>
    <t>TPPJ</t>
  </si>
  <si>
    <t>Probable trehalose-phosphate phosphatase J</t>
  </si>
  <si>
    <t>GO:0005730,GO:0005634,GO:0004805,GO:0046686,GO:0005992</t>
  </si>
  <si>
    <t>nucleolus|nucleus|trehalose-phosphatase activity|response to cadmium ion|trehalose biosynthetic process</t>
  </si>
  <si>
    <t>J2O13_09G021299</t>
  </si>
  <si>
    <t>J2O13_09G021320</t>
  </si>
  <si>
    <t>6.95E-08</t>
  </si>
  <si>
    <t>6.24E-07</t>
  </si>
  <si>
    <t>RABH1E</t>
  </si>
  <si>
    <t>Ras-related protein RABH1e</t>
  </si>
  <si>
    <t>GO:0005829,GO:0012505,GO:0005794,GO:0000139,GO:0005886,GO:0005525,GO:0003924,GO:0006891,GO:0006886,GO:0042147,GO:0006890</t>
  </si>
  <si>
    <t>cytosol|endomembrane system|Golgi apparatus|Golgi membrane|plasma membrane|GTP binding|GTPase activity|intra-Golgi vesicle-mediated transport|intracellular protein transport|retrograde transport, endosome to Golgi|retrograde vesicle-mediated transport, Golgi to endoplasmic reticulum</t>
  </si>
  <si>
    <t>J2O13_09G021333</t>
  </si>
  <si>
    <t>1.61E-30</t>
  </si>
  <si>
    <t>1.90E-28</t>
  </si>
  <si>
    <t>J2O13_09G021344</t>
  </si>
  <si>
    <t>J2O13_09G021345</t>
  </si>
  <si>
    <t>J2O13_09G021348</t>
  </si>
  <si>
    <t>UGT85K5</t>
  </si>
  <si>
    <t>Linamarin synthase 2</t>
  </si>
  <si>
    <t>GO:0050057,GO:0006952</t>
  </si>
  <si>
    <t>linamarin synthase activity|defense response</t>
  </si>
  <si>
    <t>J2O13_09G021349</t>
  </si>
  <si>
    <t>1.40E-33</t>
  </si>
  <si>
    <t>2.05E-31</t>
  </si>
  <si>
    <t>At4g39970</t>
  </si>
  <si>
    <t>Haloacid dehalogenase-like hydrolase domain-containing protein At4g39970</t>
  </si>
  <si>
    <t>GO:0009507,GO:0009941,GO:0009570,GO:0005886,GO:0016787,GO:0046872</t>
  </si>
  <si>
    <t>chloroplast|chloroplast envelope|chloroplast stroma|plasma membrane|hydrolase activity|metal ion binding</t>
  </si>
  <si>
    <t>J2O13_09G021351</t>
  </si>
  <si>
    <t>J2O13_09G021354</t>
  </si>
  <si>
    <t>4.50E-15</t>
  </si>
  <si>
    <t>UGT87A1</t>
  </si>
  <si>
    <t>UDP-glycosyltransferase 87A1</t>
  </si>
  <si>
    <t>J2O13_09G021356</t>
  </si>
  <si>
    <t>DHAPS-1</t>
  </si>
  <si>
    <t>Phospho-2-dehydro-3-deoxyheptonate aldolase 1, chloroplastic</t>
  </si>
  <si>
    <t>ko00400,ko02024</t>
  </si>
  <si>
    <t>Phenylalanine, tyrosine and tryptophan biosynthesis|Quorum sensing</t>
  </si>
  <si>
    <t>GO:0009507,GO:0003849,GO:0008652,GO:0009073,GO:0009423</t>
  </si>
  <si>
    <t>chloroplast|3-deoxy-7-phosphoheptulonate synthase activity|amino acid biosynthetic process|aromatic amino acid family biosynthetic process|chorismate biosynthetic process</t>
  </si>
  <si>
    <t>J2O13_09G021358</t>
  </si>
  <si>
    <t>ABCG1</t>
  </si>
  <si>
    <t>ABC transporter G family member 1</t>
  </si>
  <si>
    <t>GO:0005886,GO:0140359,GO:0005524,GO:0016887,GO:0010597,GO:0055085</t>
  </si>
  <si>
    <t>plasma membrane|ABC-type transporter activity|ATP binding|ATP hydrolysis activity|green leaf volatile biosynthetic process|transmembrane transport</t>
  </si>
  <si>
    <t>J2O13_09G021359</t>
  </si>
  <si>
    <t>J2O13_09G021362</t>
  </si>
  <si>
    <t>5.42E-16</t>
  </si>
  <si>
    <t>1.51E-14</t>
  </si>
  <si>
    <t>PER17</t>
  </si>
  <si>
    <t>Peroxidase 17</t>
  </si>
  <si>
    <t>GO:0005576,GO:0009505,GO:0005773,GO:0020037,GO:0140825,GO:0046872,GO:0004601,GO:0042744,GO:0009809,GO:0006979,GO:0010228</t>
  </si>
  <si>
    <t>extracellular region|plant-type cell wall|vacuole|heme binding|lactoperoxidase activity|metal ion binding|peroxidase activity|hydrogen peroxide catabolic process|lignin biosynthetic process|response to oxidative stress|vegetative to reproductive phase transition of meristem</t>
  </si>
  <si>
    <t>J2O13_09G021365</t>
  </si>
  <si>
    <t>5.13E-20</t>
  </si>
  <si>
    <t>2.26E-18</t>
  </si>
  <si>
    <t>GCL1</t>
  </si>
  <si>
    <t>LanC-like protein GCL1</t>
  </si>
  <si>
    <t>GO:0019898,GO:0005886,GO:0005975,GO:0031179</t>
  </si>
  <si>
    <t>extrinsic component of membrane|plasma membrane|carbohydrate metabolic process|peptide modification</t>
  </si>
  <si>
    <t>J2O13_09G021372</t>
  </si>
  <si>
    <t>J2O13_09G021391</t>
  </si>
  <si>
    <t>J2O13_09G021399</t>
  </si>
  <si>
    <t>3.30E-18</t>
  </si>
  <si>
    <t>CYCD2-1</t>
  </si>
  <si>
    <t>Cyclin-D2-1</t>
  </si>
  <si>
    <t>J2O13_09G021401</t>
  </si>
  <si>
    <t>CURT1D</t>
  </si>
  <si>
    <t>Protein CURVATURE THYLAKOID 1D, chloroplastic</t>
  </si>
  <si>
    <t>GO:0009535</t>
  </si>
  <si>
    <t>chloroplast thylakoid membrane</t>
  </si>
  <si>
    <t>J2O13_09G021404</t>
  </si>
  <si>
    <t>J2O13_09G021407</t>
  </si>
  <si>
    <t>J2O13_09G021408</t>
  </si>
  <si>
    <t>BHLH131</t>
  </si>
  <si>
    <t>Transcription factor bHLH131</t>
  </si>
  <si>
    <t>GO:0005634,GO:0003677,GO:0003700,GO:0046983</t>
  </si>
  <si>
    <t>nucleus|DNA binding|DNA-binding transcription factor activity|protein dimerization activity</t>
  </si>
  <si>
    <t>J2O13_09G021411</t>
  </si>
  <si>
    <t>1.06E-12</t>
  </si>
  <si>
    <t>1.94E-11</t>
  </si>
  <si>
    <t>KIN14B</t>
  </si>
  <si>
    <t>Kinesin-like protein KIN-14B</t>
  </si>
  <si>
    <t>GO:0005829,GO:0005874,GO:0015630,GO:0005886,GO:0005524,GO:0008017,GO:0003777,GO:0009904,GO:0009903,GO:0007018,GO:0007017,GO:0031022</t>
  </si>
  <si>
    <t>cytosol|microtubule|microtubule cytoskeleton|plasma membrane|ATP binding|microtubule binding|microtubule motor activity|chloroplast accumulation movement|chloroplast avoidance movement|microtubule-based movement|microtubule-based process|nuclear migration along microfilament</t>
  </si>
  <si>
    <t>J2O13_09G021414</t>
  </si>
  <si>
    <t>1.28E-12</t>
  </si>
  <si>
    <t>2.34E-11</t>
  </si>
  <si>
    <t>OFUT39</t>
  </si>
  <si>
    <t>O-fucosyltransferase 39</t>
  </si>
  <si>
    <t>GO:0000137,GO:0016020,GO:0016757,GO:0006004</t>
  </si>
  <si>
    <t>Golgi cis cisterna|membrane|glycosyltransferase activity|fucose metabolic process</t>
  </si>
  <si>
    <t>J2O13_09G021423</t>
  </si>
  <si>
    <t>3.52E-05</t>
  </si>
  <si>
    <t>AIL6</t>
  </si>
  <si>
    <t>AP2-like ethylene-responsive transcription factor AIL6</t>
  </si>
  <si>
    <t>J2O13_09G021430</t>
  </si>
  <si>
    <t>UGT91A1</t>
  </si>
  <si>
    <t>UDP-glycosyltransferase 91A1</t>
  </si>
  <si>
    <t>J2O13_09G021432</t>
  </si>
  <si>
    <t>8.65E-06</t>
  </si>
  <si>
    <t>J2O13_09G021438</t>
  </si>
  <si>
    <t>J2O13_09G021444</t>
  </si>
  <si>
    <t>CAD</t>
  </si>
  <si>
    <t>Probable mannitol dehydrogenase</t>
  </si>
  <si>
    <t>GO:0046029,GO:0008270,GO:0071704</t>
  </si>
  <si>
    <t>mannitol dehydrogenase activity|zinc ion binding|organic substance metabolic process</t>
  </si>
  <si>
    <t>J2O13_09G021445</t>
  </si>
  <si>
    <t>J2O13_09G021446</t>
  </si>
  <si>
    <t>6.90E-07</t>
  </si>
  <si>
    <t>5.13E-06</t>
  </si>
  <si>
    <t>At5g50100</t>
  </si>
  <si>
    <t>Uncharacterized protein At5g50100, chloroplastic</t>
  </si>
  <si>
    <t>GO:0009507,GO:0005739,GO:0015035,GO:0042246</t>
  </si>
  <si>
    <t>chloroplast|mitochondrion|protein-disulfide reductase activity|tissue regeneration</t>
  </si>
  <si>
    <t>J2O13_09G021450</t>
  </si>
  <si>
    <t>3.10E-06</t>
  </si>
  <si>
    <t>J2O13_09G021459</t>
  </si>
  <si>
    <t>FUT1</t>
  </si>
  <si>
    <t>GO:0005794,GO:0032580,GO:0005797,GO:0000139,GO:0008417,GO:0008107,GO:0042803,GO:0071555,GO:0009969</t>
  </si>
  <si>
    <t>Golgi apparatus|Golgi cisterna membrane|Golgi medial cisterna|Golgi membrane|fucosyltransferase activity|galactoside 2-alpha-L-fucosyltransferase activity|protein homodimerization activity|cell wall organization|xyloglucan biosynthetic process</t>
  </si>
  <si>
    <t>J2O13_09G021461</t>
  </si>
  <si>
    <t>LECRK91</t>
  </si>
  <si>
    <t>L-type lectin-domain containing receptor kinase IX.1</t>
  </si>
  <si>
    <t>GO:0005886,GO:0005524,GO:0030246,GO:0106310,GO:0004675,GO:0042742,GO:0002229,GO:0010942,GO:0010726,GO:0006468</t>
  </si>
  <si>
    <t>plasma membrane|ATP binding|carbohydrate binding|protein serine kinase activity|transmembrane receptor protein serine/threonine kinase activity|defense response to bacterium|defense response to oomycetes|positive regulation of cell death|positive regulation of hydrogen peroxide metabolic process|protein phosphorylation</t>
  </si>
  <si>
    <t>J2O13_09G021462</t>
  </si>
  <si>
    <t>3.01E-06</t>
  </si>
  <si>
    <t>J2O13_09G021463</t>
  </si>
  <si>
    <t>MADS27</t>
  </si>
  <si>
    <t>MADS-box transcription factor 27</t>
  </si>
  <si>
    <t>J2O13_09G021467</t>
  </si>
  <si>
    <t>Serine hydroxymethyltransferase, mitochondrial OS=Solanum tuberosum OX=4113 PE=2 SV=1</t>
  </si>
  <si>
    <t>ko00630,ko00680,ko00260,ko00460,ko00670,ko01523</t>
  </si>
  <si>
    <t>Glyoxylate and dicarboxylate metabolism|Methane metabolism|Glycine, serine and threonine metabolism|Cyanoamino acid metabolism|One carbon pool by folate|Antifolate resistance</t>
  </si>
  <si>
    <t>GO:0005737,GO:0005829,GO:0005739,GO:0010319,GO:0004372,GO:0003729,GO:0008266,GO:0030170,GO:0070905,GO:0008270,GO:0007623,GO:0046655,GO:0019264,GO:0006565,GO:0006730,GO:0009853,GO:0009409,GO:0009416,GO:0035999,GO:0046653</t>
  </si>
  <si>
    <t>cytoplasm|cytosol|mitochondrion|stromule|glycine hydroxymethyltransferase activity|mRNA binding|poly(U) RNA binding|pyridoxal phosphate binding|serine binding|zinc ion binding|circadian rhythm|folic acid metabolic process|glycine biosynthetic process from serine|L-serine catabolic process|one-carbon metabolic process|photorespiration|response to cold|response to light stimulus|tetrahydrofolate interconversion|tetrahydrofolate metabolic process</t>
  </si>
  <si>
    <t>J2O13_09G021473</t>
  </si>
  <si>
    <t>NORK</t>
  </si>
  <si>
    <t>Nodulation receptor kinase</t>
  </si>
  <si>
    <t>GO:0016020,GO:0005524,GO:0004672,GO:0106310,GO:0004674,GO:0009877,GO:0046777</t>
  </si>
  <si>
    <t>membrane|ATP binding|protein kinase activity|protein serine kinase activity|protein serine/threonine kinase activity|nodulation|protein autophosphorylation</t>
  </si>
  <si>
    <t>J2O13_09G021485</t>
  </si>
  <si>
    <t>1.69E-11</t>
  </si>
  <si>
    <t>IAA9</t>
  </si>
  <si>
    <t>Auxin-responsive protein IAA9</t>
  </si>
  <si>
    <t>GO:0005634,GO:0003700,GO:0000976,GO:0009734,GO:0009733</t>
  </si>
  <si>
    <t>nucleus|DNA-binding transcription factor activity|transcription cis-regulatory region binding|auxin-activated signaling pathway|response to auxin</t>
  </si>
  <si>
    <t>J2O13_09G021500</t>
  </si>
  <si>
    <t>J2O13_09G021505</t>
  </si>
  <si>
    <t>J2O13_09G021518</t>
  </si>
  <si>
    <t>EPFL2</t>
  </si>
  <si>
    <t>EPIDERMAL PATTERNING FACTOR-like protein 2</t>
  </si>
  <si>
    <t>J2O13_09G021520</t>
  </si>
  <si>
    <t>Probable xyloglucan endotransglucosylase/hydrolase protein 6</t>
  </si>
  <si>
    <t>GO:0048046,GO:0004553,GO:0030247,GO:0016762,GO:0042546,GO:0071555,GO:0009414,GO:0010411</t>
  </si>
  <si>
    <t>apoplast|hydrolase activity, hydrolyzing O-glycosyl compounds|polysaccharide binding|xyloglucan:xyloglucosyl transferase activity|cell wall biogenesis|cell wall organization|response to water deprivation|xyloglucan metabolic process</t>
  </si>
  <si>
    <t>J2O13_09G021536</t>
  </si>
  <si>
    <t>8.45E-06</t>
  </si>
  <si>
    <t>5.07E-05</t>
  </si>
  <si>
    <t>CBSDUF6</t>
  </si>
  <si>
    <t>DUF21 domain-containing protein At4g33700</t>
  </si>
  <si>
    <t>GO:0043231,GO:0005886,GO:0010960</t>
  </si>
  <si>
    <t>intracellular membrane-bounded organelle|plasma membrane|magnesium ion homeostasis</t>
  </si>
  <si>
    <t>J2O13_09G021544</t>
  </si>
  <si>
    <t>ANT</t>
  </si>
  <si>
    <t>AP2-like ethylene-responsive transcription factor ANT</t>
  </si>
  <si>
    <t>GO:0005634,GO:0003677,GO:0003700,GO:0000976,GO:0030154,GO:0051301,GO:0009908,GO:0019760,GO:0010492,GO:0010601,GO:0042127</t>
  </si>
  <si>
    <t>nucleus|DNA binding|DNA-binding transcription factor activity|transcription cis-regulatory region binding|cell differentiation|cell division|flower development|glucosinolate metabolic process|maintenance of shoot apical meristem identity|positive regulation of auxin biosynthetic process|regulation of cell population proliferation</t>
  </si>
  <si>
    <t>J2O13_09G021549</t>
  </si>
  <si>
    <t>J2O13_09G021550</t>
  </si>
  <si>
    <t>3.96E-11</t>
  </si>
  <si>
    <t>5.86E-10</t>
  </si>
  <si>
    <t>J2O13_09G021552</t>
  </si>
  <si>
    <t>1.70E-07</t>
  </si>
  <si>
    <t>PSK3</t>
  </si>
  <si>
    <t>Phytosulfokines 3</t>
  </si>
  <si>
    <t>GO:0031012,GO:0005576,GO:0005794,GO:0008083,GO:0030154,GO:0008283,GO:0071456</t>
  </si>
  <si>
    <t>extracellular matrix|extracellular region|Golgi apparatus|growth factor activity|cell differentiation|cell population proliferation|cellular response to hypoxia</t>
  </si>
  <si>
    <t>J2O13_09G021555</t>
  </si>
  <si>
    <t>ACR1</t>
  </si>
  <si>
    <t>ACT domain-containing protein ACR1</t>
  </si>
  <si>
    <t>GO:0005634,GO:0016597</t>
  </si>
  <si>
    <t>nucleus|amino acid binding</t>
  </si>
  <si>
    <t>J2O13_09G021561</t>
  </si>
  <si>
    <t>J2O13_09G021562</t>
  </si>
  <si>
    <t>J2O13_09G021563</t>
  </si>
  <si>
    <t>2.83E-09</t>
  </si>
  <si>
    <t>3.19E-08</t>
  </si>
  <si>
    <t>J2O13_09G021571</t>
  </si>
  <si>
    <t>WIH1</t>
  </si>
  <si>
    <t>Protein CYSTEINE-RICH TRANSMEMBRANE MODULE 13</t>
  </si>
  <si>
    <t>GO:0005886,GO:0042803,GO:0043621,GO:0009554</t>
  </si>
  <si>
    <t>plasma membrane|protein homodimerization activity|protein self-association|megasporogenesis</t>
  </si>
  <si>
    <t>J2O13_09G021594</t>
  </si>
  <si>
    <t>2.86E-06</t>
  </si>
  <si>
    <t>1.89E-05</t>
  </si>
  <si>
    <t>AZF1</t>
  </si>
  <si>
    <t>Zinc finger protein AZF1</t>
  </si>
  <si>
    <t>GO:0005634,GO:0003677,GO:0003700,GO:0046872,GO:0043565,GO:0009738,GO:0042538,GO:0045892,GO:0009409</t>
  </si>
  <si>
    <t>nucleus|DNA binding|DNA-binding transcription factor activity|metal ion binding|sequence-specific DNA binding|abscisic acid-activated signaling pathway|hyperosmotic salinity response|negative regulation of DNA-templated transcription|response to cold</t>
  </si>
  <si>
    <t>J2O13_09G021598</t>
  </si>
  <si>
    <t>J2O13_09G021605</t>
  </si>
  <si>
    <t>2.21E-09</t>
  </si>
  <si>
    <t>J2O13_09G021612</t>
  </si>
  <si>
    <t>9.75E-11</t>
  </si>
  <si>
    <t>CGLD27</t>
  </si>
  <si>
    <t>Protein CONSERVED IN THE GREEN LINEAGE AND DIATOMS 27, chloroplastic</t>
  </si>
  <si>
    <t>GO:0009507,GO:0016020,GO:1990641</t>
  </si>
  <si>
    <t>chloroplast|membrane|response to iron ion starvation</t>
  </si>
  <si>
    <t>J2O13_09G021617</t>
  </si>
  <si>
    <t>J2O13_09G021628</t>
  </si>
  <si>
    <t>7.89E-09</t>
  </si>
  <si>
    <t>8.32E-08</t>
  </si>
  <si>
    <t>DHU1</t>
  </si>
  <si>
    <t>Protein DWD HYPERSENSITIVE TO UV-B 1</t>
  </si>
  <si>
    <t>GO:0080008,GO:0005634,GO:0071493,GO:0010224</t>
  </si>
  <si>
    <t>Cul4-RING E3 ubiquitin ligase complex|nucleus|cellular response to UV-B|response to UV-B</t>
  </si>
  <si>
    <t>J2O13_09G021633</t>
  </si>
  <si>
    <t>2.59E-05</t>
  </si>
  <si>
    <t>NRAMP3</t>
  </si>
  <si>
    <t>Metal transporter Nramp3</t>
  </si>
  <si>
    <t>GO:0005794,GO:0000325,GO:0009506,GO:0005774,GO:0005773,GO:0015086,GO:0005384,GO:0042742,GO:0055072,GO:0006828,GO:2000379,GO:0009617,GO:0010043</t>
  </si>
  <si>
    <t>Golgi apparatus|plant-type vacuole|plasmodesma|vacuolar membrane|vacuole|cadmium ion transmembrane transporter activity|manganese ion transmembrane transporter activity|defense response to bacterium|iron ion homeostasis|manganese ion transport|positive regulation of reactive oxygen species metabolic process|response to bacterium|response to zinc ion</t>
  </si>
  <si>
    <t>J2O13_09G021636</t>
  </si>
  <si>
    <t>J2O13_09G021640</t>
  </si>
  <si>
    <t>CYP81Q32</t>
  </si>
  <si>
    <t>Cytochrome P450 81Q32</t>
  </si>
  <si>
    <t>ko00943</t>
  </si>
  <si>
    <t>Isoflavonoid biosynthesis</t>
  </si>
  <si>
    <t>J2O13_09G021641</t>
  </si>
  <si>
    <t>3.76E-07</t>
  </si>
  <si>
    <t>2.95E-06</t>
  </si>
  <si>
    <t>CYP81D1</t>
  </si>
  <si>
    <t>Cytochrome P450 81D1</t>
  </si>
  <si>
    <t>J2O13_09G021646</t>
  </si>
  <si>
    <t>PIP2</t>
  </si>
  <si>
    <t>PAMP-induced secreted peptide 2</t>
  </si>
  <si>
    <t>GO:0048046,GO:0045087,GO:2000280,GO:0009733</t>
  </si>
  <si>
    <t>apoplast|innate immune response|regulation of root development|response to auxin</t>
  </si>
  <si>
    <t>J2O13_09G021652</t>
  </si>
  <si>
    <t>9.82E-10</t>
  </si>
  <si>
    <t>At4g37250</t>
  </si>
  <si>
    <t>Probable LRR receptor-like serine/threonine-protein kinase At4g37250</t>
  </si>
  <si>
    <t>J2O13_09G021654</t>
  </si>
  <si>
    <t>3.51E-09</t>
  </si>
  <si>
    <t>3.90E-08</t>
  </si>
  <si>
    <t>J2O13_09G021661</t>
  </si>
  <si>
    <t>RER1A</t>
  </si>
  <si>
    <t>Protein RER1A</t>
  </si>
  <si>
    <t>GO:0005783,GO:0005794,GO:0000139,GO:0006621,GO:0006890</t>
  </si>
  <si>
    <t>endoplasmic reticulum|Golgi apparatus|Golgi membrane|protein retention in ER lumen|retrograde vesicle-mediated transport, Golgi to endoplasmic reticulum</t>
  </si>
  <si>
    <t>J2O13_09G021677</t>
  </si>
  <si>
    <t>CLF</t>
  </si>
  <si>
    <t>Histone-lysine N-methyltransferase CLF</t>
  </si>
  <si>
    <t>GO:0005634,GO:0031519,GO:0003682,GO:0046976,GO:0018024,GO:0003727,GO:0009738,GO:1990110,GO:0030154,GO:0009294,GO:0009908,GO:0031507,GO:0070734,GO:0098532,GO:0016571,GO:0009965,GO:0006355,GO:0009909,GO:0006349,GO:1900055,GO:0009737,GO:0010228,GO:0010048</t>
  </si>
  <si>
    <t>nucleus|PcG protein complex|chromatin binding|histone H3K27 methyltransferase activity|histone lysine N-methyltransferase activity|single-stranded RNA binding|abscisic acid-activated signaling pathway|callus formation|cell differentiation|DNA-mediated transformation|flower development|heterochromatin formation|histone H3-K27 methylation|histone H3-K27 trimethylation|histone methylation|leaf morphogenesis|regulation of DNA-templated transcription|regulation of flower development|regulation of gene expression by genomic imprinting|regulation of leaf senescence|response to abscisic acid|vegetative to reproductive phase transition of meristem|vernalization response</t>
  </si>
  <si>
    <t>J2O13_09G021682</t>
  </si>
  <si>
    <t>3.84E-09</t>
  </si>
  <si>
    <t>4.25E-08</t>
  </si>
  <si>
    <t>Caffeoyl-CoA O-methyltransferase OS=Populus tremuloides OX=3693 PE=2 SV=1</t>
  </si>
  <si>
    <t>J2O13_09G021686</t>
  </si>
  <si>
    <t>5.24E-12</t>
  </si>
  <si>
    <t>8.77E-11</t>
  </si>
  <si>
    <t>SPT</t>
  </si>
  <si>
    <t>Transcription factor SPATULA</t>
  </si>
  <si>
    <t>GO:0005634,GO:0003700,GO:0042802,GO:0046983,GO:0000976,GO:0048440,GO:0007623,GO:0010154,GO:0010187,GO:0009409,GO:0010114</t>
  </si>
  <si>
    <t>nucleus|DNA-binding transcription factor activity|identical protein binding|protein dimerization activity|transcription cis-regulatory region binding|carpel development|circadian rhythm|fruit development|negative regulation of seed germination|response to cold|response to red light</t>
  </si>
  <si>
    <t>J2O13_09G021690</t>
  </si>
  <si>
    <t>POLA</t>
  </si>
  <si>
    <t>DNA polymerase alpha catalytic subunit</t>
  </si>
  <si>
    <t>ko03030</t>
  </si>
  <si>
    <t>DNA replication</t>
  </si>
  <si>
    <t>GO:0005658,GO:0003682,GO:0003896,GO:0003688,GO:0003887,GO:0046872,GO:0000166,GO:0003697,GO:0006273,GO:0006272,GO:0009965,GO:1902975</t>
  </si>
  <si>
    <t>alpha DNA polymerase:primase complex|chromatin binding|DNA primase activity|DNA replication origin binding|DNA-directed DNA polymerase activity|metal ion binding|nucleotide binding|single-stranded DNA binding|lagging strand elongation|leading strand elongation|leaf morphogenesis|mitotic DNA replication initiation</t>
  </si>
  <si>
    <t>J2O13_09G021701</t>
  </si>
  <si>
    <t>J2O13_09G021704</t>
  </si>
  <si>
    <t>6.32E-35</t>
  </si>
  <si>
    <t>1.00E-32</t>
  </si>
  <si>
    <t>J2O13_09G021705</t>
  </si>
  <si>
    <t>J2O13_09G021706</t>
  </si>
  <si>
    <t>Zeaxanthin epoxidase, chloroplastic OS=Prunus armeniaca OX=36596 PE=2 SV=1</t>
  </si>
  <si>
    <t>J2O13_09G021707</t>
  </si>
  <si>
    <t>J2O13_09G021710</t>
  </si>
  <si>
    <t>4.79E-06</t>
  </si>
  <si>
    <t>3.02E-05</t>
  </si>
  <si>
    <t>GLR3.2</t>
  </si>
  <si>
    <t>Glutamate receptor 3.2</t>
  </si>
  <si>
    <t>GO:0005886,GO:0005262,GO:0008066,GO:0015276,GO:0038023,GO:0006816,GO:0019722,GO:0071230</t>
  </si>
  <si>
    <t>plasma membrane|calcium channel activity|glutamate receptor activity|ligand-gated ion channel activity|signaling receptor activity|calcium ion transport|calcium-mediated signaling|cellular response to amino acid stimulus</t>
  </si>
  <si>
    <t>J2O13_09G021712</t>
  </si>
  <si>
    <t>7.27E-13</t>
  </si>
  <si>
    <t>At1g04090</t>
  </si>
  <si>
    <t>Hypothetical protein At1g04090</t>
  </si>
  <si>
    <t>J2O13_09G021716</t>
  </si>
  <si>
    <t>8.44E-09</t>
  </si>
  <si>
    <t>8.86E-08</t>
  </si>
  <si>
    <t>HSF24</t>
  </si>
  <si>
    <t>Heat shock factor protein HSF24</t>
  </si>
  <si>
    <t>GO:0005634,GO:0003700,GO:0043565</t>
  </si>
  <si>
    <t>nucleus|DNA-binding transcription factor activity|sequence-specific DNA binding</t>
  </si>
  <si>
    <t>J2O13_09G021719</t>
  </si>
  <si>
    <t>J2O13_09G021720</t>
  </si>
  <si>
    <t>7.25E-09</t>
  </si>
  <si>
    <t>7.70E-08</t>
  </si>
  <si>
    <t>J2O13_09G021721</t>
  </si>
  <si>
    <t>CML20</t>
  </si>
  <si>
    <t>Probable calcium-binding protein CML20</t>
  </si>
  <si>
    <t>GO:0005814,GO:0005737,GO:0005829,GO:0005886,GO:0005509,GO:1901527,GO:0000278</t>
  </si>
  <si>
    <t>centriole|cytoplasm|cytosol|plasma membrane|calcium ion binding|abscisic acid-activated signaling pathway involved in stomatal movement|mitotic cell cycle</t>
  </si>
  <si>
    <t>J2O13_09G021738</t>
  </si>
  <si>
    <t>J2O13_09G021742</t>
  </si>
  <si>
    <t>HHO5</t>
  </si>
  <si>
    <t>Transcription factor HHO5</t>
  </si>
  <si>
    <t>GO:0005829,GO:0005634,GO:0003700,GO:0000976,GO:0048449,GO:0010629,GO:0006355,GO:0090701</t>
  </si>
  <si>
    <t>cytosol|nucleus|DNA-binding transcription factor activity|transcription cis-regulatory region binding|floral organ formation|negative regulation of gene expression|regulation of DNA-templated transcription|specification of plant organ identity</t>
  </si>
  <si>
    <t>J2O13_09G021748</t>
  </si>
  <si>
    <t>L-ascorbate oxidase homolog OS=Nicotiana tabacum OX=4097 PE=2 SV=1</t>
  </si>
  <si>
    <t>GO:0005615,GO:0005507,GO:0016491</t>
  </si>
  <si>
    <t>extracellular space|copper ion binding|oxidoreductase activity</t>
  </si>
  <si>
    <t>J2O13_09G021750</t>
  </si>
  <si>
    <t>DOF5.3</t>
  </si>
  <si>
    <t>Dof zinc finger protein DOF5.3</t>
  </si>
  <si>
    <t>GO:0005634,GO:0003700,GO:0046872,GO:0000976,GO:0010087,GO:0006355,GO:0048364,GO:0090057</t>
  </si>
  <si>
    <t>nucleus|DNA-binding transcription factor activity|metal ion binding|transcription cis-regulatory region binding|phloem or xylem histogenesis|regulation of DNA-templated transcription|root development|root radial pattern formation</t>
  </si>
  <si>
    <t>J2O13_09G021762</t>
  </si>
  <si>
    <t>J2O13_09G021764</t>
  </si>
  <si>
    <t>At2g23540</t>
  </si>
  <si>
    <t>GDSL esterase/lipase At2g23540</t>
  </si>
  <si>
    <t>J2O13_09G021765</t>
  </si>
  <si>
    <t>1.55E-10</t>
  </si>
  <si>
    <t>2.09E-09</t>
  </si>
  <si>
    <t>J2O13_09G021767</t>
  </si>
  <si>
    <t>J2O13_09G021768</t>
  </si>
  <si>
    <t>4.28E-06</t>
  </si>
  <si>
    <t>2.73E-05</t>
  </si>
  <si>
    <t>J2O13_09G021769</t>
  </si>
  <si>
    <t>J2O13_09G021778</t>
  </si>
  <si>
    <t>WAKL14</t>
  </si>
  <si>
    <t>Wall-associated receptor kinase-like 14</t>
  </si>
  <si>
    <t>GO:0005886,GO:0005524,GO:0106310,GO:0004674,GO:0007166,GO:0006468</t>
  </si>
  <si>
    <t>plasma membrane|ATP binding|protein serine kinase activity|protein serine/threonine kinase activity|cell surface receptor signaling pathway|protein phosphorylation</t>
  </si>
  <si>
    <t>J2O13_09G021779</t>
  </si>
  <si>
    <t>1.15E-07</t>
  </si>
  <si>
    <t>9.88E-07</t>
  </si>
  <si>
    <t>Os03g0767500</t>
  </si>
  <si>
    <t>Thioredoxin-like protein HCF164, chloroplastic</t>
  </si>
  <si>
    <t>GO:0009535,GO:0016671,GO:0010190</t>
  </si>
  <si>
    <t>chloroplast thylakoid membrane|oxidoreductase activity, acting on a sulfur group of donors, disulfide as acceptor|cytochrome b6f complex assembly</t>
  </si>
  <si>
    <t>J2O13_09G021793</t>
  </si>
  <si>
    <t>7.76E-19</t>
  </si>
  <si>
    <t>3.04E-17</t>
  </si>
  <si>
    <t>STS14</t>
  </si>
  <si>
    <t>STS14 protein</t>
  </si>
  <si>
    <t>GO:0005615</t>
  </si>
  <si>
    <t>extracellular space</t>
  </si>
  <si>
    <t>J2O13_09G021797</t>
  </si>
  <si>
    <t>4.74E-16</t>
  </si>
  <si>
    <t>At3g50780</t>
  </si>
  <si>
    <t>BTB/POZ domain-containing protein At3g50780</t>
  </si>
  <si>
    <t>J2O13_09G021803</t>
  </si>
  <si>
    <t>7.37E-12</t>
  </si>
  <si>
    <t>1.21E-10</t>
  </si>
  <si>
    <t>LYK4</t>
  </si>
  <si>
    <t>LysM domain receptor-like kinase 4</t>
  </si>
  <si>
    <t>GO:0005886,GO:0005524,GO:0008061,GO:0106310,GO:0004674,GO:0071323,GO:0071219,GO:0045087,GO:0006468</t>
  </si>
  <si>
    <t>plasma membrane|ATP binding|chitin binding|protein serine kinase activity|protein serine/threonine kinase activity|cellular response to chitin|cellular response to molecule of bacterial origin|innate immune response|protein phosphorylation</t>
  </si>
  <si>
    <t>J2O13_09G021805</t>
  </si>
  <si>
    <t>2.98E-10</t>
  </si>
  <si>
    <t>CML41</t>
  </si>
  <si>
    <t>Probable calcium-binding protein CML41</t>
  </si>
  <si>
    <t>J2O13_09G021807</t>
  </si>
  <si>
    <t>8.77E-07</t>
  </si>
  <si>
    <t>6.39E-06</t>
  </si>
  <si>
    <t>J2O13_09G021808</t>
  </si>
  <si>
    <t>GATL1</t>
  </si>
  <si>
    <t>Probable galacturonosyltransferase-like 1</t>
  </si>
  <si>
    <t>GO:0005783,GO:0005789,GO:0005794,GO:0047262,GO:0052386,GO:0010417,GO:0048366,GO:0032504,GO:0045489,GO:0010051</t>
  </si>
  <si>
    <t>endoplasmic reticulum|endoplasmic reticulum membrane|Golgi apparatus|polygalacturonate 4-alpha-galacturonosyltransferase activity|cell wall thickening|glucuronoxylan biosynthetic process|leaf development|multicellular organism reproduction|pectin biosynthetic process|xylem and phloem pattern formation</t>
  </si>
  <si>
    <t>J2O13_09G021811</t>
  </si>
  <si>
    <t>4.39E-16</t>
  </si>
  <si>
    <t>At2g23790</t>
  </si>
  <si>
    <t>Calcium uniporter protein 2, mitochondrial</t>
  </si>
  <si>
    <t>J2O13_09G021814</t>
  </si>
  <si>
    <t>4.68E-05</t>
  </si>
  <si>
    <t>GGPS</t>
  </si>
  <si>
    <t>Geranylgeranyl pyrophosphate synthase, chloroplastic</t>
  </si>
  <si>
    <t>GO:0009507,GO:0004161,GO:0004311,GO:0004337,GO:0046872,GO:0016117,GO:0045337,GO:0033384,GO:0033386</t>
  </si>
  <si>
    <t>chloroplast|dimethylallyltranstransferase activity|farnesyltranstransferase activity|geranyltranstransferase activity|metal ion binding|carotenoid biosynthetic process|farnesyl diphosphate biosynthetic process|geranyl diphosphate biosynthetic process|geranylgeranyl diphosphate biosynthetic process</t>
  </si>
  <si>
    <t>J2O13_09G021822</t>
  </si>
  <si>
    <t>1.39E-07</t>
  </si>
  <si>
    <t>ATHB-40</t>
  </si>
  <si>
    <t>Homeobox-leucine zipper protein ATHB-40</t>
  </si>
  <si>
    <t>GO:0005634,GO:0003700,GO:0000981,GO:0043565,GO:0000976,GO:0045893,GO:0009733</t>
  </si>
  <si>
    <t>nucleus|DNA-binding transcription factor activity|DNA-binding transcription factor activity, RNA polymerase II-specific|sequence-specific DNA binding|transcription cis-regulatory region binding|positive regulation of DNA-templated transcription|response to auxin</t>
  </si>
  <si>
    <t>J2O13_09G021827</t>
  </si>
  <si>
    <t>1.31E-27</t>
  </si>
  <si>
    <t>1.19E-25</t>
  </si>
  <si>
    <t>ENY</t>
  </si>
  <si>
    <t>Zinc finger protein ENHYDROUS</t>
  </si>
  <si>
    <t>GO:0005634,GO:0003700,GO:0046872,GO:0000976,GO:0009740,GO:0006355,GO:0009937,GO:0010029,GO:0010431</t>
  </si>
  <si>
    <t>nucleus|DNA-binding transcription factor activity|metal ion binding|transcription cis-regulatory region binding|gibberellic acid mediated signaling pathway|regulation of DNA-templated transcription|regulation of gibberellic acid mediated signaling pathway|regulation of seed germination|seed maturation</t>
  </si>
  <si>
    <t>J2O13_09G021838</t>
  </si>
  <si>
    <t>J2O13_09G021841</t>
  </si>
  <si>
    <t>J2O13_09G021842</t>
  </si>
  <si>
    <t>DSEL</t>
  </si>
  <si>
    <t>Phospholipase A1-IIgamma</t>
  </si>
  <si>
    <t>GO:0005737,GO:0047372,GO:0008970,GO:0046340,GO:0019915,GO:0052651,GO:0010187</t>
  </si>
  <si>
    <t>cytoplasm|acylglycerol lipase activity|phospholipase A1 activity|diacylglycerol catabolic process|lipid storage|monoacylglycerol catabolic process|negative regulation of seed germination</t>
  </si>
  <si>
    <t>J2O13_09G021863</t>
  </si>
  <si>
    <t>BZIP34</t>
  </si>
  <si>
    <t>Basic leucine zipper 34</t>
  </si>
  <si>
    <t>GO:0005634,GO:0003677,GO:0003700,GO:0009555,GO:0045893</t>
  </si>
  <si>
    <t>nucleus|DNA binding|DNA-binding transcription factor activity|pollen development|positive regulation of DNA-templated transcription</t>
  </si>
  <si>
    <t>J2O13_09G021876</t>
  </si>
  <si>
    <t>ROMT</t>
  </si>
  <si>
    <t>Trans-resveratrol di-O-methyltransferase</t>
  </si>
  <si>
    <t>GO:0008171,GO:0046983,GO:0102303,GO:0008757,GO:0019438,GO:0032259</t>
  </si>
  <si>
    <t>O-methyltransferase activity|protein dimerization activity|resveratrol 3,5-O-dimethyltransferase activity|S-adenosylmethionine-dependent methyltransferase activity|aromatic compound biosynthetic process|methylation</t>
  </si>
  <si>
    <t>J2O13_09G021880</t>
  </si>
  <si>
    <t>J2O13_09G021883</t>
  </si>
  <si>
    <t>1.22E-05</t>
  </si>
  <si>
    <t>J2O13_09G021892</t>
  </si>
  <si>
    <t>2.67E-13</t>
  </si>
  <si>
    <t>J2O13_09G021895</t>
  </si>
  <si>
    <t>1.53E-29</t>
  </si>
  <si>
    <t>1.63E-27</t>
  </si>
  <si>
    <t>J2O13_09G021907</t>
  </si>
  <si>
    <t>2.93E-18</t>
  </si>
  <si>
    <t>J2O13_09G021933</t>
  </si>
  <si>
    <t>2.32E-25</t>
  </si>
  <si>
    <t>J2O13_09G021942</t>
  </si>
  <si>
    <t>7.15E-09</t>
  </si>
  <si>
    <t>7.62E-08</t>
  </si>
  <si>
    <t>TPC1A</t>
  </si>
  <si>
    <t>Two pore calcium channel protein 1A</t>
  </si>
  <si>
    <t>GO:0000325,GO:0005774,GO:0005509,GO:0005245,GO:0006816,GO:0006952,GO:0034765</t>
  </si>
  <si>
    <t>plant-type vacuole|vacuolar membrane|calcium ion binding|voltage-gated calcium channel activity|calcium ion transport|defense response|regulation of ion transmembrane transport</t>
  </si>
  <si>
    <t>J2O13_09G021943</t>
  </si>
  <si>
    <t>8.13E-29</t>
  </si>
  <si>
    <t>8.27E-27</t>
  </si>
  <si>
    <t>J2O13_09G021945</t>
  </si>
  <si>
    <t>3.13E-26</t>
  </si>
  <si>
    <t>2.48E-24</t>
  </si>
  <si>
    <t>J2O13_09G021958</t>
  </si>
  <si>
    <t>1.28E-07</t>
  </si>
  <si>
    <t>1.09E-06</t>
  </si>
  <si>
    <t>J2O13_09G021961</t>
  </si>
  <si>
    <t>7.00E-17</t>
  </si>
  <si>
    <t>2.16E-15</t>
  </si>
  <si>
    <t>EXPB3</t>
  </si>
  <si>
    <t>Expansin-B3</t>
  </si>
  <si>
    <t>GO:0005576,GO:0016020,GO:0009506,GO:0071555,GO:0019953,GO:0006949</t>
  </si>
  <si>
    <t>extracellular region|membrane|plasmodesma|cell wall organization|sexual reproduction|syncytium formation</t>
  </si>
  <si>
    <t>J2O13_09G021971</t>
  </si>
  <si>
    <t>1.32E-37</t>
  </si>
  <si>
    <t>2.58E-35</t>
  </si>
  <si>
    <t>ERF053</t>
  </si>
  <si>
    <t>Ethylene-responsive transcription factor ERF053</t>
  </si>
  <si>
    <t>GO:0005737,GO:0005634,GO:0003700,GO:0043565,GO:0000976,GO:0009873,GO:1900036,GO:0045893,GO:2000070,GO:0009651</t>
  </si>
  <si>
    <t>cytoplasm|nucleus|DNA-binding transcription factor activity|sequence-specific DNA binding|transcription cis-regulatory region binding|ethylene-activated signaling pathway|positive regulation of cellular response to heat|positive regulation of DNA-templated transcription|regulation of response to water deprivation|response to salt stress</t>
  </si>
  <si>
    <t>J2O13_09G021972</t>
  </si>
  <si>
    <t>At1g34300</t>
  </si>
  <si>
    <t>G-type lectin S-receptor-like serine/threonine-protein kinase At1g34300</t>
  </si>
  <si>
    <t>J2O13_09G021978</t>
  </si>
  <si>
    <t>J2O13_09G021981</t>
  </si>
  <si>
    <t>3.37E-17</t>
  </si>
  <si>
    <t>J2O13_09G021986</t>
  </si>
  <si>
    <t>6.17E-07</t>
  </si>
  <si>
    <t>4.63E-06</t>
  </si>
  <si>
    <t>GH3.10</t>
  </si>
  <si>
    <t>Indole-3-acetic acid-amido synthetase GH3.10</t>
  </si>
  <si>
    <t>GO:0009507,GO:0005737,GO:0016881,GO:0009416</t>
  </si>
  <si>
    <t>chloroplast|cytoplasm|acid-amino acid ligase activity|response to light stimulus</t>
  </si>
  <si>
    <t>J2O13_09G021997</t>
  </si>
  <si>
    <t>ULT1</t>
  </si>
  <si>
    <t>Protein ULTRAPETALA 1</t>
  </si>
  <si>
    <t>GO:0005829,GO:0005634,GO:0003677,GO:0046872,GO:0009910,GO:0009909,GO:1901000</t>
  </si>
  <si>
    <t>cytosol|nucleus|DNA binding|metal ion binding|negative regulation of flower development|regulation of flower development|regulation of response to salt stress</t>
  </si>
  <si>
    <t>J2O13_09G021999</t>
  </si>
  <si>
    <t>FTCD-L</t>
  </si>
  <si>
    <t>Formiminotransferase cyclodeaminase-like protein</t>
  </si>
  <si>
    <t>GO:0005542,GO:0016740,GO:0048364,GO:0046903</t>
  </si>
  <si>
    <t>folic acid binding|transferase activity|root development|secretion</t>
  </si>
  <si>
    <t>J2O13_09G022002</t>
  </si>
  <si>
    <t>TIC20-IV</t>
  </si>
  <si>
    <t>Protein TIC 20-IV, chloroplastic</t>
  </si>
  <si>
    <t>GO:0009507,GO:0009706,GO:0005739,GO:0045037</t>
  </si>
  <si>
    <t>chloroplast|chloroplast inner membrane|mitochondrion|protein import into chloroplast stroma</t>
  </si>
  <si>
    <t>J2O13_09G022006</t>
  </si>
  <si>
    <t>NDB1</t>
  </si>
  <si>
    <t>External alternative NAD(P)H-ubiquinone oxidoreductase B1, mitochondrial</t>
  </si>
  <si>
    <t>GO:0005743,GO:0005758,GO:0005777,GO:0005509,GO:0050136,GO:0016491,GO:0006116</t>
  </si>
  <si>
    <t>mitochondrial inner membrane|mitochondrial intermembrane space|peroxisome|calcium ion binding|NADH dehydrogenase (quinone) activity|oxidoreductase activity|NADH oxidation</t>
  </si>
  <si>
    <t>J2O13_09G022009</t>
  </si>
  <si>
    <t>J2O13_09G022014</t>
  </si>
  <si>
    <t>9.37E-16</t>
  </si>
  <si>
    <t>DGK5</t>
  </si>
  <si>
    <t>Diacylglycerol kinase 5</t>
  </si>
  <si>
    <t>J2O13_09G022015</t>
  </si>
  <si>
    <t>3AT1</t>
  </si>
  <si>
    <t>Coumaroyl-CoA:anthocyanidin 3-O-glucoside-6''-O-coumaroyltransferase 1</t>
  </si>
  <si>
    <t>GO:0016746</t>
  </si>
  <si>
    <t>acyltransferase activity</t>
  </si>
  <si>
    <t>J2O13_09G022017</t>
  </si>
  <si>
    <t>7.45E-05</t>
  </si>
  <si>
    <t>At4g28100</t>
  </si>
  <si>
    <t>Uncharacterized GPI-anchored protein At4g28100</t>
  </si>
  <si>
    <t>J2O13_09G022044</t>
  </si>
  <si>
    <t>OFP7</t>
  </si>
  <si>
    <t>Transcription repressor OFP7</t>
  </si>
  <si>
    <t>J2O13_10G022054</t>
  </si>
  <si>
    <t>1.94E-09</t>
  </si>
  <si>
    <t>At5g10770</t>
  </si>
  <si>
    <t>Aspartyl protease family protein At5g10770</t>
  </si>
  <si>
    <t>GO:0005886,GO:0004190,GO:0006508</t>
  </si>
  <si>
    <t>plasma membrane|aspartic-type endopeptidase activity|proteolysis</t>
  </si>
  <si>
    <t>J2O13_10G022064</t>
  </si>
  <si>
    <t>C/VIF2</t>
  </si>
  <si>
    <t>Cell wall / vacuolar inhibitor of fructosidase 2</t>
  </si>
  <si>
    <t>GO:0005773,GO:0004857,GO:0043086</t>
  </si>
  <si>
    <t>vacuole|enzyme inhibitor activity|negative regulation of catalytic activity</t>
  </si>
  <si>
    <t>J2O13_10G022067</t>
  </si>
  <si>
    <t>RPP8L3</t>
  </si>
  <si>
    <t>Disease resistance RPP8-like protein 3</t>
  </si>
  <si>
    <t>J2O13_10G022072</t>
  </si>
  <si>
    <t>VCS</t>
  </si>
  <si>
    <t>Enhancer of mRNA-decapping protein 4</t>
  </si>
  <si>
    <t>GO:0000932,GO:0003729,GO:0042803,GO:0071365,GO:0031087,GO:0009965,GO:0006402,GO:0006397,GO:0009791,GO:0010072,GO:0010071</t>
  </si>
  <si>
    <t>P-body|mRNA binding|protein homodimerization activity|cellular response to auxin stimulus|deadenylation-independent decapping of nuclear-transcribed mRNA|leaf morphogenesis|mRNA catabolic process|mRNA processing|post-embryonic development|primary shoot apical meristem specification|root meristem specification</t>
  </si>
  <si>
    <t>J2O13_10G022078</t>
  </si>
  <si>
    <t>1.99E-10</t>
  </si>
  <si>
    <t>2.64E-09</t>
  </si>
  <si>
    <t>ALS3</t>
  </si>
  <si>
    <t>Protein ALUMINUM SENSITIVE 3</t>
  </si>
  <si>
    <t>GO:0005886,GO:0012506,GO:0005460,GO:0010044</t>
  </si>
  <si>
    <t>plasma membrane|vesicle membrane|UDP-glucose transmembrane transporter activity|response to aluminum ion</t>
  </si>
  <si>
    <t>J2O13_10G022082</t>
  </si>
  <si>
    <t>SGR9</t>
  </si>
  <si>
    <t>E3 ubiquitin-protein ligase SGR9, amyloplastic</t>
  </si>
  <si>
    <t>GO:0009501,GO:0005737,GO:0046872,GO:0061630,GO:0004842,GO:0009630,GO:0016567</t>
  </si>
  <si>
    <t>amyloplast|cytoplasm|metal ion binding|ubiquitin protein ligase activity|ubiquitin-protein transferase activity|gravitropism|protein ubiquitination</t>
  </si>
  <si>
    <t>J2O13_10G022084</t>
  </si>
  <si>
    <t>3.68E-05</t>
  </si>
  <si>
    <t>PP2C38</t>
  </si>
  <si>
    <t>Probable protein phosphatase 2C 38</t>
  </si>
  <si>
    <t>GO:0005886,GO:0046872,GO:0017018,GO:0004722,GO:1900425,GO:0035970</t>
  </si>
  <si>
    <t>plasma membrane|metal ion binding|myosin phosphatase activity|protein serine/threonine phosphatase activity|negative regulation of defense response to bacterium|peptidyl-threonine dephosphorylation</t>
  </si>
  <si>
    <t>J2O13_10G022087</t>
  </si>
  <si>
    <t>6.34E-07</t>
  </si>
  <si>
    <t>4.74E-06</t>
  </si>
  <si>
    <t>TERC</t>
  </si>
  <si>
    <t>Thylakoid membrane protein TERC, chloroplastic</t>
  </si>
  <si>
    <t>GO:0009534,GO:0009535,GO:0090351,GO:0010027</t>
  </si>
  <si>
    <t>chloroplast thylakoid|chloroplast thylakoid membrane|seedling development|thylakoid membrane organization</t>
  </si>
  <si>
    <t>J2O13_10G022089</t>
  </si>
  <si>
    <t>RABGAP22</t>
  </si>
  <si>
    <t>Rab GTPase-activating protein 22</t>
  </si>
  <si>
    <t>GO:0005634,GO:0005777,GO:0005096,GO:0006952</t>
  </si>
  <si>
    <t>nucleus|peroxisome|GTPase activator activity|defense response</t>
  </si>
  <si>
    <t>J2O13_10G022093</t>
  </si>
  <si>
    <t>7.07E-05</t>
  </si>
  <si>
    <t>TOP6A</t>
  </si>
  <si>
    <t>DNA topoisomerase 6 subunit A</t>
  </si>
  <si>
    <t>GO:0009330,GO:0000228,GO:0005634,GO:0005524,GO:0003677,GO:0003918,GO:0042802,GO:0000287,GO:0006265,GO:0009957,GO:0042138,GO:0000706,GO:0007131</t>
  </si>
  <si>
    <t>DNA topoisomerase type II (double strand cut, ATP-hydrolyzing) complex|nuclear chromosome|nucleus|ATP binding|DNA binding|DNA topoisomerase type II (double strand cut, ATP-hydrolyzing) activity|identical protein binding|magnesium ion binding|DNA topological change|epidermal cell fate specification|meiotic DNA double-strand break formation|meiotic DNA double-strand break processing|reciprocal meiotic recombination</t>
  </si>
  <si>
    <t>J2O13_10G022095</t>
  </si>
  <si>
    <t>6.19E-12</t>
  </si>
  <si>
    <t>J2O13_10G022096</t>
  </si>
  <si>
    <t>1.38E-08</t>
  </si>
  <si>
    <t>RVE8</t>
  </si>
  <si>
    <t>Protein REVEILLE 8</t>
  </si>
  <si>
    <t>GO:0005634,GO:0003700,GO:0043565,GO:0032922,GO:0043966,GO:0048573,GO:0042753,GO:0010628,GO:0045944,GO:0042752,GO:0006355</t>
  </si>
  <si>
    <t>nucleus|DNA-binding transcription factor activity|sequence-specific DNA binding|circadian regulation of gene expression|histone H3 acetylation|photoperiodism, flowering|positive regulation of circadian rhythm|positive regulation of gene expression|positive regulation of transcription by RNA polymerase II|regulation of circadian rhythm|regulation of DNA-templated transcription</t>
  </si>
  <si>
    <t>J2O13_10G022105</t>
  </si>
  <si>
    <t>1.34E-06</t>
  </si>
  <si>
    <t>HCF152</t>
  </si>
  <si>
    <t>Pentatricopeptide repeat-containing protein At3g09650, chloroplastic</t>
  </si>
  <si>
    <t>GO:0009570,GO:0003729,GO:0000166,GO:0006397</t>
  </si>
  <si>
    <t>chloroplast stroma|mRNA binding|nucleotide binding|mRNA processing</t>
  </si>
  <si>
    <t>J2O13_10G022121</t>
  </si>
  <si>
    <t>2.04E-46</t>
  </si>
  <si>
    <t>7.41E-44</t>
  </si>
  <si>
    <t>J2O13_10G022123</t>
  </si>
  <si>
    <t>8.84E-18</t>
  </si>
  <si>
    <t>S1FA</t>
  </si>
  <si>
    <t>DNA-binding protein S1FA</t>
  </si>
  <si>
    <t>GO:0005634,GO:0003677,GO:0006355</t>
  </si>
  <si>
    <t>nucleus|DNA binding|regulation of DNA-templated transcription</t>
  </si>
  <si>
    <t>J2O13_10G022125</t>
  </si>
  <si>
    <t>PER21</t>
  </si>
  <si>
    <t>Peroxidase 21</t>
  </si>
  <si>
    <t>GO:0009505,GO:0020037,GO:0140825,GO:0046872,GO:0004601,GO:0050832,GO:0042744,GO:0006979,GO:0048511</t>
  </si>
  <si>
    <t>plant-type cell wall|heme binding|lactoperoxidase activity|metal ion binding|peroxidase activity|defense response to fungus|hydrogen peroxide catabolic process|response to oxidative stress|rhythmic process</t>
  </si>
  <si>
    <t>J2O13_10G022127</t>
  </si>
  <si>
    <t>1.48E-17</t>
  </si>
  <si>
    <t>5.04E-16</t>
  </si>
  <si>
    <t>JKD</t>
  </si>
  <si>
    <t>Zinc finger protein JACKDAW</t>
  </si>
  <si>
    <t>GO:0005634,GO:0003677,GO:0003700,GO:0046872,GO:0042803,GO:0043565,GO:0008356,GO:0045893,GO:0034504,GO:0051302,GO:0006355,GO:0045604,GO:0010075,GO:0048364</t>
  </si>
  <si>
    <t>nucleus|DNA binding|DNA-binding transcription factor activity|metal ion binding|protein homodimerization activity|sequence-specific DNA binding|asymmetric cell division|positive regulation of DNA-templated transcription|protein localization to nucleus|regulation of cell division|regulation of DNA-templated transcription|regulation of epidermal cell differentiation|regulation of meristem growth|root development</t>
  </si>
  <si>
    <t>J2O13_10G022137</t>
  </si>
  <si>
    <t>5.69E-05</t>
  </si>
  <si>
    <t>J2O13_10G022141</t>
  </si>
  <si>
    <t>3.23E-05</t>
  </si>
  <si>
    <t>J2O13_10G022142</t>
  </si>
  <si>
    <t>2.84E-07</t>
  </si>
  <si>
    <t>2.26E-06</t>
  </si>
  <si>
    <t>J2O13_10G022143</t>
  </si>
  <si>
    <t>J2O13_10G022157</t>
  </si>
  <si>
    <t>8.69E-05</t>
  </si>
  <si>
    <t>J2O13_10G022163</t>
  </si>
  <si>
    <t>J2O13_10G022170</t>
  </si>
  <si>
    <t>1.39E-16</t>
  </si>
  <si>
    <t>4.18E-15</t>
  </si>
  <si>
    <t>SIGF</t>
  </si>
  <si>
    <t>RNA polymerase sigma factor sigF, chloroplastic</t>
  </si>
  <si>
    <t>GO:0009507,GO:0009536,GO:0003677,GO:0016987,GO:0071483,GO:0071482,GO:0006352,GO:0045893,GO:0090351</t>
  </si>
  <si>
    <t>chloroplast|plastid|DNA binding|sigma factor activity|cellular response to blue light|cellular response to light stimulus|DNA-templated transcription initiation|positive regulation of DNA-templated transcription|seedling development</t>
  </si>
  <si>
    <t>J2O13_10G022196</t>
  </si>
  <si>
    <t>1.46E-05</t>
  </si>
  <si>
    <t>8.28E-05</t>
  </si>
  <si>
    <t>Os04g0560200</t>
  </si>
  <si>
    <t>Thioredoxin-like 3-3</t>
  </si>
  <si>
    <t>J2O13_10G022198</t>
  </si>
  <si>
    <t>PTST</t>
  </si>
  <si>
    <t>Protein PTST homolog 3, chloroplastic</t>
  </si>
  <si>
    <t>GO:0009507,GO:0010581,GO:0019252</t>
  </si>
  <si>
    <t>chloroplast|regulation of starch biosynthetic process|starch biosynthetic process</t>
  </si>
  <si>
    <t>J2O13_10G022199</t>
  </si>
  <si>
    <t>CYP94D108</t>
  </si>
  <si>
    <t>Cytochrome P450 CYP94D108</t>
  </si>
  <si>
    <t>J2O13_10G022208</t>
  </si>
  <si>
    <t>6.34E-20</t>
  </si>
  <si>
    <t>2.76E-18</t>
  </si>
  <si>
    <t>J2O13_10G022214</t>
  </si>
  <si>
    <t>J2O13_10G022215</t>
  </si>
  <si>
    <t>NEC1</t>
  </si>
  <si>
    <t>Carbonic anhydrase Nec1</t>
  </si>
  <si>
    <t>GO:0004089,GO:0016836,GO:0008270,GO:0006730</t>
  </si>
  <si>
    <t>carbonate dehydratase activity|hydro-lyase activity|zinc ion binding|one-carbon metabolic process</t>
  </si>
  <si>
    <t>J2O13_10G022226</t>
  </si>
  <si>
    <t>TL1</t>
  </si>
  <si>
    <t>J2O13_10G022227</t>
  </si>
  <si>
    <t>Thaumatin-like protein 2 OS=Prunus persica OX=3760 PE=2 SV=1</t>
  </si>
  <si>
    <t>J2O13_10G022230</t>
  </si>
  <si>
    <t>UGT73C3</t>
  </si>
  <si>
    <t>UDP-glycosyltransferase 73C3</t>
  </si>
  <si>
    <t>J2O13_10G022237</t>
  </si>
  <si>
    <t>SCPL51</t>
  </si>
  <si>
    <t>Serine carboxypeptidase-like 51</t>
  </si>
  <si>
    <t>J2O13_10G022239</t>
  </si>
  <si>
    <t>J2O13_10G022241</t>
  </si>
  <si>
    <t>Purine-uracil permease NCS1</t>
  </si>
  <si>
    <t>GO:0031969,GO:0005886,GO:0009526,GO:0015205,GO:0015851,GO:0043100</t>
  </si>
  <si>
    <t>chloroplast membrane|plasma membrane|plastid envelope|nucleobase transmembrane transporter activity|nucleobase transport|pyrimidine nucleobase salvage</t>
  </si>
  <si>
    <t>J2O13_10G022246</t>
  </si>
  <si>
    <t>UGT73D1</t>
  </si>
  <si>
    <t>UDP-glycosyltransferase 73D1</t>
  </si>
  <si>
    <t>J2O13_10G022251</t>
  </si>
  <si>
    <t>7.34E-10</t>
  </si>
  <si>
    <t>9.02E-09</t>
  </si>
  <si>
    <t>PAB7</t>
  </si>
  <si>
    <t>Polyadenylate-binding protein 7</t>
  </si>
  <si>
    <t>ko03015,ko03018</t>
  </si>
  <si>
    <t>mRNA surveillance pathway|RNA degradation</t>
  </si>
  <si>
    <t>GO:0005829,GO:0005634,GO:1990904,GO:0003730,GO:0008143,GO:0008266,GO:0003723,GO:0006417</t>
  </si>
  <si>
    <t>cytosol|nucleus|ribonucleoprotein complex|mRNA 3'-UTR binding|poly(A) binding|poly(U) RNA binding|RNA binding|regulation of translation</t>
  </si>
  <si>
    <t>J2O13_10G022254</t>
  </si>
  <si>
    <t>1.07E-10</t>
  </si>
  <si>
    <t>1.48E-09</t>
  </si>
  <si>
    <t>WAKL20</t>
  </si>
  <si>
    <t>Wall-associated receptor kinase-like 20</t>
  </si>
  <si>
    <t>J2O13_10G022258</t>
  </si>
  <si>
    <t>3.20E-12</t>
  </si>
  <si>
    <t>5.55E-11</t>
  </si>
  <si>
    <t>EMB175</t>
  </si>
  <si>
    <t>Pentatricopeptide repeat-containing protein At5g03800</t>
  </si>
  <si>
    <t>GO:0003723,GO:0008270,GO:0009793,GO:0009451</t>
  </si>
  <si>
    <t>RNA binding|zinc ion binding|embryo development ending in seed dormancy|RNA modification</t>
  </si>
  <si>
    <t>J2O13_10G022262</t>
  </si>
  <si>
    <t>5.59E-22</t>
  </si>
  <si>
    <t>2.97E-20</t>
  </si>
  <si>
    <t>ECP63</t>
  </si>
  <si>
    <t>Late embryogenesis abundant protein ECP63</t>
  </si>
  <si>
    <t>J2O13_10G022266</t>
  </si>
  <si>
    <t>ATHB-51</t>
  </si>
  <si>
    <t>Putative homeobox-leucine zipper protein ATHB-51</t>
  </si>
  <si>
    <t>GO:0005634,GO:0003700,GO:0000981,GO:0043565,GO:0010434,GO:0010582,GO:0009965,GO:0045893,GO:0048510</t>
  </si>
  <si>
    <t>nucleus|DNA-binding transcription factor activity|DNA-binding transcription factor activity, RNA polymerase II-specific|sequence-specific DNA binding|bract formation|floral meristem determinacy|leaf morphogenesis|positive regulation of DNA-templated transcription|regulation of timing of transition from vegetative to reproductive phase</t>
  </si>
  <si>
    <t>J2O13_10G022270</t>
  </si>
  <si>
    <t>2.27E-16</t>
  </si>
  <si>
    <t>6.62E-15</t>
  </si>
  <si>
    <t>OsI_35105</t>
  </si>
  <si>
    <t>Pyruvate kinase 1, cytosolic</t>
  </si>
  <si>
    <t>GO:0005829,GO:0005524,GO:0016301,GO:0000287,GO:0030955,GO:0004743</t>
  </si>
  <si>
    <t>cytosol|ATP binding|kinase activity|magnesium ion binding|potassium ion binding|pyruvate kinase activity</t>
  </si>
  <si>
    <t>J2O13_10G022272</t>
  </si>
  <si>
    <t>PXC1</t>
  </si>
  <si>
    <t>Leucine-rich repeat receptor-like protein kinase PXC1</t>
  </si>
  <si>
    <t>GO:0005886,GO:0005524,GO:0004672,GO:0009834,GO:0006468</t>
  </si>
  <si>
    <t>plasma membrane|ATP binding|protein kinase activity|plant-type secondary cell wall biogenesis|protein phosphorylation</t>
  </si>
  <si>
    <t>J2O13_10G022275</t>
  </si>
  <si>
    <t>IO</t>
  </si>
  <si>
    <t>Iridoid oxidase</t>
  </si>
  <si>
    <t>GO:0005783,GO:0005789,GO:0020037,GO:0005506,GO:0004497,GO:0016705,GO:0035834,GO:0009753</t>
  </si>
  <si>
    <t>endoplasmic reticulum|endoplasmic reticulum membrane|heme binding|iron ion binding|monooxygenase activity|oxidoreductase activity, acting on paired donors, with incorporation or reduction of molecular oxygen|indole alkaloid metabolic process|response to jasmonic acid</t>
  </si>
  <si>
    <t>J2O13_10G022276</t>
  </si>
  <si>
    <t>1.12E-13</t>
  </si>
  <si>
    <t>2.35E-12</t>
  </si>
  <si>
    <t>PSI1</t>
  </si>
  <si>
    <t>Protein PSK SIMULATOR 1</t>
  </si>
  <si>
    <t>GO:0005634,GO:0045927,GO:0006109,GO:0043434</t>
  </si>
  <si>
    <t>nucleus|positive regulation of growth|regulation of carbohydrate metabolic process|response to peptide hormone</t>
  </si>
  <si>
    <t>J2O13_10G022282</t>
  </si>
  <si>
    <t>CSLA9</t>
  </si>
  <si>
    <t>Glucomannan 4-beta-mannosyltransferase 9</t>
  </si>
  <si>
    <t>GO:0005794,GO:0000139,GO:0047259,GO:0016757,GO:0051753,GO:0071555,GO:0009294,GO:0009617</t>
  </si>
  <si>
    <t>Golgi apparatus|Golgi membrane|glucomannan 4-beta-mannosyltransferase activity|glycosyltransferase activity|mannan synthase activity|cell wall organization|DNA-mediated transformation|response to bacterium</t>
  </si>
  <si>
    <t>J2O13_10G022284</t>
  </si>
  <si>
    <t>1.66E-13</t>
  </si>
  <si>
    <t>PRXIIE</t>
  </si>
  <si>
    <t>Peroxiredoxin-2E, chloroplastic</t>
  </si>
  <si>
    <t>GO:0009507,GO:0009941,GO:0009570,GO:0005737,GO:0005829,GO:0009536,GO:0009579,GO:0008379,GO:0045454,GO:0034599,GO:0042744</t>
  </si>
  <si>
    <t>chloroplast|chloroplast envelope|chloroplast stroma|cytoplasm|cytosol|plastid|thylakoid|thioredoxin peroxidase activity|cell redox homeostasis|cellular response to oxidative stress|hydrogen peroxide catabolic process</t>
  </si>
  <si>
    <t>J2O13_10G022296</t>
  </si>
  <si>
    <t>2.31E-11</t>
  </si>
  <si>
    <t>PSK6</t>
  </si>
  <si>
    <t>Putative phytosulfokines 6</t>
  </si>
  <si>
    <t>GO:0005576,GO:0008083,GO:0030154,GO:0008283</t>
  </si>
  <si>
    <t>extracellular region|growth factor activity|cell differentiation|cell population proliferation</t>
  </si>
  <si>
    <t>J2O13_10G022297</t>
  </si>
  <si>
    <t>7.60E-14</t>
  </si>
  <si>
    <t>At5g03700</t>
  </si>
  <si>
    <t>PAN domain-containing protein At5g03700</t>
  </si>
  <si>
    <t>GO:0005768,GO:0005794,GO:0016020,GO:0005802,GO:0048544</t>
  </si>
  <si>
    <t>endosome|Golgi apparatus|membrane|trans-Golgi network|recognition of pollen</t>
  </si>
  <si>
    <t>J2O13_10G022298</t>
  </si>
  <si>
    <t>2.58E-05</t>
  </si>
  <si>
    <t>J2O13_10G022310</t>
  </si>
  <si>
    <t>SBEI</t>
  </si>
  <si>
    <t>1,4-alpha-glucan-branching enzyme 1, chloroplastic/amyloplastic</t>
  </si>
  <si>
    <t>GO:0009501,GO:0009507,GO:0003844,GO:0102752,GO:0043169,GO:0004553,GO:0009793,GO:0019252</t>
  </si>
  <si>
    <t>amyloplast|chloroplast|1,4-alpha-glucan branching enzyme activity|1,4-alpha-glucan branching enzyme activity (using a glucosylated glycogenin as primer for glycogen synthesis)|cation binding|hydrolase activity, hydrolyzing O-glycosyl compounds|embryo development ending in seed dormancy|starch biosynthetic process</t>
  </si>
  <si>
    <t>J2O13_10G022311</t>
  </si>
  <si>
    <t>9.38E-10</t>
  </si>
  <si>
    <t>1.13E-08</t>
  </si>
  <si>
    <t>RLPH2</t>
  </si>
  <si>
    <t>Tyrosine-protein phosphatase RLPH2</t>
  </si>
  <si>
    <t>GO:0005829,GO:0046872,GO:0004725,GO:0035335</t>
  </si>
  <si>
    <t>cytosol|metal ion binding|protein tyrosine phosphatase activity|peptidyl-tyrosine dephosphorylation</t>
  </si>
  <si>
    <t>J2O13_10G022312</t>
  </si>
  <si>
    <t>J2O13_10G022341</t>
  </si>
  <si>
    <t>J2O13_10G022343</t>
  </si>
  <si>
    <t>At5g03610</t>
  </si>
  <si>
    <t>GDSL esterase/lipase At5g03610</t>
  </si>
  <si>
    <t>J2O13_10G022344</t>
  </si>
  <si>
    <t>7.02E-08</t>
  </si>
  <si>
    <t>6.30E-07</t>
  </si>
  <si>
    <t>J2O13_10G022347</t>
  </si>
  <si>
    <t>ABI5</t>
  </si>
  <si>
    <t>Protein ABSCISIC ACID-INSENSITIVE 5</t>
  </si>
  <si>
    <t>GO:0005634,GO:0003700,GO:0000976,GO:0009738,GO:0010187,GO:0045893,GO:0006355,GO:0009737,GO:0009739,GO:0009651,GO:0009414,GO:0048316,GO:0009845,GO:0010182</t>
  </si>
  <si>
    <t>nucleus|DNA-binding transcription factor activity|transcription cis-regulatory region binding|abscisic acid-activated signaling pathway|negative regulation of seed germination|positive regulation of DNA-templated transcription|regulation of DNA-templated transcription|response to abscisic acid|response to gibberellin|response to salt stress|response to water deprivation|seed development|seed germination|sugar mediated signaling pathway</t>
  </si>
  <si>
    <t>J2O13_10G022349</t>
  </si>
  <si>
    <t>4.29E-12</t>
  </si>
  <si>
    <t>7.30E-11</t>
  </si>
  <si>
    <t>At2g16710</t>
  </si>
  <si>
    <t>Iron-sulfur assembly protein IscA-like 1, mitochondrial</t>
  </si>
  <si>
    <t>GO:0005737,GO:0005739,GO:0051537,GO:0046872,GO:0016226,GO:0097428</t>
  </si>
  <si>
    <t>cytoplasm|mitochondrion|2 iron, 2 sulfur cluster binding|metal ion binding|iron-sulfur cluster assembly|protein maturation by iron-sulfur cluster transfer</t>
  </si>
  <si>
    <t>J2O13_10G022351</t>
  </si>
  <si>
    <t>7.42E-06</t>
  </si>
  <si>
    <t>4.50E-05</t>
  </si>
  <si>
    <t>J2O13_10G022354</t>
  </si>
  <si>
    <t>8.46E-16</t>
  </si>
  <si>
    <t>2.31E-14</t>
  </si>
  <si>
    <t>At5g03905</t>
  </si>
  <si>
    <t>Iron-sulfur assembly protein IscA-like 2, mitochondrial</t>
  </si>
  <si>
    <t>GO:0005739,GO:0051537,GO:0051539,GO:0005506,GO:0016226,GO:0106035</t>
  </si>
  <si>
    <t>mitochondrion|2 iron, 2 sulfur cluster binding|4 iron, 4 sulfur cluster binding|iron ion binding|iron-sulfur cluster assembly|protein maturation by [4Fe-4S] cluster transfer</t>
  </si>
  <si>
    <t>J2O13_10G022358</t>
  </si>
  <si>
    <t>3.93E-08</t>
  </si>
  <si>
    <t>At5g03900</t>
  </si>
  <si>
    <t>Uncharacterized protein At5g03900, chloroplastic</t>
  </si>
  <si>
    <t>GO:0009941,GO:0031969,GO:0009536</t>
  </si>
  <si>
    <t>chloroplast envelope|chloroplast membrane|plastid</t>
  </si>
  <si>
    <t>J2O13_10G022362</t>
  </si>
  <si>
    <t>J2O13_10G022363</t>
  </si>
  <si>
    <t>1.56E-10</t>
  </si>
  <si>
    <t>J2O13_10G022364</t>
  </si>
  <si>
    <t>J2O13_10G022365</t>
  </si>
  <si>
    <t>ACA1</t>
  </si>
  <si>
    <t>Alpha carbonic anhydrase 1, chloroplastic</t>
  </si>
  <si>
    <t>GO:0009570,GO:0005783,GO:0004089,GO:0016836,GO:0008270,GO:0006730</t>
  </si>
  <si>
    <t>chloroplast stroma|endoplasmic reticulum|carbonate dehydratase activity|hydro-lyase activity|zinc ion binding|one-carbon metabolic process</t>
  </si>
  <si>
    <t>J2O13_10G022378</t>
  </si>
  <si>
    <t>2.27E-09</t>
  </si>
  <si>
    <t>2.60E-08</t>
  </si>
  <si>
    <t>ROPGAP1</t>
  </si>
  <si>
    <t>Rho GTPase-activating protein 1</t>
  </si>
  <si>
    <t>J2O13_10G022381</t>
  </si>
  <si>
    <t>1.30E-14</t>
  </si>
  <si>
    <t>3.10E-13</t>
  </si>
  <si>
    <t>J2O13_10G022393</t>
  </si>
  <si>
    <t>NAC090</t>
  </si>
  <si>
    <t>NAC domain-containing protein 90</t>
  </si>
  <si>
    <t>J2O13_10G022411</t>
  </si>
  <si>
    <t>5.64E-06</t>
  </si>
  <si>
    <t>3.50E-05</t>
  </si>
  <si>
    <t>EDA2</t>
  </si>
  <si>
    <t>Probable serine protease EDA2</t>
  </si>
  <si>
    <t>ko04614,ko04974</t>
  </si>
  <si>
    <t>Renin-angiotensin system|Protein digestion and absorption</t>
  </si>
  <si>
    <t>GO:0005576,GO:0008239,GO:0008236,GO:0009561,GO:0006508</t>
  </si>
  <si>
    <t>extracellular region|dipeptidyl-peptidase activity|serine-type peptidase activity|megagametogenesis|proteolysis</t>
  </si>
  <si>
    <t>J2O13_10G022413</t>
  </si>
  <si>
    <t>NIT4A</t>
  </si>
  <si>
    <t>Bifunctional nitrilase/nitrile hydratase NIT4A</t>
  </si>
  <si>
    <t>ko00910,ko00380,ko00460,ko00627,ko00643</t>
  </si>
  <si>
    <t>Nitrogen metabolism|Tryptophan metabolism|Cyanoamino acid metabolism|Aminobenzoate degradation|Styrene degradation</t>
  </si>
  <si>
    <t>GO:0047558,GO:0047427,GO:0019500,GO:0051410</t>
  </si>
  <si>
    <t>3-cyanoalanine hydratase activity|cyanoalanine nitrilase activity|cyanide catabolic process|detoxification of nitrogen compound</t>
  </si>
  <si>
    <t>J2O13_10G022432</t>
  </si>
  <si>
    <t>1.99E-05</t>
  </si>
  <si>
    <t>OFP6</t>
  </si>
  <si>
    <t>Transcription repressor OFP6</t>
  </si>
  <si>
    <t>J2O13_10G022435</t>
  </si>
  <si>
    <t>HVA22J</t>
  </si>
  <si>
    <t>HVA22-like protein j</t>
  </si>
  <si>
    <t>J2O13_10G022440</t>
  </si>
  <si>
    <t>7.44E-10</t>
  </si>
  <si>
    <t>9.13E-09</t>
  </si>
  <si>
    <t>J2O13_10G022443</t>
  </si>
  <si>
    <t>2.48E-30</t>
  </si>
  <si>
    <t>2.85E-28</t>
  </si>
  <si>
    <t>At4g16563</t>
  </si>
  <si>
    <t>Probable aspartyl protease At4g16563</t>
  </si>
  <si>
    <t>J2O13_10G022445</t>
  </si>
  <si>
    <t>J2O13_10G022446</t>
  </si>
  <si>
    <t>J2O13_10G022447</t>
  </si>
  <si>
    <t>1.27E-08</t>
  </si>
  <si>
    <t>NHL10</t>
  </si>
  <si>
    <t>NDR1/HIN1-like protein 10</t>
  </si>
  <si>
    <t>GO:0009507,GO:0005886,GO:0009506,GO:0051607,GO:0010150,GO:0051707</t>
  </si>
  <si>
    <t>chloroplast|plasma membrane|plasmodesma|defense response to virus|leaf senescence|response to other organism</t>
  </si>
  <si>
    <t>J2O13_10G022465</t>
  </si>
  <si>
    <t>2.56E-06</t>
  </si>
  <si>
    <t>PUB24</t>
  </si>
  <si>
    <t>E3 ubiquitin-protein ligase PUB24</t>
  </si>
  <si>
    <t>GO:0061630,GO:0004842,GO:0006952</t>
  </si>
  <si>
    <t>ubiquitin protein ligase activity|ubiquitin-protein transferase activity|defense response</t>
  </si>
  <si>
    <t>J2O13_10G022466</t>
  </si>
  <si>
    <t>PUB23</t>
  </si>
  <si>
    <t>E3 ubiquitin-protein ligase PUB23</t>
  </si>
  <si>
    <t>GO:0005829,GO:0061630,GO:0004842,GO:0006952,GO:0051865,GO:0016567,GO:0002679,GO:0009414</t>
  </si>
  <si>
    <t>cytosol|ubiquitin protein ligase activity|ubiquitin-protein transferase activity|defense response|protein autoubiquitination|protein ubiquitination|respiratory burst involved in defense response|response to water deprivation</t>
  </si>
  <si>
    <t>J2O13_10G022477</t>
  </si>
  <si>
    <t>J2O13_10G022481</t>
  </si>
  <si>
    <t>1.02E-05</t>
  </si>
  <si>
    <t>Short chain aldehyde dehydrogenase 1</t>
  </si>
  <si>
    <t>GO:0016491,GO:0016114</t>
  </si>
  <si>
    <t>oxidoreductase activity|terpenoid biosynthetic process</t>
  </si>
  <si>
    <t>J2O13_10G022487</t>
  </si>
  <si>
    <t>4.89E-21</t>
  </si>
  <si>
    <t>2.39E-19</t>
  </si>
  <si>
    <t>J2O13_10G022496</t>
  </si>
  <si>
    <t>2.64E-05</t>
  </si>
  <si>
    <t>CPK1</t>
  </si>
  <si>
    <t>Calcium-dependent protein kinase 1</t>
  </si>
  <si>
    <t>GO:0005737,GO:0005634,GO:0005778,GO:0005777,GO:0005524,GO:0005509,GO:0010857,GO:0009931,GO:0005516,GO:0004683,GO:0004672,GO:0106310,GO:0004674,GO:0035556,GO:0018105,GO:0046777,GO:0006468,GO:0010941,GO:1900055</t>
  </si>
  <si>
    <t>cytoplasm|nucleus|peroxisomal membrane|peroxisome|ATP binding|calcium ion binding|calcium-dependent protein kinase activity|calcium-dependent protein serine/threonine kinase activity|calmodulin binding|calmodulin-dependent protein kinase activity|protein kinase activity|protein serine kinase activity|protein serine/threonine kinase activity|intracellular signal transduction|peptidyl-serine phosphorylation|protein autophosphorylation|protein phosphorylation|regulation of cell death|regulation of leaf senescence</t>
  </si>
  <si>
    <t>J2O13_10G022502</t>
  </si>
  <si>
    <t>J2O13_10G022505</t>
  </si>
  <si>
    <t>1.86E-16</t>
  </si>
  <si>
    <t>5.49E-15</t>
  </si>
  <si>
    <t>SPP1</t>
  </si>
  <si>
    <t>Sucrose-phosphatase 1</t>
  </si>
  <si>
    <t>GO:0000287,GO:0050307,GO:0005986</t>
  </si>
  <si>
    <t>magnesium ion binding|sucrose-phosphate phosphatase activity|sucrose biosynthetic process</t>
  </si>
  <si>
    <t>J2O13_10G022517</t>
  </si>
  <si>
    <t>RF178</t>
  </si>
  <si>
    <t>Probable E3 ubiquitin-protein ligase BAH1-like</t>
  </si>
  <si>
    <t>J2O13_10G022526</t>
  </si>
  <si>
    <t>3.01E-17</t>
  </si>
  <si>
    <t>9.77E-16</t>
  </si>
  <si>
    <t>J2O13_10G022534</t>
  </si>
  <si>
    <t>IQM6</t>
  </si>
  <si>
    <t>IQ domain-containing protein IQM6</t>
  </si>
  <si>
    <t>J2O13_10G022539</t>
  </si>
  <si>
    <t>RMS3</t>
  </si>
  <si>
    <t>Strigolactone esterase RMS3</t>
  </si>
  <si>
    <t>GO:0005737,GO:0005634,GO:0016787,GO:1901601</t>
  </si>
  <si>
    <t>cytoplasm|nucleus|hydrolase activity|strigolactone biosynthetic process</t>
  </si>
  <si>
    <t>J2O13_10G022542</t>
  </si>
  <si>
    <t>4.68E-12</t>
  </si>
  <si>
    <t>7.89E-11</t>
  </si>
  <si>
    <t>J2O13_10G022566</t>
  </si>
  <si>
    <t>7.29E-16</t>
  </si>
  <si>
    <t>2.01E-14</t>
  </si>
  <si>
    <t>J2O13_10G022578</t>
  </si>
  <si>
    <t>MAG</t>
  </si>
  <si>
    <t>DNA-3-methyladenine glycosylase</t>
  </si>
  <si>
    <t>ko03410</t>
  </si>
  <si>
    <t>Base excision repair</t>
  </si>
  <si>
    <t>GO:0005634,GO:0003905,GO:0003677,GO:0008725,GO:0052822,GO:0052821,GO:0043916,GO:0006284</t>
  </si>
  <si>
    <t>nucleus|alkylbase DNA N-glycosylase activity|DNA binding|DNA-3-methyladenine glycosylase activity|DNA-3-methylguanine glycosylase activity|DNA-7-methyladenine glycosylase activity|DNA-7-methylguanine glycosylase activity|base-excision repair</t>
  </si>
  <si>
    <t>J2O13_10G022585</t>
  </si>
  <si>
    <t>J2O13_10G022589</t>
  </si>
  <si>
    <t>J2O13_10G022593</t>
  </si>
  <si>
    <t>GMPM1</t>
  </si>
  <si>
    <t>18 kDa seed maturation protein</t>
  </si>
  <si>
    <t>GO:0048030,GO:0070492,GO:0031210,GO:0009793</t>
  </si>
  <si>
    <t>disaccharide binding|oligosaccharide binding|phosphatidylcholine binding|embryo development ending in seed dormancy</t>
  </si>
  <si>
    <t>J2O13_10G022605</t>
  </si>
  <si>
    <t>J2O13_10G022615</t>
  </si>
  <si>
    <t>1.47E-10</t>
  </si>
  <si>
    <t>1.98E-09</t>
  </si>
  <si>
    <t>J2O13_10G022622</t>
  </si>
  <si>
    <t>WCRKC1</t>
  </si>
  <si>
    <t>Thioredoxin-like 3-1, chloroplastic</t>
  </si>
  <si>
    <t>GO:0009570</t>
  </si>
  <si>
    <t>chloroplast stroma</t>
  </si>
  <si>
    <t>J2O13_10G022651</t>
  </si>
  <si>
    <t>8.29E-10</t>
  </si>
  <si>
    <t>CYP93A1</t>
  </si>
  <si>
    <t>3,9-dihydroxypterocarpan 6A-monooxygenase</t>
  </si>
  <si>
    <t>GO:0016020,GO:0047082,GO:0020037,GO:0005506,GO:0016709,GO:0006952</t>
  </si>
  <si>
    <t>membrane|3,9-dihydroxypterocarpan 6a-monooxygenase activity|heme binding|iron ion binding|oxidoreductase activity, acting on paired donors, with incorporation or reduction of molecular oxygen, NAD(P)H as one donor, and incorporation of one atom of oxygen|defense response</t>
  </si>
  <si>
    <t>J2O13_10G022663</t>
  </si>
  <si>
    <t>J2O13_10G022681</t>
  </si>
  <si>
    <t>DREB2F</t>
  </si>
  <si>
    <t>Dehydration-responsive element-binding protein 2F</t>
  </si>
  <si>
    <t>J2O13_10G022685</t>
  </si>
  <si>
    <t>9.25E-07</t>
  </si>
  <si>
    <t>DTX42</t>
  </si>
  <si>
    <t>Protein DETOXIFICATION 42</t>
  </si>
  <si>
    <t>GO:0005886,GO:0035618,GO:0015297,GO:0015137,GO:0042910,GO:0015746,GO:0010044</t>
  </si>
  <si>
    <t>plasma membrane|root hair|antiporter activity|citrate transmembrane transporter activity|xenobiotic transmembrane transporter activity|citrate transport|response to aluminum ion</t>
  </si>
  <si>
    <t>J2O13_10G022691</t>
  </si>
  <si>
    <t>J2O13_10G022696</t>
  </si>
  <si>
    <t>2.23E-40</t>
  </si>
  <si>
    <t>5.09E-38</t>
  </si>
  <si>
    <t>SVR3</t>
  </si>
  <si>
    <t>Putative elongation factor TypA-like SVR3, chloroplastic</t>
  </si>
  <si>
    <t>GO:0009507,GO:1990904,GO:0005525,GO:0003924,GO:0003746,GO:0050821,GO:0009409,GO:0006364</t>
  </si>
  <si>
    <t>chloroplast|ribonucleoprotein complex|GTP binding|GTPase activity|translation elongation factor activity|protein stabilization|response to cold|rRNA processing</t>
  </si>
  <si>
    <t>J2O13_10G022699</t>
  </si>
  <si>
    <t>RFS2</t>
  </si>
  <si>
    <t>Probable galactinol--sucrose galactosyltransferase 2</t>
  </si>
  <si>
    <t>GO:0009506,GO:0016757,GO:0052692,GO:0034484,GO:0006979</t>
  </si>
  <si>
    <t>plasmodesma|glycosyltransferase activity|raffinose alpha-galactosidase activity|raffinose catabolic process|response to oxidative stress</t>
  </si>
  <si>
    <t>J2O13_10G022703</t>
  </si>
  <si>
    <t>J2O13_10G022711</t>
  </si>
  <si>
    <t>2.62E-18</t>
  </si>
  <si>
    <t>9.77E-17</t>
  </si>
  <si>
    <t>CHLH</t>
  </si>
  <si>
    <t>Magnesium-chelatase subunit ChlH, chloroplastic</t>
  </si>
  <si>
    <t>GO:0009507,GO:0009706,GO:0009570,GO:0010007,GO:0005739,GO:0009536,GO:0005524,GO:0016851,GO:0003729,GO:0015995,GO:0015979</t>
  </si>
  <si>
    <t>chloroplast|chloroplast inner membrane|chloroplast stroma|magnesium chelatase complex|mitochondrion|plastid|ATP binding|magnesium chelatase activity|mRNA binding|chlorophyll biosynthetic process|photosynthesis</t>
  </si>
  <si>
    <t>J2O13_10G022714</t>
  </si>
  <si>
    <t>3.39E-17</t>
  </si>
  <si>
    <t>J2O13_10G022731</t>
  </si>
  <si>
    <t>3.63E-09</t>
  </si>
  <si>
    <t>4.02E-08</t>
  </si>
  <si>
    <t>HSFB3</t>
  </si>
  <si>
    <t>Heat stress transcription factor B-3</t>
  </si>
  <si>
    <t>GO:0005737,GO:0005634,GO:0003700,GO:0000978,GO:0006357</t>
  </si>
  <si>
    <t>cytoplasm|nucleus|DNA-binding transcription factor activity|RNA polymerase II cis-regulatory region sequence-specific DNA binding|regulation of transcription by RNA polymerase II</t>
  </si>
  <si>
    <t>J2O13_10G022732</t>
  </si>
  <si>
    <t>2.76E-35</t>
  </si>
  <si>
    <t>4.55E-33</t>
  </si>
  <si>
    <t>NTRC</t>
  </si>
  <si>
    <t>NADPH-dependent thioredoxin reductase 3</t>
  </si>
  <si>
    <t>ko00450</t>
  </si>
  <si>
    <t>Selenocompound metabolism</t>
  </si>
  <si>
    <t>GO:0009507,GO:0009570,GO:0005829,GO:0008047,GO:0042802,GO:0016671,GO:0004791,GO:0045454,GO:0042744,GO:0043085,GO:0010380,GO:0010581,GO:0019430</t>
  </si>
  <si>
    <t>chloroplast|chloroplast stroma|cytosol|enzyme activator activity|identical protein binding|oxidoreductase activity, acting on a sulfur group of donors, disulfide as acceptor|thioredoxin-disulfide reductase activity|cell redox homeostasis|hydrogen peroxide catabolic process|positive regulation of catalytic activity|regulation of chlorophyll biosynthetic process|regulation of starch biosynthetic process|removal of superoxide radicals</t>
  </si>
  <si>
    <t>J2O13_10G022733</t>
  </si>
  <si>
    <t>ABCG15</t>
  </si>
  <si>
    <t>ABC transporter G family member 15</t>
  </si>
  <si>
    <t>GO:0016020,GO:0140359,GO:0005524,GO:0016887</t>
  </si>
  <si>
    <t>membrane|ABC-type transporter activity|ATP binding|ATP hydrolysis activity</t>
  </si>
  <si>
    <t>J2O13_10G022736</t>
  </si>
  <si>
    <t>MIZ1</t>
  </si>
  <si>
    <t>Protein MIZU-KUSSEI 1</t>
  </si>
  <si>
    <t>GO:0032541,GO:0005737,GO:0005783,GO:0005789,GO:0016020,GO:0009658,GO:0010274</t>
  </si>
  <si>
    <t>cortical endoplasmic reticulum|cytoplasm|endoplasmic reticulum|endoplasmic reticulum membrane|membrane|chloroplast organization|hydrotropism</t>
  </si>
  <si>
    <t>J2O13_10G022748</t>
  </si>
  <si>
    <t>ACA8</t>
  </si>
  <si>
    <t>Probable calcium-transporting ATPase 8, plasma membrane-type</t>
  </si>
  <si>
    <t>J2O13_10G022751</t>
  </si>
  <si>
    <t>6.36E-08</t>
  </si>
  <si>
    <t>5.75E-07</t>
  </si>
  <si>
    <t>J2O13_10G022754</t>
  </si>
  <si>
    <t>4.99E-05</t>
  </si>
  <si>
    <t>J2O13_10G022773</t>
  </si>
  <si>
    <t>8.55E-06</t>
  </si>
  <si>
    <t>CKX1</t>
  </si>
  <si>
    <t>Cytokinin dehydrogenase 1</t>
  </si>
  <si>
    <t>GO:0005773,GO:0019139,GO:0071949,GO:0016491,GO:0009823,GO:0048507</t>
  </si>
  <si>
    <t>vacuole|cytokinin dehydrogenase activity|FAD binding|oxidoreductase activity|cytokinin catabolic process|meristem development</t>
  </si>
  <si>
    <t>J2O13_10G022789</t>
  </si>
  <si>
    <t>J2O13_10G022799</t>
  </si>
  <si>
    <t>J2O13_10G022802</t>
  </si>
  <si>
    <t>PICBP</t>
  </si>
  <si>
    <t>Calmodulin binding protein PICBP</t>
  </si>
  <si>
    <t>GO:0005516,GO:0006952</t>
  </si>
  <si>
    <t>calmodulin binding|defense response</t>
  </si>
  <si>
    <t>J2O13_10G022807</t>
  </si>
  <si>
    <t>J2O13_10G022811</t>
  </si>
  <si>
    <t>J2O13_10G022821</t>
  </si>
  <si>
    <t>1.76E-11</t>
  </si>
  <si>
    <t>2.74E-10</t>
  </si>
  <si>
    <t>CYSTM12</t>
  </si>
  <si>
    <t>Protein CYSTEINE-RICH TRANSMEMBRANE MODULE 12</t>
  </si>
  <si>
    <t>GO:0005737,GO:0005886,GO:0042802,GO:0042803</t>
  </si>
  <si>
    <t>cytoplasm|plasma membrane|identical protein binding|protein homodimerization activity</t>
  </si>
  <si>
    <t>J2O13_10G022823</t>
  </si>
  <si>
    <t>LCY1</t>
  </si>
  <si>
    <t>Lycopene beta cyclase, chloroplastic/chromoplastic</t>
  </si>
  <si>
    <t>GO:0009507,GO:0009509,GO:0045436,GO:0016705,GO:1901812,GO:1901818</t>
  </si>
  <si>
    <t>chloroplast|chromoplast|lycopene beta cyclase activity|oxidoreductase activity, acting on paired donors, with incorporation or reduction of molecular oxygen|beta-carotene biosynthetic process|beta-zeacarotene biosynthetic process</t>
  </si>
  <si>
    <t>J2O13_10G022825</t>
  </si>
  <si>
    <t>5.74E-13</t>
  </si>
  <si>
    <t>J2O13_10G022843</t>
  </si>
  <si>
    <t>4.18E-05</t>
  </si>
  <si>
    <t>ko03008</t>
  </si>
  <si>
    <t>Ribosome biogenesis in eukaryotes</t>
  </si>
  <si>
    <t>J2O13_10G022856</t>
  </si>
  <si>
    <t>5.77E-06</t>
  </si>
  <si>
    <t>3.58E-05</t>
  </si>
  <si>
    <t>At3g59040</t>
  </si>
  <si>
    <t>Pentatricopeptide repeat-containing protein At3g59040</t>
  </si>
  <si>
    <t>J2O13_10G022858</t>
  </si>
  <si>
    <t>7.17E-09</t>
  </si>
  <si>
    <t>7.63E-08</t>
  </si>
  <si>
    <t>J2O13_10G022859</t>
  </si>
  <si>
    <t>KIN7O</t>
  </si>
  <si>
    <t>Kinesin-like protein KIN-7O</t>
  </si>
  <si>
    <t>GO:0005874,GO:0005524,GO:0008017,GO:0003777,GO:0007018</t>
  </si>
  <si>
    <t>microtubule|ATP binding|microtubule binding|microtubule motor activity|microtubule-based movement</t>
  </si>
  <si>
    <t>J2O13_10G022886</t>
  </si>
  <si>
    <t>7.82E-08</t>
  </si>
  <si>
    <t>6.95E-07</t>
  </si>
  <si>
    <t>FdGOGAT</t>
  </si>
  <si>
    <t>Ferredoxin-dependent glutamate synthase, chloroplastic</t>
  </si>
  <si>
    <t>ko00630,ko00910</t>
  </si>
  <si>
    <t>Glyoxylate and dicarboxylate metabolism|Nitrogen metabolism</t>
  </si>
  <si>
    <t>GO:0009570,GO:0051538,GO:0019899,GO:0016041,GO:0046872,GO:0006541,GO:0097054</t>
  </si>
  <si>
    <t>chloroplast stroma|3 iron, 4 sulfur cluster binding|enzyme binding|glutamate synthase (ferredoxin) activity|metal ion binding|glutamine metabolic process|L-glutamate biosynthetic process</t>
  </si>
  <si>
    <t>J2O13_10G022907</t>
  </si>
  <si>
    <t>J2O13_10G022917</t>
  </si>
  <si>
    <t>4.89E-06</t>
  </si>
  <si>
    <t>XYL2</t>
  </si>
  <si>
    <t>Putative alpha-xylosidase 2</t>
  </si>
  <si>
    <t>GO:0048046,GO:0005829,GO:0009506,GO:0061634,GO:0030246,GO:0004553,GO:0071555,GO:0000272</t>
  </si>
  <si>
    <t>apoplast|cytosol|plasmodesma|alpha-D-xyloside xylohydrolase|carbohydrate binding|hydrolase activity, hydrolyzing O-glycosyl compounds|cell wall organization|polysaccharide catabolic process</t>
  </si>
  <si>
    <t>J2O13_10G022919</t>
  </si>
  <si>
    <t>5.27E-26</t>
  </si>
  <si>
    <t>4.10E-24</t>
  </si>
  <si>
    <t>GYRB</t>
  </si>
  <si>
    <t>DNA gyrase subunit B, chloroplastic/mitochondrial</t>
  </si>
  <si>
    <t>GO:0009507,GO:0005694,GO:0005739,GO:0005524,GO:0003677,GO:0003918,GO:0046872,GO:0006265</t>
  </si>
  <si>
    <t>chloroplast|chromosome|mitochondrion|ATP binding|DNA binding|DNA topoisomerase type II (double strand cut, ATP-hydrolyzing) activity|metal ion binding|DNA topological change</t>
  </si>
  <si>
    <t>J2O13_10G022949</t>
  </si>
  <si>
    <t>2.27E-36</t>
  </si>
  <si>
    <t>3.97E-34</t>
  </si>
  <si>
    <t>CLKR27</t>
  </si>
  <si>
    <t>3-oxoacyl-[acyl-carrier-protein] reductase, chloroplastic</t>
  </si>
  <si>
    <t>GO:0009507,GO:0004316,GO:0051287,GO:0006633</t>
  </si>
  <si>
    <t>chloroplast|3-oxoacyl-[acyl-carrier-protein] reductase (NADPH) activity|NAD binding|fatty acid biosynthetic process</t>
  </si>
  <si>
    <t>J2O13_10G022995</t>
  </si>
  <si>
    <t>5.63E-95</t>
  </si>
  <si>
    <t>3.34E-91</t>
  </si>
  <si>
    <t>J2O13_10G023011</t>
  </si>
  <si>
    <t>3.30E-35</t>
  </si>
  <si>
    <t>5.34E-33</t>
  </si>
  <si>
    <t>J2O13_10G023024</t>
  </si>
  <si>
    <t>2.75E-14</t>
  </si>
  <si>
    <t>6.24E-13</t>
  </si>
  <si>
    <t>FKBP70</t>
  </si>
  <si>
    <t>70 kDa peptidyl-prolyl isomerase</t>
  </si>
  <si>
    <t>GO:0005737,GO:0005516,GO:0003755,GO:0061077,GO:0000413</t>
  </si>
  <si>
    <t>cytoplasm|calmodulin binding|peptidyl-prolyl cis-trans isomerase activity|chaperone-mediated protein folding|protein peptidyl-prolyl isomerization</t>
  </si>
  <si>
    <t>J2O13_10G023029</t>
  </si>
  <si>
    <t>RPL16</t>
  </si>
  <si>
    <t>60S ribosomal protein L16, mitochondrial</t>
  </si>
  <si>
    <t>GO:0005762,GO:0019843,GO:0003735,GO:0032543</t>
  </si>
  <si>
    <t>mitochondrial large ribosomal subunit|rRNA binding|structural constituent of ribosome|mitochondrial translation</t>
  </si>
  <si>
    <t>J2O13_10G023034</t>
  </si>
  <si>
    <t>DPE2</t>
  </si>
  <si>
    <t>4-alpha-glucanotransferase DPE2</t>
  </si>
  <si>
    <t>GO:0005829,GO:0004134,GO:0102500,GO:0010297,GO:2001070,GO:0000025,GO:0000023,GO:0005976,GO:0005983</t>
  </si>
  <si>
    <t>cytosol|4-alpha-glucanotransferase activity|beta-maltose 4-alpha-glucanotransferase activity|heteropolysaccharide binding|starch binding|maltose catabolic process|maltose metabolic process|polysaccharide metabolic process|starch catabolic process</t>
  </si>
  <si>
    <t>J2O13_10G023044</t>
  </si>
  <si>
    <t>2.52E-16</t>
  </si>
  <si>
    <t>7.28E-15</t>
  </si>
  <si>
    <t>CRD1</t>
  </si>
  <si>
    <t>Magnesium-protoporphyrin IX monomethyl ester [oxidative] cyclase, chloroplastic</t>
  </si>
  <si>
    <t>GO:0009507,GO:0048529,GO:0046872,GO:0015995,GO:0015979</t>
  </si>
  <si>
    <t>chloroplast|magnesium-protoporphyrin IX monomethyl ester (oxidative) cyclase activity|metal ion binding|chlorophyll biosynthetic process|photosynthesis</t>
  </si>
  <si>
    <t>J2O13_10G023045</t>
  </si>
  <si>
    <t>2.48E-11</t>
  </si>
  <si>
    <t>J2O13_10G023098</t>
  </si>
  <si>
    <t>5.59E-10</t>
  </si>
  <si>
    <t>6.98E-09</t>
  </si>
  <si>
    <t>UGT82A1</t>
  </si>
  <si>
    <t>UDP-glycosyltransferase 82A1</t>
  </si>
  <si>
    <t>J2O13_10G023103</t>
  </si>
  <si>
    <t>J2O13_10G023107</t>
  </si>
  <si>
    <t>2.12E-05</t>
  </si>
  <si>
    <t>J2O13_10G023143</t>
  </si>
  <si>
    <t>3.88E-13</t>
  </si>
  <si>
    <t>7.64E-12</t>
  </si>
  <si>
    <t>VTC4</t>
  </si>
  <si>
    <t>Inositol-phosphate phosphatase</t>
  </si>
  <si>
    <t>ko00053,ko00562,ko04070</t>
  </si>
  <si>
    <t>Ascorbate and aldarate metabolism|Inositol phosphate metabolism|Phosphatidylinositol signaling system</t>
  </si>
  <si>
    <t>GO:0005829,GO:0005886,GO:0008934,GO:0052832,GO:0052833,GO:0010347,GO:0046872,GO:0006021,GO:0006020,GO:0046855,GO:0019853,GO:0046854,GO:0009409,GO:0007165</t>
  </si>
  <si>
    <t>cytosol|plasma membrane|inositol monophosphate 1-phosphatase activity|inositol monophosphate 3-phosphatase activity|inositol monophosphate 4-phosphatase activity|L-galactose-1-phosphate phosphatase activity|metal ion binding|inositol biosynthetic process|inositol metabolic process|inositol phosphate dephosphorylation|L-ascorbic acid biosynthetic process|phosphatidylinositol phosphate biosynthetic process|response to cold|signal transduction</t>
  </si>
  <si>
    <t>J2O13_10G023146</t>
  </si>
  <si>
    <t>TDT</t>
  </si>
  <si>
    <t>Tonoplast dicarboxylate transporter</t>
  </si>
  <si>
    <t>GO:0016020,GO:0005774,GO:0005773,GO:0015140,GO:0098656,GO:0015743,GO:0051453</t>
  </si>
  <si>
    <t>membrane|vacuolar membrane|vacuole|malate transmembrane transporter activity|anion transmembrane transport|malate transport|regulation of intracellular pH</t>
  </si>
  <si>
    <t>J2O13_10G023154</t>
  </si>
  <si>
    <t>5.60E-11</t>
  </si>
  <si>
    <t>J2O13_10G023175</t>
  </si>
  <si>
    <t>3.31E-19</t>
  </si>
  <si>
    <t>1.36E-17</t>
  </si>
  <si>
    <t>TPRP-F1</t>
  </si>
  <si>
    <t>36.4 kDa proline-rich protein</t>
  </si>
  <si>
    <t>J2O13_10G023205</t>
  </si>
  <si>
    <t>J2O13_10G023214</t>
  </si>
  <si>
    <t>psbC</t>
  </si>
  <si>
    <t>Photosystem II CP43 reaction center protein</t>
  </si>
  <si>
    <t>GO:0009535,GO:0009523,GO:0016168,GO:0045156,GO:0046872,GO:0009772</t>
  </si>
  <si>
    <t>chloroplast thylakoid membrane|photosystem II|chlorophyll binding|electron transporter, transferring electrons within the cyclic electron transport pathway of photosynthesis activity|metal ion binding|photosynthetic electron transport in photosystem II</t>
  </si>
  <si>
    <t>J2O13_10G023215</t>
  </si>
  <si>
    <t>J2O13_10G023230</t>
  </si>
  <si>
    <t>1.02E-20</t>
  </si>
  <si>
    <t>4.84E-19</t>
  </si>
  <si>
    <t>HIPP07</t>
  </si>
  <si>
    <t>Heavy metal-associated isoprenylated plant protein 7</t>
  </si>
  <si>
    <t>GO:0046914,GO:0046916</t>
  </si>
  <si>
    <t>transition metal ion binding|cellular transition metal ion homeostasis</t>
  </si>
  <si>
    <t>J2O13_10G023239</t>
  </si>
  <si>
    <t>3.45E-22</t>
  </si>
  <si>
    <t>1.87E-20</t>
  </si>
  <si>
    <t>J2O13_10G023244</t>
  </si>
  <si>
    <t>J2O13_10G023263</t>
  </si>
  <si>
    <t>5.61E-25</t>
  </si>
  <si>
    <t>3.93E-23</t>
  </si>
  <si>
    <t>rpoC1</t>
  </si>
  <si>
    <t>DNA-directed RNA polymerase subunit beta'</t>
  </si>
  <si>
    <t>GO:0009507,GO:0000428,GO:0003677,GO:0003899,GO:0000287,GO:0008270,GO:0006351</t>
  </si>
  <si>
    <t>chloroplast|DNA-directed RNA polymerase complex|DNA binding|DNA-directed 5'-3' RNA polymerase activity|magnesium ion binding|zinc ion binding|DNA-templated transcription</t>
  </si>
  <si>
    <t>J2O13_10G023264</t>
  </si>
  <si>
    <t>6.12E-19</t>
  </si>
  <si>
    <t>2.43E-17</t>
  </si>
  <si>
    <t>rpoB</t>
  </si>
  <si>
    <t>DNA-directed RNA polymerase subunit beta</t>
  </si>
  <si>
    <t>GO:0009507,GO:0000428,GO:0003677,GO:0003899,GO:0032549,GO:0006351</t>
  </si>
  <si>
    <t>chloroplast|DNA-directed RNA polymerase complex|DNA binding|DNA-directed 5'-3' RNA polymerase activity|ribonucleoside binding|DNA-templated transcription</t>
  </si>
  <si>
    <t>J2O13_10G023276</t>
  </si>
  <si>
    <t>8.54E-17</t>
  </si>
  <si>
    <t>2.62E-15</t>
  </si>
  <si>
    <t>J2O13_10G023280</t>
  </si>
  <si>
    <t>2.31E-08</t>
  </si>
  <si>
    <t>NFYB3</t>
  </si>
  <si>
    <t>Nuclear transcription factor Y subunit B-3</t>
  </si>
  <si>
    <t>GO:0016602,GO:0005829,GO:0005634,GO:0001228,GO:0003700,GO:0000981,GO:0046982,GO:0043565,GO:0045893,GO:0006357,GO:0009408,GO:0009414</t>
  </si>
  <si>
    <t>CCAAT-binding factor complex|cytosol|nucleus|DNA-binding transcription activator activity, RNA polymerase II-specific|DNA-binding transcription factor activity|DNA-binding transcription factor activity, RNA polymerase II-specific|protein heterodimerization activity|sequence-specific DNA binding|positive regulation of DNA-templated transcription|regulation of transcription by RNA polymerase II|response to heat|response to water deprivation</t>
  </si>
  <si>
    <t>J2O13_10G023293</t>
  </si>
  <si>
    <t>7.94E-05</t>
  </si>
  <si>
    <t>OPT5</t>
  </si>
  <si>
    <t>Oligopeptide transporter 5</t>
  </si>
  <si>
    <t>J2O13_10G023297</t>
  </si>
  <si>
    <t>J2O13_10G023302</t>
  </si>
  <si>
    <t>At5g47800</t>
  </si>
  <si>
    <t>BTB/POZ domain-containing protein At5g47800</t>
  </si>
  <si>
    <t>J2O13_10G023304</t>
  </si>
  <si>
    <t>J2O13_10G023323</t>
  </si>
  <si>
    <t>6.13E-12</t>
  </si>
  <si>
    <t>RLP6</t>
  </si>
  <si>
    <t>Receptor-like protein 6</t>
  </si>
  <si>
    <t>J2O13_10G023335</t>
  </si>
  <si>
    <t>J2O13_10G023337</t>
  </si>
  <si>
    <t>1.25E-14</t>
  </si>
  <si>
    <t>3.00E-13</t>
  </si>
  <si>
    <t>At5g02620</t>
  </si>
  <si>
    <t>Ankyrin repeat-containing protein At5g02620</t>
  </si>
  <si>
    <t>GO:0005783,GO:0005886,GO:0008157,GO:0019888,GO:0035304</t>
  </si>
  <si>
    <t>endoplasmic reticulum|plasma membrane|protein phosphatase 1 binding|protein phosphatase regulator activity|regulation of protein dephosphorylation</t>
  </si>
  <si>
    <t>J2O13_10G023338</t>
  </si>
  <si>
    <t>4.66E-07</t>
  </si>
  <si>
    <t>3.58E-06</t>
  </si>
  <si>
    <t>J2O13_10G023340</t>
  </si>
  <si>
    <t>EXO70H1</t>
  </si>
  <si>
    <t>Exocyst complex component EXO70H1</t>
  </si>
  <si>
    <t>ko04910,ko05132</t>
  </si>
  <si>
    <t>Insulin signaling pathway|Salmonella infection</t>
  </si>
  <si>
    <t>GO:0005829,GO:0012505,GO:0000145,GO:0016020,GO:0005634,GO:0045335,GO:0031982,GO:0005546,GO:0006952,GO:0006887,GO:1900426,GO:0009617,GO:0009620,GO:0002237</t>
  </si>
  <si>
    <t>cytosol|endomembrane system|exocyst|membrane|nucleus|phagocytic vesicle|vesicle|phosphatidylinositol-4,5-bisphosphate binding|defense response|exocytosis|positive regulation of defense response to bacterium|response to bacterium|response to fungus|response to molecule of bacterial origin</t>
  </si>
  <si>
    <t>J2O13_10G023346</t>
  </si>
  <si>
    <t>J2O13_10G023354</t>
  </si>
  <si>
    <t>ZAT11</t>
  </si>
  <si>
    <t>Zinc finger protein ZAT11</t>
  </si>
  <si>
    <t>GO:0005634,GO:0003700,GO:0046872,GO:0000976,GO:0071289,GO:0006355,GO:2000280,GO:0010200</t>
  </si>
  <si>
    <t>nucleus|DNA-binding transcription factor activity|metal ion binding|transcription cis-regulatory region binding|cellular response to nickel ion|regulation of DNA-templated transcription|regulation of root development|response to chitin</t>
  </si>
  <si>
    <t>J2O13_10G023357</t>
  </si>
  <si>
    <t>4.80E-06</t>
  </si>
  <si>
    <t>At2g37460</t>
  </si>
  <si>
    <t>WAT1-related protein At2g37460</t>
  </si>
  <si>
    <t>J2O13_10G023360</t>
  </si>
  <si>
    <t>8.06E-14</t>
  </si>
  <si>
    <t>PPA4</t>
  </si>
  <si>
    <t>Soluble inorganic pyrophosphatase 4</t>
  </si>
  <si>
    <t>GO:0005829,GO:0005654,GO:0004427,GO:0000287,GO:0006796</t>
  </si>
  <si>
    <t>cytosol|nucleoplasm|inorganic diphosphate phosphatase activity|magnesium ion binding|phosphate-containing compound metabolic process</t>
  </si>
  <si>
    <t>J2O13_10G023363</t>
  </si>
  <si>
    <t>2.43E-09</t>
  </si>
  <si>
    <t>J2O13_10G023372</t>
  </si>
  <si>
    <t>2.04E-91</t>
  </si>
  <si>
    <t>9.08E-88</t>
  </si>
  <si>
    <t>CHX20</t>
  </si>
  <si>
    <t>Cation/H(+) antiporter 20</t>
  </si>
  <si>
    <t>GO:0012505,GO:0005783,GO:0016020,GO:0015299,GO:0030007,GO:0006813,GO:0006623,GO:0006885,GO:0030104</t>
  </si>
  <si>
    <t>endomembrane system|endoplasmic reticulum|membrane|solute:proton antiporter activity|cellular potassium ion homeostasis|potassium ion transport|protein targeting to vacuole|regulation of pH|water homeostasis</t>
  </si>
  <si>
    <t>J2O13_10G023375</t>
  </si>
  <si>
    <t>9.87E-06</t>
  </si>
  <si>
    <t>ORC2</t>
  </si>
  <si>
    <t>Origin of replication complex subunit 2</t>
  </si>
  <si>
    <t>ko04110,ko04111,ko04113</t>
  </si>
  <si>
    <t>Cell cycle|Cell cycle - yeast|Meiosis - yeast</t>
  </si>
  <si>
    <t>GO:0005664,GO:0000808,GO:0003688,GO:0006260</t>
  </si>
  <si>
    <t>nuclear origin of replication recognition complex|origin recognition complex|DNA replication origin binding|DNA replication</t>
  </si>
  <si>
    <t>J2O13_10G023379</t>
  </si>
  <si>
    <t>3.23E-13</t>
  </si>
  <si>
    <t>6.41E-12</t>
  </si>
  <si>
    <t>OST4A</t>
  </si>
  <si>
    <t>Dolichyl-diphosphooligosaccharide--protein glycosyltransferase subunit 4A</t>
  </si>
  <si>
    <t>GO:0005789</t>
  </si>
  <si>
    <t>endoplasmic reticulum membrane</t>
  </si>
  <si>
    <t>J2O13_10G023380</t>
  </si>
  <si>
    <t>J2O13_10G023387</t>
  </si>
  <si>
    <t>3.06E-07</t>
  </si>
  <si>
    <t>2.43E-06</t>
  </si>
  <si>
    <t>DOF5.1</t>
  </si>
  <si>
    <t>Dof zinc finger protein DOF5.1</t>
  </si>
  <si>
    <t>GO:0005634,GO:0003677,GO:0003700,GO:0046872,GO:0010497,GO:0009944,GO:0006355,GO:0090057</t>
  </si>
  <si>
    <t>nucleus|DNA binding|DNA-binding transcription factor activity|metal ion binding|plasmodesmata-mediated intercellular transport|polarity specification of adaxial/abaxial axis|regulation of DNA-templated transcription|root radial pattern formation</t>
  </si>
  <si>
    <t>J2O13_10G023391</t>
  </si>
  <si>
    <t>1.85E-05</t>
  </si>
  <si>
    <t>J2O13_10G023406</t>
  </si>
  <si>
    <t>2.32E-09</t>
  </si>
  <si>
    <t>RBL1</t>
  </si>
  <si>
    <t>RHOMBOID-like protein 1</t>
  </si>
  <si>
    <t>GO:0005794,GO:0000139,GO:0004252,GO:0006508</t>
  </si>
  <si>
    <t>Golgi apparatus|Golgi membrane|serine-type endopeptidase activity|proteolysis</t>
  </si>
  <si>
    <t>J2O13_10G023409</t>
  </si>
  <si>
    <t>EXPA6</t>
  </si>
  <si>
    <t>Expansin-A6</t>
  </si>
  <si>
    <t>GO:0005576,GO:0016020,GO:0009505,GO:0009664,GO:0006949</t>
  </si>
  <si>
    <t>extracellular region|membrane|plant-type cell wall|plant-type cell wall organization|syncytium formation</t>
  </si>
  <si>
    <t>J2O13_10G023417</t>
  </si>
  <si>
    <t>4.26E-09</t>
  </si>
  <si>
    <t>AS1</t>
  </si>
  <si>
    <t>Transcription factor AS1</t>
  </si>
  <si>
    <t>GO:0000793,GO:0005730,GO:0005634,GO:0003677,GO:0003700,GO:0042802,GO:0042803,GO:0000976,GO:0008356,GO:0042742,GO:0050832,GO:0009908,GO:0010338,GO:0009965,GO:0045892,GO:0009944,GO:0009946,GO:0045088,GO:0009615</t>
  </si>
  <si>
    <t>condensed chromosome|nucleolus|nucleus|DNA binding|DNA-binding transcription factor activity|identical protein binding|protein homodimerization activity|transcription cis-regulatory region binding|asymmetric cell division|defense response to bacterium|defense response to fungus|flower development|leaf formation|leaf morphogenesis|negative regulation of DNA-templated transcription|polarity specification of adaxial/abaxial axis|proximal/distal axis specification|regulation of innate immune response|response to virus</t>
  </si>
  <si>
    <t>J2O13_10G023419</t>
  </si>
  <si>
    <t>SCL9</t>
  </si>
  <si>
    <t>Scarecrow-like protein 9</t>
  </si>
  <si>
    <t>J2O13_10G023420</t>
  </si>
  <si>
    <t>9.12E-07</t>
  </si>
  <si>
    <t>PSRP3</t>
  </si>
  <si>
    <t>30S ribosomal protein 3, chloroplastic</t>
  </si>
  <si>
    <t>J2O13_10G023430</t>
  </si>
  <si>
    <t>WRKY49</t>
  </si>
  <si>
    <t>Probable WRKY transcription factor 49</t>
  </si>
  <si>
    <t>J2O13_10G023432</t>
  </si>
  <si>
    <t>LAC17</t>
  </si>
  <si>
    <t>Laccase-17</t>
  </si>
  <si>
    <t>GO:0048046,GO:0009505,GO:0005507,GO:0052716,GO:0016491,GO:0009809,GO:0046274,GO:0009698</t>
  </si>
  <si>
    <t>apoplast|plant-type cell wall|copper ion binding|hydroquinone:oxygen oxidoreductase activity|oxidoreductase activity|lignin biosynthetic process|lignin catabolic process|phenylpropanoid metabolic process</t>
  </si>
  <si>
    <t>J2O13_10G023440</t>
  </si>
  <si>
    <t>Os11g0706600</t>
  </si>
  <si>
    <t>Thaumatin-like protein</t>
  </si>
  <si>
    <t>J2O13_10G023443</t>
  </si>
  <si>
    <t>CYCD7-1</t>
  </si>
  <si>
    <t>Putative cyclin-D7-1</t>
  </si>
  <si>
    <t>GO:0000307,GO:0005737,GO:0005634,GO:0016538,GO:0051301,GO:0009793,GO:0044772,GO:0051726,GO:0000079</t>
  </si>
  <si>
    <t>cyclin-dependent protein kinase holoenzyme complex|cytoplasm|nucleus|cyclin-dependent protein serine/threonine kinase regulator activity|cell division|embryo development ending in seed dormancy|mitotic cell cycle phase transition|regulation of cell cycle|regulation of cyclin-dependent protein serine/threonine kinase activity</t>
  </si>
  <si>
    <t>J2O13_10G023446</t>
  </si>
  <si>
    <t>7.96E-05</t>
  </si>
  <si>
    <t>LECRK59</t>
  </si>
  <si>
    <t>L-type lectin-domain containing receptor kinase V.9</t>
  </si>
  <si>
    <t>GO:0005886,GO:0005524,GO:0030246,GO:0106310,GO:0004675,GO:0042742,GO:0002229,GO:0006468</t>
  </si>
  <si>
    <t>plasma membrane|ATP binding|carbohydrate binding|protein serine kinase activity|transmembrane receptor protein serine/threonine kinase activity|defense response to bacterium|defense response to oomycetes|protein phosphorylation</t>
  </si>
  <si>
    <t>J2O13_10G023449</t>
  </si>
  <si>
    <t>2.98E-47</t>
  </si>
  <si>
    <t>1.18E-44</t>
  </si>
  <si>
    <t>RCA2</t>
  </si>
  <si>
    <t>Ribulose bisphosphate carboxylase/oxygenase activase 2, chloroplastic</t>
  </si>
  <si>
    <t>J2O13_10G023457</t>
  </si>
  <si>
    <t>6.60E-11</t>
  </si>
  <si>
    <t>9.46E-10</t>
  </si>
  <si>
    <t>Tropinone reductase homolog OS=Datura stramonium OX=4076 PE=2 SV=1</t>
  </si>
  <si>
    <t>J2O13_10G023458</t>
  </si>
  <si>
    <t>1.24E-07</t>
  </si>
  <si>
    <t>1.06E-06</t>
  </si>
  <si>
    <t>Ent-kaur-16-ene synthase, chloroplastic OS=Cucurbita maxima OX=3661 PE=1 SV=1</t>
  </si>
  <si>
    <t>J2O13_10G023459</t>
  </si>
  <si>
    <t>7.54E-70</t>
  </si>
  <si>
    <t>1.12E-66</t>
  </si>
  <si>
    <t>J2O13_10G023479</t>
  </si>
  <si>
    <t>J2O13_10G023480</t>
  </si>
  <si>
    <t>4.29E-24</t>
  </si>
  <si>
    <t>2.71E-22</t>
  </si>
  <si>
    <t>ko04814,ko04962,ko05132</t>
  </si>
  <si>
    <t>Motor proteins|Vasopressin-regulated water reabsorption|Salmonella infection</t>
  </si>
  <si>
    <t>J2O13_10G023483</t>
  </si>
  <si>
    <t>4.66E-08</t>
  </si>
  <si>
    <t>4.31E-07</t>
  </si>
  <si>
    <t>GLOX</t>
  </si>
  <si>
    <t>Aldehyde oxidase GLOX</t>
  </si>
  <si>
    <t>GO:0005615,GO:0004031,GO:0050832</t>
  </si>
  <si>
    <t>extracellular space|aldehyde oxidase activity|defense response to fungus</t>
  </si>
  <si>
    <t>J2O13_10G023488</t>
  </si>
  <si>
    <t>5.27E-19</t>
  </si>
  <si>
    <t>J2O13_10G023489</t>
  </si>
  <si>
    <t>J2O13_10G023491</t>
  </si>
  <si>
    <t>ROPGEF7</t>
  </si>
  <si>
    <t>Rop guanine nucleotide exchange factor 7</t>
  </si>
  <si>
    <t>GO:0005829,GO:0005886,GO:0005085,GO:0009664</t>
  </si>
  <si>
    <t>cytosol|plasma membrane|guanyl-nucleotide exchange factor activity|plant-type cell wall organization</t>
  </si>
  <si>
    <t>J2O13_10G023492</t>
  </si>
  <si>
    <t>7.46E-12</t>
  </si>
  <si>
    <t>PHOS32</t>
  </si>
  <si>
    <t>Universal stress protein PHOS32</t>
  </si>
  <si>
    <t>GO:0009507,GO:0009536,GO:0005524,GO:0002238</t>
  </si>
  <si>
    <t>chloroplast|plastid|ATP binding|response to molecule of fungal origin</t>
  </si>
  <si>
    <t>J2O13_10G023493</t>
  </si>
  <si>
    <t>5.94E-26</t>
  </si>
  <si>
    <t>4.60E-24</t>
  </si>
  <si>
    <t>J2O13_10G023495</t>
  </si>
  <si>
    <t>2.97E-19</t>
  </si>
  <si>
    <t>1.22E-17</t>
  </si>
  <si>
    <t>18.1 kDa class I heat shock protein (Fragment)</t>
  </si>
  <si>
    <t>J2O13_10G023501</t>
  </si>
  <si>
    <t>J2O13_10G023505</t>
  </si>
  <si>
    <t>9.13E-05</t>
  </si>
  <si>
    <t>J2O13_10G023506</t>
  </si>
  <si>
    <t>7.50E-13</t>
  </si>
  <si>
    <t>FBP</t>
  </si>
  <si>
    <t>Fructose-1,6-bisphosphatase, chloroplastic</t>
  </si>
  <si>
    <t>GO:0009570,GO:0010319,GO:0042132,GO:0046872,GO:0030388,GO:0009773,GO:0019253,GO:0009409,GO:0005985</t>
  </si>
  <si>
    <t>chloroplast stroma|stromule|fructose 1,6-bisphosphate 1-phosphatase activity|metal ion binding|fructose 1,6-bisphosphate metabolic process|photosynthetic electron transport in photosystem I|reductive pentose-phosphate cycle|response to cold|sucrose metabolic process</t>
  </si>
  <si>
    <t>J2O13_10G023511</t>
  </si>
  <si>
    <t>TUBB1</t>
  </si>
  <si>
    <t>Tubulin beta-1 chain</t>
  </si>
  <si>
    <t>GO:0005737,GO:0005874,GO:0005525,GO:0003924,GO:0046872,GO:0005200,GO:0007017</t>
  </si>
  <si>
    <t>cytoplasm|microtubule|GTP binding|GTPase activity|metal ion binding|structural constituent of cytoskeleton|microtubule-based process</t>
  </si>
  <si>
    <t>J2O13_10G023517</t>
  </si>
  <si>
    <t>4.37E-12</t>
  </si>
  <si>
    <t>J2O13_10G023520</t>
  </si>
  <si>
    <t>NCER1</t>
  </si>
  <si>
    <t>Neutral ceramidase 1</t>
  </si>
  <si>
    <t>ko00600,ko04071</t>
  </si>
  <si>
    <t>Sphingolipid metabolism|Sphingolipid signaling pathway</t>
  </si>
  <si>
    <t>GO:0005783,GO:0005576,GO:0005794,GO:0000325,GO:0102121,GO:0017040,GO:0034599,GO:0090156,GO:0046514,GO:0042759,GO:0046512</t>
  </si>
  <si>
    <t>endoplasmic reticulum|extracellular region|Golgi apparatus|plant-type vacuole|ceramidase activity|N-acylsphingosine amidohydrolase activity|cellular response to oxidative stress|cellular sphingolipid homeostasis|ceramide catabolic process|long-chain fatty acid biosynthetic process|sphingosine biosynthetic process</t>
  </si>
  <si>
    <t>J2O13_10G023522</t>
  </si>
  <si>
    <t>J2O13_10G023534</t>
  </si>
  <si>
    <t>OPS</t>
  </si>
  <si>
    <t>Protein OCTOPUS</t>
  </si>
  <si>
    <t>GO:0016324,GO:0009507,GO:0005737,GO:0005886,GO:0030154,GO:0010588,GO:0010088,GO:0010233,GO:2000280,GO:0022622</t>
  </si>
  <si>
    <t>apical plasma membrane|chloroplast|cytoplasm|plasma membrane|cell differentiation|cotyledon vascular tissue pattern formation|phloem development|phloem transport|regulation of root development|root system development</t>
  </si>
  <si>
    <t>J2O13_10G023554</t>
  </si>
  <si>
    <t>1.09E-08</t>
  </si>
  <si>
    <t>1.12E-07</t>
  </si>
  <si>
    <t>Aquaporin PIP1-2 (Fragment)</t>
  </si>
  <si>
    <t>GO:0005886,GO:0015267,GO:0009409,GO:0009651,GO:0009414</t>
  </si>
  <si>
    <t>plasma membrane|channel activity|response to cold|response to salt stress|response to water deprivation</t>
  </si>
  <si>
    <t>J2O13_10G023557</t>
  </si>
  <si>
    <t>3.06E-13</t>
  </si>
  <si>
    <t>6.08E-12</t>
  </si>
  <si>
    <t>RPS31</t>
  </si>
  <si>
    <t>30S ribosomal protein S31, chloroplastic</t>
  </si>
  <si>
    <t>GO:0009507,GO:0009941,GO:0009570,GO:0005783,GO:0009536,GO:1990904,GO:0005840,GO:0003729,GO:0032544</t>
  </si>
  <si>
    <t>chloroplast|chloroplast envelope|chloroplast stroma|endoplasmic reticulum|plastid|ribonucleoprotein complex|ribosome|mRNA binding|plastid translation</t>
  </si>
  <si>
    <t>J2O13_10G023568</t>
  </si>
  <si>
    <t>2.20E-09</t>
  </si>
  <si>
    <t>2.52E-08</t>
  </si>
  <si>
    <t>J2O13_10G023589</t>
  </si>
  <si>
    <t>1.99E-13</t>
  </si>
  <si>
    <t>4.05E-12</t>
  </si>
  <si>
    <t>PDX13</t>
  </si>
  <si>
    <t>Pyridoxal 5'-phosphate synthase subunit PDX1.3</t>
  </si>
  <si>
    <t>GO:0005829,GO:0012505,GO:0005886,GO:0016843,GO:0046982,GO:0042803,GO:0036381,GO:0006520,GO:0015994,GO:0042538,GO:0042823,GO:0008615,GO:0006982,GO:0010335,GO:0006979,GO:0009651,GO:0010224</t>
  </si>
  <si>
    <t>cytosol|endomembrane system|plasma membrane|amine-lyase activity|protein heterodimerization activity|protein homodimerization activity|pyridoxal 5'-phosphate synthase (glutamine hydrolysing) activity|amino acid metabolic process|chlorophyll metabolic process|hyperosmotic salinity response|pyridoxal phosphate biosynthetic process|pyridoxine biosynthetic process|response to lipid hydroperoxide|response to non-ionic osmotic stress|response to oxidative stress|response to salt stress|response to UV-B</t>
  </si>
  <si>
    <t>J2O13_10G023597</t>
  </si>
  <si>
    <t>JOX1</t>
  </si>
  <si>
    <t>Jasmonate-induced oxygenase 1</t>
  </si>
  <si>
    <t>GO:0051213,GO:0005506,GO:0120091,GO:0006952,GO:1900366,GO:1900150,GO:2000022</t>
  </si>
  <si>
    <t>dioxygenase activity|iron ion binding|jasmonic acid hydrolase|defense response|negative regulation of defense response to insect|regulation of defense response to fungus|regulation of jasmonic acid mediated signaling pathway</t>
  </si>
  <si>
    <t>J2O13_10G023599</t>
  </si>
  <si>
    <t>7.04E-10</t>
  </si>
  <si>
    <t>8.68E-09</t>
  </si>
  <si>
    <t>GT-3B</t>
  </si>
  <si>
    <t>Trihelix transcription factor GT-3b</t>
  </si>
  <si>
    <t>GO:0016592,GO:0005730,GO:0005634,GO:0003677,GO:0003700,GO:0006355</t>
  </si>
  <si>
    <t>mediator complex|nucleolus|nucleus|DNA binding|DNA-binding transcription factor activity|regulation of DNA-templated transcription</t>
  </si>
  <si>
    <t>J2O13_10G023600</t>
  </si>
  <si>
    <t>6.22E-05</t>
  </si>
  <si>
    <t>J2O13_10G023601</t>
  </si>
  <si>
    <t>5.56E-15</t>
  </si>
  <si>
    <t>1.39E-13</t>
  </si>
  <si>
    <t>FAD7</t>
  </si>
  <si>
    <t>J2O13_10G023604</t>
  </si>
  <si>
    <t>J2O13_10G023640</t>
  </si>
  <si>
    <t>J2O13_10G023641</t>
  </si>
  <si>
    <t>1.06E-16</t>
  </si>
  <si>
    <t>3.21E-15</t>
  </si>
  <si>
    <t>J2O13_10G023643</t>
  </si>
  <si>
    <t>8.83E-06</t>
  </si>
  <si>
    <t>SAP1</t>
  </si>
  <si>
    <t>Zinc finger A20 and AN1 domain-containing stress-associated protein 1</t>
  </si>
  <si>
    <t>GO:0003677,GO:0008270,GO:0043161</t>
  </si>
  <si>
    <t>DNA binding|zinc ion binding|proteasome-mediated ubiquitin-dependent protein catabolic process</t>
  </si>
  <si>
    <t>J2O13_10G023644</t>
  </si>
  <si>
    <t>KPNB1</t>
  </si>
  <si>
    <t>Importin subunit beta-1</t>
  </si>
  <si>
    <t>ko03013,ko05207</t>
  </si>
  <si>
    <t>Nucleocytoplasmic transport|Chemical carcinogenesis - receptor activation</t>
  </si>
  <si>
    <t>GO:0005737,GO:0005634,GO:0061608,GO:0008139,GO:0031267,GO:0006606</t>
  </si>
  <si>
    <t>cytoplasm|nucleus|nuclear import signal receptor activity|nuclear localization sequence binding|small GTPase binding|protein import into nucleus</t>
  </si>
  <si>
    <t>J2O13_10G023645</t>
  </si>
  <si>
    <t>LECRK61</t>
  </si>
  <si>
    <t>Probable L-type lectin-domain containing receptor kinase VI.1</t>
  </si>
  <si>
    <t>J2O13_10G023650</t>
  </si>
  <si>
    <t>6.41E-06</t>
  </si>
  <si>
    <t>3.93E-05</t>
  </si>
  <si>
    <t>GILT</t>
  </si>
  <si>
    <t>Gamma-interferon-responsive lysosomal thiol protein</t>
  </si>
  <si>
    <t>ko04612</t>
  </si>
  <si>
    <t>Antigen processing and presentation</t>
  </si>
  <si>
    <t>GO:0005576,GO:0005764,GO:0016491,GO:0016671</t>
  </si>
  <si>
    <t>extracellular region|lysosome|oxidoreductase activity|oxidoreductase activity, acting on a sulfur group of donors, disulfide as acceptor</t>
  </si>
  <si>
    <t>J2O13_10G023652</t>
  </si>
  <si>
    <t>J2O13_10G023661</t>
  </si>
  <si>
    <t>J2O13_10G023673</t>
  </si>
  <si>
    <t>9.46E-05</t>
  </si>
  <si>
    <t>J2O13_10G023681</t>
  </si>
  <si>
    <t>8.54E-07</t>
  </si>
  <si>
    <t>6.22E-06</t>
  </si>
  <si>
    <t>PATL6</t>
  </si>
  <si>
    <t>Patellin-6</t>
  </si>
  <si>
    <t>GO:0005737,GO:0005886,GO:0008289,GO:0007049,GO:0051301,GO:0071365,GO:1901703</t>
  </si>
  <si>
    <t>cytoplasm|plasma membrane|lipid binding|cell cycle|cell division|cellular response to auxin stimulus|protein localization involved in auxin polar transport</t>
  </si>
  <si>
    <t>J2O13_10G023685</t>
  </si>
  <si>
    <t>7.03E-18</t>
  </si>
  <si>
    <t>2.50E-16</t>
  </si>
  <si>
    <t>J2O13_10G023687</t>
  </si>
  <si>
    <t>WRKY24</t>
  </si>
  <si>
    <t>WRKY transcription factor WRKY24</t>
  </si>
  <si>
    <t>ko04016,ko04626</t>
  </si>
  <si>
    <t>MAPK signaling pathway - plant|Plant-pathogen interaction</t>
  </si>
  <si>
    <t>GO:0005634,GO:0003700,GO:0043565,GO:0009738,GO:0009740,GO:0009788,GO:0009938,GO:0045893,GO:0009737,GO:0009753</t>
  </si>
  <si>
    <t>nucleus|DNA-binding transcription factor activity|sequence-specific DNA binding|abscisic acid-activated signaling pathway|gibberellic acid mediated signaling pathway|negative regulation of abscisic acid-activated signaling pathway|negative regulation of gibberellic acid mediated signaling pathway|positive regulation of DNA-templated transcription|response to abscisic acid|response to jasmonic acid</t>
  </si>
  <si>
    <t>J2O13_10G023698</t>
  </si>
  <si>
    <t>J2O13_10G023700</t>
  </si>
  <si>
    <t>At5g01750</t>
  </si>
  <si>
    <t>Protein LURP-one-related 15</t>
  </si>
  <si>
    <t>GO:0005829,GO:0005886,GO:0019904</t>
  </si>
  <si>
    <t>cytosol|plasma membrane|protein domain specific binding</t>
  </si>
  <si>
    <t>J2O13_10G023710</t>
  </si>
  <si>
    <t>PNC1</t>
  </si>
  <si>
    <t>Cationic peroxidase 1</t>
  </si>
  <si>
    <t>J2O13_10G023731</t>
  </si>
  <si>
    <t>EXPA8</t>
  </si>
  <si>
    <t>Expansin-A8</t>
  </si>
  <si>
    <t>GO:0005576,GO:0016020,GO:0009664,GO:0009635,GO:0006949</t>
  </si>
  <si>
    <t>extracellular region|membrane|plant-type cell wall organization|response to herbicide|syncytium formation</t>
  </si>
  <si>
    <t>J2O13_10G023736</t>
  </si>
  <si>
    <t>1.44E-48</t>
  </si>
  <si>
    <t>5.96E-46</t>
  </si>
  <si>
    <t>Non-specific lipid-transfer protein OS=Gerbera hybrida OX=18101 PE=3 SV=1</t>
  </si>
  <si>
    <t>J2O13_10G023738</t>
  </si>
  <si>
    <t>1.72E-16</t>
  </si>
  <si>
    <t>5.10E-15</t>
  </si>
  <si>
    <t>J2O13_10G023742</t>
  </si>
  <si>
    <t>3.95E-06</t>
  </si>
  <si>
    <t>J2O13_10G023746</t>
  </si>
  <si>
    <t>2.02E-12</t>
  </si>
  <si>
    <t>3.63E-11</t>
  </si>
  <si>
    <t>J2O13_10G023751</t>
  </si>
  <si>
    <t>J2O13_10G023761</t>
  </si>
  <si>
    <t>1.35E-06</t>
  </si>
  <si>
    <t>9.50E-06</t>
  </si>
  <si>
    <t>J2O13_10G023762</t>
  </si>
  <si>
    <t>CYP714A1</t>
  </si>
  <si>
    <t>Cytochrome P450 714A1</t>
  </si>
  <si>
    <t>J2O13_10G023763</t>
  </si>
  <si>
    <t>8.45E-08</t>
  </si>
  <si>
    <t>7.46E-07</t>
  </si>
  <si>
    <t>J2O13_10G023772</t>
  </si>
  <si>
    <t>J2O13_10G023779</t>
  </si>
  <si>
    <t>1.64E-30</t>
  </si>
  <si>
    <t>1.92E-28</t>
  </si>
  <si>
    <t>J2O13_10G023791</t>
  </si>
  <si>
    <t>At5g17165</t>
  </si>
  <si>
    <t>Late embryogenesis abundant protein At5g17165</t>
  </si>
  <si>
    <t>J2O13_10G023792</t>
  </si>
  <si>
    <t>J2O13_10G023794</t>
  </si>
  <si>
    <t>CDC20-1</t>
  </si>
  <si>
    <t>Cell division cycle 20.1, cofactor of APC complex</t>
  </si>
  <si>
    <t>ko04120,ko04110,ko04111,ko04113,ko04114,ko05203,ko05166</t>
  </si>
  <si>
    <t>Ubiquitin mediated proteolysis|Cell cycle|Cell cycle - yeast|Meiosis - yeast|Oocyte meiosis|Viral carcinogenesis|Human T-cell leukemia virus 1 infection</t>
  </si>
  <si>
    <t>GO:0005680,GO:0033597,GO:0005634,GO:0010997,GO:0019900,GO:1990757,GO:0031145,GO:0007049,GO:0051301,GO:1905786,GO:0016567</t>
  </si>
  <si>
    <t>anaphase-promoting complex|mitotic checkpoint complex|nucleus|anaphase-promoting complex binding|kinase binding|ubiquitin ligase activator activity|anaphase-promoting complex-dependent catabolic process|cell cycle|cell division|positive regulation of anaphase-promoting complex-dependent catabolic process|protein ubiquitination</t>
  </si>
  <si>
    <t>J2O13_10G023813</t>
  </si>
  <si>
    <t>6.88E-06</t>
  </si>
  <si>
    <t>4.20E-05</t>
  </si>
  <si>
    <t>J2O13_10G023817</t>
  </si>
  <si>
    <t>5.43E-16</t>
  </si>
  <si>
    <t>4-coumarate--CoA ligase 2 OS=Glycine max OX=3847 PE=2 SV=2</t>
  </si>
  <si>
    <t>ko00130,ko00940</t>
  </si>
  <si>
    <t>Ubiquinone and other terpenoid-quinone biosynthesis|Phenylpropanoid biosynthesis</t>
  </si>
  <si>
    <t>GO:0016207,GO:0005524,GO:0016405,GO:0009698</t>
  </si>
  <si>
    <t>4-coumarate-CoA ligase activity|ATP binding|CoA-ligase activity|phenylpropanoid metabolic process</t>
  </si>
  <si>
    <t>J2O13_10G023830</t>
  </si>
  <si>
    <t>4.99E-24</t>
  </si>
  <si>
    <t>3.11E-22</t>
  </si>
  <si>
    <t>J2O13_10G023834</t>
  </si>
  <si>
    <t>J2O13_10G023835</t>
  </si>
  <si>
    <t>6.37E-06</t>
  </si>
  <si>
    <t>J2O13_10G023837</t>
  </si>
  <si>
    <t>6.77E-26</t>
  </si>
  <si>
    <t>5.18E-24</t>
  </si>
  <si>
    <t>CML18</t>
  </si>
  <si>
    <t>Probable calcium-binding protein CML18</t>
  </si>
  <si>
    <t>GO:0000325,GO:0005509,GO:0030234,GO:0043269</t>
  </si>
  <si>
    <t>plant-type vacuole|calcium ion binding|enzyme regulator activity|regulation of ion transport</t>
  </si>
  <si>
    <t>J2O13_10G023840</t>
  </si>
  <si>
    <t>4.23E-08</t>
  </si>
  <si>
    <t>3.95E-07</t>
  </si>
  <si>
    <t>NAC074</t>
  </si>
  <si>
    <t>NAC domain-containing protein 74</t>
  </si>
  <si>
    <t>GO:0005634,GO:0005886,GO:0003677,GO:0006355,GO:0006986</t>
  </si>
  <si>
    <t>nucleus|plasma membrane|DNA binding|regulation of DNA-templated transcription|response to unfolded protein</t>
  </si>
  <si>
    <t>J2O13_10G023848</t>
  </si>
  <si>
    <t>1.50E-11</t>
  </si>
  <si>
    <t>2.37E-10</t>
  </si>
  <si>
    <t>NBS</t>
  </si>
  <si>
    <t>Norbelladine synthase</t>
  </si>
  <si>
    <t>GO:0016829,GO:0009820,GO:0006952</t>
  </si>
  <si>
    <t>lyase activity|alkaloid metabolic process|defense response</t>
  </si>
  <si>
    <t>J2O13_10G023864</t>
  </si>
  <si>
    <t>AtMg01010</t>
  </si>
  <si>
    <t>Uncharacterized mitochondrial protein AtMg01010</t>
  </si>
  <si>
    <t>J2O13_10G023865</t>
  </si>
  <si>
    <t>J2O13_10G023867</t>
  </si>
  <si>
    <t>4.84E-10</t>
  </si>
  <si>
    <t>6.12E-09</t>
  </si>
  <si>
    <t>Retrovirus-related Pol polyprotein from transposon TNT 1-94 OS=Nicotiana tabacum OX=4097 PE=2 SV=1</t>
  </si>
  <si>
    <t>GO:0004190,GO:0004519,GO:0003676,GO:0003964,GO:0008270,GO:0015074,GO:0006508</t>
  </si>
  <si>
    <t>aspartic-type endopeptidase activity|endonuclease activity|nucleic acid binding|RNA-directed DNA polymerase activity|zinc ion binding|DNA integration|proteolysis</t>
  </si>
  <si>
    <t>J2O13_10G023878</t>
  </si>
  <si>
    <t>2.13E-16</t>
  </si>
  <si>
    <t>6.23E-15</t>
  </si>
  <si>
    <t>VTE4</t>
  </si>
  <si>
    <t>Probable tocopherol O-methyltransferase, chloroplastic</t>
  </si>
  <si>
    <t>GO:0009507,GO:0008168,GO:0050342,GO:0032259,GO:0010189</t>
  </si>
  <si>
    <t>chloroplast|methyltransferase activity|tocopherol O-methyltransferase activity|methylation|vitamin E biosynthetic process</t>
  </si>
  <si>
    <t>J2O13_10G023885</t>
  </si>
  <si>
    <t>7.62E-09</t>
  </si>
  <si>
    <t>8.06E-08</t>
  </si>
  <si>
    <t>PRP1</t>
  </si>
  <si>
    <t>GO:0005737,GO:0004364,GO:0006952,GO:0006749,GO:0009607,GO:0042221</t>
  </si>
  <si>
    <t>cytoplasm|glutathione transferase activity|defense response|glutathione metabolic process|response to biotic stimulus|response to chemical</t>
  </si>
  <si>
    <t>J2O13_10G023893</t>
  </si>
  <si>
    <t>5.21E-47</t>
  </si>
  <si>
    <t>1.97E-44</t>
  </si>
  <si>
    <t>MEX1</t>
  </si>
  <si>
    <t>Maltose excess protein 1, chloroplastic</t>
  </si>
  <si>
    <t>GO:0009941,GO:0009706,GO:0009536,GO:0005363,GO:0005975,GO:0000023,GO:0009624,GO:0005983</t>
  </si>
  <si>
    <t>chloroplast envelope|chloroplast inner membrane|plastid|maltose transmembrane transporter activity|carbohydrate metabolic process|maltose metabolic process|response to nematode|starch catabolic process</t>
  </si>
  <si>
    <t>J2O13_10G023895</t>
  </si>
  <si>
    <t>3.18E-06</t>
  </si>
  <si>
    <t>SIGA</t>
  </si>
  <si>
    <t>RNA polymerase sigma factor sigA</t>
  </si>
  <si>
    <t>ko02040</t>
  </si>
  <si>
    <t>Flagellar assembly</t>
  </si>
  <si>
    <t>GO:0009507,GO:0003677,GO:0016987,GO:0071482,GO:0071461,GO:0006352,GO:0080005,GO:0006355,GO:2001141</t>
  </si>
  <si>
    <t>chloroplast|DNA binding|sigma factor activity|cellular response to light stimulus|cellular response to redox state|DNA-templated transcription initiation|photosystem stoichiometry adjustment|regulation of DNA-templated transcription|regulation of RNA biosynthetic process</t>
  </si>
  <si>
    <t>J2O13_10G023901</t>
  </si>
  <si>
    <t>UPF1</t>
  </si>
  <si>
    <t>Regulator of nonsense transcripts 1 homolog</t>
  </si>
  <si>
    <t>GO:0005737,GO:0005829,GO:0000932,GO:0009506,GO:0005524,GO:0016887,GO:0003677,GO:0003729,GO:0003723,GO:0003724,GO:0008270,GO:0042742,GO:0009867,GO:0048571,GO:0000184,GO:0009611,GO:0008380,GO:0009863,GO:0010182,GO:0006412</t>
  </si>
  <si>
    <t>cytoplasm|cytosol|P-body|plasmodesma|ATP binding|ATP hydrolysis activity|DNA binding|mRNA binding|RNA binding|RNA helicase activity|zinc ion binding|defense response to bacterium|jasmonic acid mediated signaling pathway|long-day photoperiodism|nuclear-transcribed mRNA catabolic process, nonsense-mediated decay|response to wounding|RNA splicing|salicylic acid mediated signaling pathway|sugar mediated signaling pathway|translation</t>
  </si>
  <si>
    <t>J2O13_10G023912</t>
  </si>
  <si>
    <t>J2O13_10G023926</t>
  </si>
  <si>
    <t>2.43E-08</t>
  </si>
  <si>
    <t>J2O13_10G023927</t>
  </si>
  <si>
    <t>2.56E-12</t>
  </si>
  <si>
    <t>4.53E-11</t>
  </si>
  <si>
    <t>J2O13_10G023931</t>
  </si>
  <si>
    <t>1.09E-24</t>
  </si>
  <si>
    <t>7.18E-23</t>
  </si>
  <si>
    <t>J2O13_10G023932</t>
  </si>
  <si>
    <t>5.30E-12</t>
  </si>
  <si>
    <t>8.85E-11</t>
  </si>
  <si>
    <t>J2O13_10G023942</t>
  </si>
  <si>
    <t>2.63E-23</t>
  </si>
  <si>
    <t>1.55E-21</t>
  </si>
  <si>
    <t>FRS3</t>
  </si>
  <si>
    <t>Protein FAR1-RELATED SEQUENCE 3</t>
  </si>
  <si>
    <t>GO:0005634,GO:0009506,GO:0008270,GO:0006355</t>
  </si>
  <si>
    <t>nucleus|plasmodesma|zinc ion binding|regulation of DNA-templated transcription</t>
  </si>
  <si>
    <t>J2O13_10G023946</t>
  </si>
  <si>
    <t>3.38E-08</t>
  </si>
  <si>
    <t>3.22E-07</t>
  </si>
  <si>
    <t>J2O13_10G023953</t>
  </si>
  <si>
    <t>7.05E-11</t>
  </si>
  <si>
    <t>1.00E-09</t>
  </si>
  <si>
    <t>BDG4</t>
  </si>
  <si>
    <t>Probable lysophospholipase BODYGUARD 4</t>
  </si>
  <si>
    <t>GO:0005576,GO:0005886,GO:0016787,GO:0071555,GO:0010224</t>
  </si>
  <si>
    <t>extracellular region|plasma membrane|hydrolase activity|cell wall organization|response to UV-B</t>
  </si>
  <si>
    <t>J2O13_10G023959</t>
  </si>
  <si>
    <t>9.32E-06</t>
  </si>
  <si>
    <t>J2O13_10G023967</t>
  </si>
  <si>
    <t>5.44E-45</t>
  </si>
  <si>
    <t>1.83E-42</t>
  </si>
  <si>
    <t>CCX2</t>
  </si>
  <si>
    <t>Cation/calcium exchanger 2</t>
  </si>
  <si>
    <t>GO:0005783,GO:0016020,GO:0015297,GO:0008324,GO:0006812,GO:0006813,GO:0006970,GO:0006814</t>
  </si>
  <si>
    <t>endoplasmic reticulum|membrane|antiporter activity|cation transmembrane transporter activity|cation transport|potassium ion transport|response to osmotic stress|sodium ion transport</t>
  </si>
  <si>
    <t>J2O13_10G023968</t>
  </si>
  <si>
    <t>CCX1</t>
  </si>
  <si>
    <t>Cation/calcium exchanger 1</t>
  </si>
  <si>
    <t>GO:0016020,GO:0005774,GO:0015297,GO:0008324,GO:0006812,GO:0006813,GO:0006814</t>
  </si>
  <si>
    <t>membrane|vacuolar membrane|antiporter activity|cation transmembrane transporter activity|cation transport|potassium ion transport|sodium ion transport</t>
  </si>
  <si>
    <t>J2O13_10G023985</t>
  </si>
  <si>
    <t>3.97E-12</t>
  </si>
  <si>
    <t>METE</t>
  </si>
  <si>
    <t>5-methyltetrahydropteroyltriglutamate--homocysteine methyltransferase</t>
  </si>
  <si>
    <t>GO:0005737,GO:0003871,GO:0008270,GO:0009086,GO:0032259</t>
  </si>
  <si>
    <t>cytoplasm|5-methyltetrahydropteroyltriglutamate-homocysteine S-methyltransferase activity|zinc ion binding|methionine biosynthetic process|methylation</t>
  </si>
  <si>
    <t>J2O13_10G023993</t>
  </si>
  <si>
    <t>ANN1</t>
  </si>
  <si>
    <t>Annexin D1</t>
  </si>
  <si>
    <t>GO:0048046,GO:0009507,GO:0009570,GO:0005737,GO:0005829,GO:0016020,GO:0005739,GO:0005634,GO:0009505,GO:0000325,GO:0005886,GO:0009506,GO:0035619,GO:0009579,GO:0005524,GO:0005509,GO:0005544,GO:0005507,GO:0004601,GO:0042803,GO:0008270,GO:0070588,GO:0110128,GO:0097623,GO:0080022,GO:0009737,GO:0009409,GO:0009408,GO:0006970,GO:0009651,GO:0009414</t>
  </si>
  <si>
    <t>apoplast|chloroplast|chloroplast stroma|cytoplasm|cytosol|membrane|mitochondrion|nucleus|plant-type cell wall|plant-type vacuole|plasma membrane|plasmodesma|root hair tip|thylakoid|ATP binding|calcium ion binding|calcium-dependent phospholipid binding|copper ion binding|peroxidase activity|protein homodimerization activity|zinc ion binding|calcium ion transmembrane transport|phloem sucrose unloading|potassium ion export across plasma membrane|primary root development|response to abscisic acid|response to cold|response to heat|response to osmotic stress|response to salt stress|response to water deprivation</t>
  </si>
  <si>
    <t>J2O13_10G023996</t>
  </si>
  <si>
    <t>3.42E-08</t>
  </si>
  <si>
    <t>QKY</t>
  </si>
  <si>
    <t>Protein QUIRKY</t>
  </si>
  <si>
    <t>GO:0005829,GO:0016020,GO:0009506,GO:0099402,GO:0009911</t>
  </si>
  <si>
    <t>cytosol|membrane|plasmodesma|plant organ development|positive regulation of flower development</t>
  </si>
  <si>
    <t>J2O13_10G023997</t>
  </si>
  <si>
    <t>Xyl1</t>
  </si>
  <si>
    <t>Beta-xylosidase/alpha-L-arabinofuranosidase 1 (Fragment)</t>
  </si>
  <si>
    <t>J2O13_10G024000</t>
  </si>
  <si>
    <t>7.13E-17</t>
  </si>
  <si>
    <t>2.20E-15</t>
  </si>
  <si>
    <t>EDA30</t>
  </si>
  <si>
    <t>Protein EMBRYO SAC DEVELOPMENT ARREST 30</t>
  </si>
  <si>
    <t>GO:0009507,GO:0005737,GO:0005794,GO:0016020,GO:0016757,GO:0006004,GO:0010197,GO:0048868</t>
  </si>
  <si>
    <t>chloroplast|cytoplasm|Golgi apparatus|membrane|glycosyltransferase activity|fucose metabolic process|polar nucleus fusion|pollen tube development</t>
  </si>
  <si>
    <t>J2O13_10G024006</t>
  </si>
  <si>
    <t>7.26E-13</t>
  </si>
  <si>
    <t>TUBA3</t>
  </si>
  <si>
    <t>Tubulin alpha-3 chain</t>
  </si>
  <si>
    <t>ko04145,ko04210,ko04530,ko04540,ko04814,ko05130,ko05132,ko05010,ko05012,ko05014,ko05016,ko05020,ko05022</t>
  </si>
  <si>
    <t>Phagosome|Apoptosis|Tight junction|Gap junction|Motor proteins|Pathogenic Escherichia coli infection|Salmonella infection|Alzheimer disease|Parkinson disease|Amyotrophic lateral sclerosis|Huntington disease|Prion disease|Pathways of neurodegeneration - multiple diseases</t>
  </si>
  <si>
    <t>GO:0005737,GO:0005874,GO:0005525,GO:0016787,GO:0046872,GO:0005200,GO:0007017</t>
  </si>
  <si>
    <t>cytoplasm|microtubule|GTP binding|hydrolase activity|metal ion binding|structural constituent of cytoskeleton|microtubule-based process</t>
  </si>
  <si>
    <t>J2O13_10G024012</t>
  </si>
  <si>
    <t>6.58E-47</t>
  </si>
  <si>
    <t>2.44E-44</t>
  </si>
  <si>
    <t>AGP13</t>
  </si>
  <si>
    <t>Arabinogalactan protein 13</t>
  </si>
  <si>
    <t>J2O13_10G024026</t>
  </si>
  <si>
    <t>PNSB2</t>
  </si>
  <si>
    <t>Photosynthetic NDH subunit of subcomplex B 2, chloroplastic</t>
  </si>
  <si>
    <t>GO:0009534,GO:0009535,GO:0005737,GO:0010598,GO:0030246,GO:0047938,GO:0005975,GO:0009773</t>
  </si>
  <si>
    <t>chloroplast thylakoid|chloroplast thylakoid membrane|cytoplasm|NAD(P)H dehydrogenase complex (plastoquinone)|carbohydrate binding|glucose-6-phosphate 1-epimerase activity|carbohydrate metabolic process|photosynthetic electron transport in photosystem I</t>
  </si>
  <si>
    <t>J2O13_10G024036</t>
  </si>
  <si>
    <t>2.97E-08</t>
  </si>
  <si>
    <t>2.85E-07</t>
  </si>
  <si>
    <t>At3g03980</t>
  </si>
  <si>
    <t>NADPH-dependent aldehyde reductase-like protein, chloroplastic</t>
  </si>
  <si>
    <t>ko00061,ko00780,ko00333</t>
  </si>
  <si>
    <t>Fatty acid biosynthesis|Biotin metabolism|Prodigiosin biosynthesis</t>
  </si>
  <si>
    <t>J2O13_10G024053</t>
  </si>
  <si>
    <t>NAC087</t>
  </si>
  <si>
    <t>NAC domain-containing protein 87</t>
  </si>
  <si>
    <t>GO:0005737,GO:0005634,GO:0003700,GO:0000976</t>
  </si>
  <si>
    <t>cytoplasm|nucleus|DNA-binding transcription factor activity|transcription cis-regulatory region binding</t>
  </si>
  <si>
    <t>J2O13_10G024055</t>
  </si>
  <si>
    <t>1.76E-08</t>
  </si>
  <si>
    <t>1.75E-07</t>
  </si>
  <si>
    <t>NAC047</t>
  </si>
  <si>
    <t>NAC transcription factor 47</t>
  </si>
  <si>
    <t>GO:0005634,GO:0003700,GO:0000976,GO:0009793,GO:0010365,GO:0009413</t>
  </si>
  <si>
    <t>nucleus|DNA-binding transcription factor activity|transcription cis-regulatory region binding|embryo development ending in seed dormancy|positive regulation of ethylene biosynthetic process|response to flooding</t>
  </si>
  <si>
    <t>J2O13_10G024061</t>
  </si>
  <si>
    <t>8.30E-06</t>
  </si>
  <si>
    <t>KN</t>
  </si>
  <si>
    <t>Syntaxin-related protein KNOLLE</t>
  </si>
  <si>
    <t>GO:0009504,GO:0012505,GO:0016020,GO:0009524,GO:0005886,GO:0009506,GO:0031201,GO:0005484,GO:0000149,GO:0007049,GO:0051301,GO:0006887,GO:0006886,GO:0048278,GO:0006906</t>
  </si>
  <si>
    <t>cell plate|endomembrane system|membrane|phragmoplast|plasma membrane|plasmodesma|SNARE complex|SNAP receptor activity|SNARE binding|cell cycle|cell division|exocytosis|intracellular protein transport|vesicle docking|vesicle fusion</t>
  </si>
  <si>
    <t>J2O13_10G024077</t>
  </si>
  <si>
    <t>At5g33370</t>
  </si>
  <si>
    <t>GDSL esterase/lipase At5g33370</t>
  </si>
  <si>
    <t>GO:0005576,GO:0016788,GO:0042335,GO:0016042</t>
  </si>
  <si>
    <t>extracellular region|hydrolase activity, acting on ester bonds|cuticle development|lipid catabolic process</t>
  </si>
  <si>
    <t>J2O13_10G024085</t>
  </si>
  <si>
    <t>AMT1-2</t>
  </si>
  <si>
    <t>Ammonium transporter 1 member 2</t>
  </si>
  <si>
    <t>J2O13_10G024095</t>
  </si>
  <si>
    <t>2.03E-21</t>
  </si>
  <si>
    <t>1.03E-19</t>
  </si>
  <si>
    <t>J2O13_10G024107</t>
  </si>
  <si>
    <t>1.16E-11</t>
  </si>
  <si>
    <t>1.85E-10</t>
  </si>
  <si>
    <t>J2O13_10G024113</t>
  </si>
  <si>
    <t>At3g04760</t>
  </si>
  <si>
    <t>Pentatricopeptide repeat-containing protein At3g04760, chloroplastic</t>
  </si>
  <si>
    <t>J2O13_10G024121</t>
  </si>
  <si>
    <t>2.49E-08</t>
  </si>
  <si>
    <t>2.42E-07</t>
  </si>
  <si>
    <t>J2O13_10G024123</t>
  </si>
  <si>
    <t>3.55E-13</t>
  </si>
  <si>
    <t>PPCK2</t>
  </si>
  <si>
    <t>Phosphoenolpyruvate carboxylase kinase 2</t>
  </si>
  <si>
    <t>GO:0005737,GO:0005634,GO:0005524,GO:0009931,GO:0005516,GO:0004683,GO:0106310,GO:0004674,GO:0016036,GO:0035556,GO:0018105,GO:0046777,GO:0006468,GO:0046898,GO:0009416</t>
  </si>
  <si>
    <t>cytoplasm|nucleus|ATP binding|calcium-dependent protein serine/threonine kinase activity|calmodulin binding|calmodulin-dependent protein kinase activity|protein serine kinase activity|protein serine/threonine kinase activity|cellular response to phosphate starvation|intracellular signal transduction|peptidyl-serine phosphorylation|protein autophosphorylation|protein phosphorylation|response to cycloheximide|response to light stimulus</t>
  </si>
  <si>
    <t>J2O13_10G024131</t>
  </si>
  <si>
    <t>2.17E-17</t>
  </si>
  <si>
    <t>7.24E-16</t>
  </si>
  <si>
    <t>RAF1.1</t>
  </si>
  <si>
    <t>Rubisco accumulation factor 1.1, chloroplastic</t>
  </si>
  <si>
    <t>GO:0009507,GO:0009570,GO:0009536,GO:0110102</t>
  </si>
  <si>
    <t>chloroplast|chloroplast stroma|plastid|ribulose bisphosphate carboxylase complex assembly</t>
  </si>
  <si>
    <t>J2O13_10G024139</t>
  </si>
  <si>
    <t>7.83E-10</t>
  </si>
  <si>
    <t>9.57E-09</t>
  </si>
  <si>
    <t>XI-C</t>
  </si>
  <si>
    <t>Myosin-9</t>
  </si>
  <si>
    <t>ko04814,ko05130</t>
  </si>
  <si>
    <t>Motor proteins|Pathogenic Escherichia coli infection</t>
  </si>
  <si>
    <t>GO:0015629,GO:0005737,GO:0016459,GO:0031982,GO:0051015,GO:0005524,GO:0005516,GO:0003774,GO:0000146,GO:0007015,GO:0030048,GO:0051640,GO:0009860,GO:0030050</t>
  </si>
  <si>
    <t>actin cytoskeleton|cytoplasm|myosin complex|vesicle|actin filament binding|ATP binding|calmodulin binding|cytoskeletal motor activity|microfilament motor activity|actin filament organization|actin filament-based movement|organelle localization|pollen tube growth|vesicle transport along actin filament</t>
  </si>
  <si>
    <t>J2O13_10G024141</t>
  </si>
  <si>
    <t>6.06E-05</t>
  </si>
  <si>
    <t>GIF1</t>
  </si>
  <si>
    <t>GRF1-interacting factor 1</t>
  </si>
  <si>
    <t>GO:0003713,GO:0009955,GO:0051301,GO:0008283,GO:0048825,GO:0048366,GO:0045944,GO:0010468,GO:0010449</t>
  </si>
  <si>
    <t>transcription coactivator activity|adaxial/abaxial pattern specification|cell division|cell population proliferation|cotyledon development|leaf development|positive regulation of transcription by RNA polymerase II|regulation of gene expression|root meristem growth</t>
  </si>
  <si>
    <t>J2O13_10G024146</t>
  </si>
  <si>
    <t>2.93E-09</t>
  </si>
  <si>
    <t>3.30E-08</t>
  </si>
  <si>
    <t>J2O13_10G024148</t>
  </si>
  <si>
    <t>At2g34160</t>
  </si>
  <si>
    <t>Uncharacterized protein At2g34160</t>
  </si>
  <si>
    <t>GO:0005783,GO:0005634,GO:0003729,GO:0003723,GO:0006364</t>
  </si>
  <si>
    <t>endoplasmic reticulum|nucleus|mRNA binding|RNA binding|rRNA processing</t>
  </si>
  <si>
    <t>J2O13_10G024150</t>
  </si>
  <si>
    <t>2.73E-27</t>
  </si>
  <si>
    <t>2.42E-25</t>
  </si>
  <si>
    <t>J2O13_10G024152</t>
  </si>
  <si>
    <t>WRKY39</t>
  </si>
  <si>
    <t>Probable WRKY transcription factor 39</t>
  </si>
  <si>
    <t>GO:0005634,GO:0005516,GO:0003700,GO:0043565</t>
  </si>
  <si>
    <t>nucleus|calmodulin binding|DNA-binding transcription factor activity|sequence-specific DNA binding</t>
  </si>
  <si>
    <t>J2O13_10G024157</t>
  </si>
  <si>
    <t>2.89E-13</t>
  </si>
  <si>
    <t>LUG</t>
  </si>
  <si>
    <t>Transcriptional corepressor LEUNIG</t>
  </si>
  <si>
    <t>ko04934</t>
  </si>
  <si>
    <t>Cushing syndrome</t>
  </si>
  <si>
    <t>GO:0005634,GO:0030154,GO:0006974,GO:0071217,GO:0009908,GO:0010393,GO:0010073,GO:0080001,GO:0048359,GO:0045892,GO:0009944,GO:0051512,GO:0045995,GO:0009909,GO:2000024,GO:1902183,GO:0009733,GO:0009617,GO:0046898,GO:0009620,GO:0001666,GO:0009624,GO:0006979,GO:1902074,GO:0010272,GO:0009414,GO:0009611</t>
  </si>
  <si>
    <t>nucleus|cell differentiation|cellular response to DNA damage stimulus|cellular response to external biotic stimulus|flower development|galacturonan metabolic process|meristem maintenance|mucilage extrusion from seed coat|mucilage metabolic process involved in seed coat development|negative regulation of DNA-templated transcription|polarity specification of adaxial/abaxial axis|positive regulation of unidimensional cell growth|regulation of embryonic development|regulation of flower development|regulation of leaf development|regulation of shoot apical meristem development|response to auxin|response to bacterium|response to cycloheximide|response to fungus|response to hypoxia|response to nematode|response to oxidative stress|response to salt|response to silver ion|response to water deprivation|response to wounding</t>
  </si>
  <si>
    <t>J2O13_10G024162</t>
  </si>
  <si>
    <t>7.35E-08</t>
  </si>
  <si>
    <t>6.58E-07</t>
  </si>
  <si>
    <t>HEV1</t>
  </si>
  <si>
    <t>Pro-hevein</t>
  </si>
  <si>
    <t>GO:0008061,GO:0004540,GO:0042742,GO:0050832</t>
  </si>
  <si>
    <t>chitin binding|ribonuclease activity|defense response to bacterium|defense response to fungus</t>
  </si>
  <si>
    <t>J2O13_10G024165</t>
  </si>
  <si>
    <t>4.55E-05</t>
  </si>
  <si>
    <t>J2O13_10G024171</t>
  </si>
  <si>
    <t>8.62E-08</t>
  </si>
  <si>
    <t>7.60E-07</t>
  </si>
  <si>
    <t>CPRF2</t>
  </si>
  <si>
    <t>Light-inducible protein CPRF2</t>
  </si>
  <si>
    <t>J2O13_10G024177</t>
  </si>
  <si>
    <t>3.84E-06</t>
  </si>
  <si>
    <t>2.47E-05</t>
  </si>
  <si>
    <t>J2O13_10G024181</t>
  </si>
  <si>
    <t>AKR1</t>
  </si>
  <si>
    <t>Probable aldo-keto reductase 1</t>
  </si>
  <si>
    <t>J2O13_10G024184</t>
  </si>
  <si>
    <t>8.09E-49</t>
  </si>
  <si>
    <t>3.43E-46</t>
  </si>
  <si>
    <t>RPI3</t>
  </si>
  <si>
    <t>Probable ribose-5-phosphate isomerase 3, chloroplastic</t>
  </si>
  <si>
    <t>GO:0009507,GO:0009941,GO:0009570,GO:0009535,GO:0005829,GO:0009579,GO:0004751,GO:0009052,GO:0019253</t>
  </si>
  <si>
    <t>chloroplast|chloroplast envelope|chloroplast stroma|chloroplast thylakoid membrane|cytosol|thylakoid|ribose-5-phosphate isomerase activity|pentose-phosphate shunt, non-oxidative branch|reductive pentose-phosphate cycle</t>
  </si>
  <si>
    <t>J2O13_10G024185</t>
  </si>
  <si>
    <t>J2O13_10G024200</t>
  </si>
  <si>
    <t>FKBP16-1</t>
  </si>
  <si>
    <t>Peptidyl-prolyl cis-trans isomerase FKBP16-1, chloroplastic</t>
  </si>
  <si>
    <t>GO:0009507,GO:0009543,GO:0031977,GO:0003755,GO:0031647,GO:0009644,GO:0009414</t>
  </si>
  <si>
    <t>chloroplast|chloroplast thylakoid lumen|thylakoid lumen|peptidyl-prolyl cis-trans isomerase activity|regulation of protein stability|response to high light intensity|response to water deprivation</t>
  </si>
  <si>
    <t>J2O13_10G024201</t>
  </si>
  <si>
    <t>5.40E-05</t>
  </si>
  <si>
    <t>Zeta-carotene desaturase, chloroplastic/chromoplastic OS=Tagetes erecta OX=13708 PE=2 SV=1</t>
  </si>
  <si>
    <t>GO:0009507,GO:0009509,GO:0052887,GO:0052886,GO:0016719,GO:0016117</t>
  </si>
  <si>
    <t>chloroplast|chromoplast|7,9,9'-tricis-neurosporene:quinone oxidoreductase activity|9,9'-dicis-carotene:quinone oxidoreductase activity|carotene 7,8-desaturase activity|carotenoid biosynthetic process</t>
  </si>
  <si>
    <t>J2O13_10G024208</t>
  </si>
  <si>
    <t>9.79E-07</t>
  </si>
  <si>
    <t>7.07E-06</t>
  </si>
  <si>
    <t>J2O13_10G024213</t>
  </si>
  <si>
    <t>3.71E-06</t>
  </si>
  <si>
    <t>J2O13_10G024216</t>
  </si>
  <si>
    <t>3.38E-17</t>
  </si>
  <si>
    <t>J2O13_10G024218</t>
  </si>
  <si>
    <t>8.00E-08</t>
  </si>
  <si>
    <t>7.10E-07</t>
  </si>
  <si>
    <t>J2O13_10G024221</t>
  </si>
  <si>
    <t>Late embryogenesis abundant protein D-34 OS=Gossypium hirsutum OX=3635 PE=3 SV=1</t>
  </si>
  <si>
    <t>J2O13_10G024225</t>
  </si>
  <si>
    <t>LCR18</t>
  </si>
  <si>
    <t>Putative defensin-like protein 184</t>
  </si>
  <si>
    <t>GO:0005576,GO:0050832,GO:0031640</t>
  </si>
  <si>
    <t>extracellular region|defense response to fungus|killing of cells of another organism</t>
  </si>
  <si>
    <t>J2O13_10G024230</t>
  </si>
  <si>
    <t>2.63E-52</t>
  </si>
  <si>
    <t>1.42E-49</t>
  </si>
  <si>
    <t>PES1</t>
  </si>
  <si>
    <t>Phytyl ester synthase 1, chloroplastic</t>
  </si>
  <si>
    <t>GO:0009507,GO:0010287,GO:0004144,GO:0006995,GO:0010150,GO:0033306,GO:0090693,GO:1904963,GO:0010866,GO:0019432</t>
  </si>
  <si>
    <t>chloroplast|plastoglobule|diacylglycerol O-acyltransferase activity|cellular response to nitrogen starvation|leaf senescence|phytol metabolic process|plant organ senescence|regulation of phytol biosynthetic process|regulation of triglyceride biosynthetic process|triglyceride biosynthetic process</t>
  </si>
  <si>
    <t>J2O13_10G024232</t>
  </si>
  <si>
    <t>1.32E-05</t>
  </si>
  <si>
    <t>J2O13_10G024233</t>
  </si>
  <si>
    <t>5.71E-10</t>
  </si>
  <si>
    <t>7.12E-09</t>
  </si>
  <si>
    <t>J2O13_10G024253</t>
  </si>
  <si>
    <t>EMB3004</t>
  </si>
  <si>
    <t>Bifunctional 3-dehydroquinate dehydratase/shikimate dehydrogenase, chloroplastic</t>
  </si>
  <si>
    <t>ko00400,ko00999</t>
  </si>
  <si>
    <t>Phenylalanine, tyrosine and tryptophan biosynthesis|Biosynthesis of various plant secondary metabolites</t>
  </si>
  <si>
    <t>GO:0009507,GO:0009570,GO:0003855,GO:0050661,GO:0004764,GO:0008652,GO:0009073,GO:0009423,GO:0009793,GO:0019632</t>
  </si>
  <si>
    <t>chloroplast|chloroplast stroma|3-dehydroquinate dehydratase activity|NADP binding|shikimate 3-dehydrogenase (NADP+) activity|amino acid biosynthetic process|aromatic amino acid family biosynthetic process|chorismate biosynthetic process|embryo development ending in seed dormancy|shikimate metabolic process</t>
  </si>
  <si>
    <t>J2O13_10G024265</t>
  </si>
  <si>
    <t>3.42E-10</t>
  </si>
  <si>
    <t>AHP1</t>
  </si>
  <si>
    <t>Histidine-containing phosphotransfer protein 1</t>
  </si>
  <si>
    <t>GO:0005737,GO:0005829,GO:0005634,GO:0009927,GO:0043424,GO:0009736,GO:0009553,GO:0009825,GO:0000160,GO:0016310</t>
  </si>
  <si>
    <t>cytoplasm|cytosol|nucleus|histidine phosphotransfer kinase activity|protein histidine kinase binding|cytokinin-activated signaling pathway|embryo sac development|multidimensional cell growth|phosphorelay signal transduction system|phosphorylation</t>
  </si>
  <si>
    <t>J2O13_10G024267</t>
  </si>
  <si>
    <t>J2O13_10G024272</t>
  </si>
  <si>
    <t>DMP10</t>
  </si>
  <si>
    <t>Protein DMP10</t>
  </si>
  <si>
    <t>GO:0016020,GO:0016301,GO:0010256,GO:0016310</t>
  </si>
  <si>
    <t>membrane|kinase activity|endomembrane system organization|phosphorylation</t>
  </si>
  <si>
    <t>J2O13_10G024273</t>
  </si>
  <si>
    <t>7.40E-15</t>
  </si>
  <si>
    <t>1.82E-13</t>
  </si>
  <si>
    <t>J2O13_10G024292</t>
  </si>
  <si>
    <t>4.61E-06</t>
  </si>
  <si>
    <t>2.92E-05</t>
  </si>
  <si>
    <t>SPHK1</t>
  </si>
  <si>
    <t>Sphingosine kinase 1</t>
  </si>
  <si>
    <t>GO:0005737,GO:0043231,GO:0016020,GO:0000325,GO:0009705,GO:0005524,GO:0017050,GO:0001727,GO:0008481,GO:0071215,GO:0016310,GO:0009737,GO:0009845,GO:0006665,GO:0046512</t>
  </si>
  <si>
    <t>cytoplasm|intracellular membrane-bounded organelle|membrane|plant-type vacuole|plant-type vacuole membrane|ATP binding|D-erythro-sphingosine kinase activity|lipid kinase activity|sphinganine kinase activity|cellular response to abscisic acid stimulus|phosphorylation|response to abscisic acid|seed germination|sphingolipid metabolic process|sphingosine biosynthetic process</t>
  </si>
  <si>
    <t>J2O13_10G024305</t>
  </si>
  <si>
    <t>ChlADR1</t>
  </si>
  <si>
    <t>NADPH-dependent aldehyde reductase 1, chloroplastic</t>
  </si>
  <si>
    <t>GO:0009507,GO:0008106</t>
  </si>
  <si>
    <t>chloroplast|alcohol dehydrogenase (NADP+) activity</t>
  </si>
  <si>
    <t>J2O13_10G024312</t>
  </si>
  <si>
    <t>CYCP3-1</t>
  </si>
  <si>
    <t>Cyclin-P3-1</t>
  </si>
  <si>
    <t>GO:0019901,GO:0007049,GO:0051301,GO:0000079</t>
  </si>
  <si>
    <t>protein kinase binding|cell cycle|cell division|regulation of cyclin-dependent protein serine/threonine kinase activity</t>
  </si>
  <si>
    <t>J2O13_10G024317</t>
  </si>
  <si>
    <t>6.73E-14</t>
  </si>
  <si>
    <t>J2O13_10G024330</t>
  </si>
  <si>
    <t>6.95E-09</t>
  </si>
  <si>
    <t>7.42E-08</t>
  </si>
  <si>
    <t>ZRK2</t>
  </si>
  <si>
    <t>Non-functional pseudokinase ZRK2</t>
  </si>
  <si>
    <t>GO:0005524,GO:0004672,GO:0007166,GO:0006468</t>
  </si>
  <si>
    <t>ATP binding|protein kinase activity|cell surface receptor signaling pathway|protein phosphorylation</t>
  </si>
  <si>
    <t>J2O13_10G024331</t>
  </si>
  <si>
    <t>ZRK1</t>
  </si>
  <si>
    <t>Serine/threonine-protein kinase ZRK1</t>
  </si>
  <si>
    <t>GO:0005886,GO:0005524,GO:0016301,GO:0007166,GO:0042742,GO:1900426,GO:0006468,GO:0009266</t>
  </si>
  <si>
    <t>plasma membrane|ATP binding|kinase activity|cell surface receptor signaling pathway|defense response to bacterium|positive regulation of defense response to bacterium|protein phosphorylation|response to temperature stimulus</t>
  </si>
  <si>
    <t>J2O13_10G024333</t>
  </si>
  <si>
    <t>ZED1</t>
  </si>
  <si>
    <t>Non-functional pseudokinase ZED1</t>
  </si>
  <si>
    <t>GO:0005829,GO:0005634,GO:0005886,GO:0005524,GO:0007166,GO:0050829,GO:0006468,GO:0040008,GO:0050776,GO:0009266</t>
  </si>
  <si>
    <t>cytosol|nucleus|plasma membrane|ATP binding|cell surface receptor signaling pathway|defense response to Gram-negative bacterium|protein phosphorylation|regulation of growth|regulation of immune response|response to temperature stimulus</t>
  </si>
  <si>
    <t>J2O13_10G024334</t>
  </si>
  <si>
    <t>CUL1</t>
  </si>
  <si>
    <t>Cullin-1</t>
  </si>
  <si>
    <t>GO:0000794,GO:0031461,GO:0005737,GO:0005634,GO:0009524,GO:0019005,GO:0005819,GO:0031625,GO:0009734,GO:0007049,GO:0009793,GO:0009873,GO:0009867,GO:0048366,GO:0010087,GO:0016567,GO:0042752,GO:0009733,GO:0009753,GO:0010265,GO:0006511</t>
  </si>
  <si>
    <t>condensed nuclear chromosome|cullin-RING ubiquitin ligase complex|cytoplasm|nucleus|phragmoplast|SCF ubiquitin ligase complex|spindle|ubiquitin protein ligase binding|auxin-activated signaling pathway|cell cycle|embryo development ending in seed dormancy|ethylene-activated signaling pathway|jasmonic acid mediated signaling pathway|leaf development|phloem or xylem histogenesis|protein ubiquitination|regulation of circadian rhythm|response to auxin|response to jasmonic acid|SCF complex assembly|ubiquitin-dependent protein catabolic process</t>
  </si>
  <si>
    <t>J2O13_10G024338</t>
  </si>
  <si>
    <t>J2O13_10G024341</t>
  </si>
  <si>
    <t>1.28E-10</t>
  </si>
  <si>
    <t>1.75E-09</t>
  </si>
  <si>
    <t>PPD7</t>
  </si>
  <si>
    <t>PsbP domain-containing protein 7, chloroplastic</t>
  </si>
  <si>
    <t>GO:0009543,GO:0019898,GO:0009654,GO:0005509,GO:0015979</t>
  </si>
  <si>
    <t>chloroplast thylakoid lumen|extrinsic component of membrane|photosystem II oxygen evolving complex|calcium ion binding|photosynthesis</t>
  </si>
  <si>
    <t>J2O13_10G024369</t>
  </si>
  <si>
    <t>4.36E-13</t>
  </si>
  <si>
    <t>8.54E-12</t>
  </si>
  <si>
    <t>At1g56220</t>
  </si>
  <si>
    <t>Dormancy-associated protein homolog 3</t>
  </si>
  <si>
    <t>J2O13_10G024380</t>
  </si>
  <si>
    <t>PME22</t>
  </si>
  <si>
    <t>Putative pectinesterase/pectinesterase inhibitor 22</t>
  </si>
  <si>
    <t>J2O13_10G024382</t>
  </si>
  <si>
    <t>PP2B15</t>
  </si>
  <si>
    <t>F-box protein PP2-B15</t>
  </si>
  <si>
    <t>J2O13_10G024383</t>
  </si>
  <si>
    <t>1.55E-36</t>
  </si>
  <si>
    <t>2.76E-34</t>
  </si>
  <si>
    <t>PLDZETA1</t>
  </si>
  <si>
    <t>Phospholipase D zeta 1</t>
  </si>
  <si>
    <t>GO:0031410,GO:0005886,GO:0070290,GO:0004630,GO:0048017,GO:0008610,GO:0006654,GO:0009395,GO:0048364</t>
  </si>
  <si>
    <t>cytoplasmic vesicle|plasma membrane|N-acylphosphatidylethanolamine-specific phospholipase D activity|phospholipase D activity|inositol lipid-mediated signaling|lipid biosynthetic process|phosphatidic acid biosynthetic process|phospholipid catabolic process|root development</t>
  </si>
  <si>
    <t>J2O13_10G024386</t>
  </si>
  <si>
    <t>TPR3</t>
  </si>
  <si>
    <t>Topless-related protein 3</t>
  </si>
  <si>
    <t>GO:0005634,GO:0009791,GO:0006355,GO:0048608,GO:0048367</t>
  </si>
  <si>
    <t>nucleus|post-embryonic development|regulation of DNA-templated transcription|reproductive structure development|shoot system development</t>
  </si>
  <si>
    <t>J2O13_10G024395</t>
  </si>
  <si>
    <t>7.26E-15</t>
  </si>
  <si>
    <t>1.79E-13</t>
  </si>
  <si>
    <t>DPD1</t>
  </si>
  <si>
    <t>Exonuclease DPD1, chloroplastic/mitochondrial</t>
  </si>
  <si>
    <t>GO:0009507,GO:0005737,GO:0005739,GO:0009536,GO:0008296,GO:0004527,GO:0046872,GO:0003676,GO:0000738</t>
  </si>
  <si>
    <t>chloroplast|cytoplasm|mitochondrion|plastid|3'-5'-exodeoxyribonuclease activity|exonuclease activity|metal ion binding|nucleic acid binding|DNA catabolic process, exonucleolytic</t>
  </si>
  <si>
    <t>J2O13_10G024399</t>
  </si>
  <si>
    <t>3.31E-05</t>
  </si>
  <si>
    <t>GO:0005634,GO:0005516,GO:0003700,GO:0043565,GO:0098542,GO:0080142</t>
  </si>
  <si>
    <t>nucleus|calmodulin binding|DNA-binding transcription factor activity|sequence-specific DNA binding|defense response to other organism|regulation of salicylic acid biosynthetic process</t>
  </si>
  <si>
    <t>J2O13_10G024408</t>
  </si>
  <si>
    <t>Calreticulin OS=Ricinus communis OX=3988 PE=2 SV=1</t>
  </si>
  <si>
    <t>ko04141,ko04145,ko04612,ko05166,ko05170,ko05168,ko05163,ko05169,ko05142</t>
  </si>
  <si>
    <t>Protein processing in endoplasmic reticulum|Phagosome|Antigen processing and presentation|Human T-cell leukemia virus 1 infection|Human immunodeficiency virus 1 infection|Herpes simplex virus 1 infection|Human cytomegalovirus infection|Epstein-Barr virus infection|Chagas disease</t>
  </si>
  <si>
    <t>GO:0005788,GO:0005509,GO:0030246,GO:0051082,GO:0006457</t>
  </si>
  <si>
    <t>endoplasmic reticulum lumen|calcium ion binding|carbohydrate binding|unfolded protein binding|protein folding</t>
  </si>
  <si>
    <t>J2O13_10G024421</t>
  </si>
  <si>
    <t>1.60E-06</t>
  </si>
  <si>
    <t>LRK10L-2.1</t>
  </si>
  <si>
    <t>LEAF RUST 10 DISEASE-RESISTANCE LOCUS RECEPTOR-LIKE PROTEIN KINASE-like 2.1</t>
  </si>
  <si>
    <t>J2O13_10G024424</t>
  </si>
  <si>
    <t>2.51E-06</t>
  </si>
  <si>
    <t>1.69E-05</t>
  </si>
  <si>
    <t>ACBP4</t>
  </si>
  <si>
    <t>Acyl-CoA-binding domain-containing protein 4</t>
  </si>
  <si>
    <t>GO:0005737,GO:0005829,GO:0000062,GO:0006869,GO:0009723,GO:0009753,GO:0009416</t>
  </si>
  <si>
    <t>cytoplasm|cytosol|fatty-acyl-CoA binding|lipid transport|response to ethylene|response to jasmonic acid|response to light stimulus</t>
  </si>
  <si>
    <t>J2O13_10G024427</t>
  </si>
  <si>
    <t>2.34E-07</t>
  </si>
  <si>
    <t>PCMP-H38</t>
  </si>
  <si>
    <t>Pentatricopeptide repeat-containing protein At5g48910</t>
  </si>
  <si>
    <t>GO:0009507,GO:0003729,GO:0008270,GO:0009451</t>
  </si>
  <si>
    <t>chloroplast|mRNA binding|zinc ion binding|RNA modification</t>
  </si>
  <si>
    <t>J2O13_10G024429</t>
  </si>
  <si>
    <t>1.72E-07</t>
  </si>
  <si>
    <t>SOQ1</t>
  </si>
  <si>
    <t>Protein SUPPRESSOR OF QUENCHING 1, chloroplastic</t>
  </si>
  <si>
    <t>GO:0009507,GO:0009570,GO:0009534,GO:0009535,GO:0005634,GO:0042651,GO:0016787,GO:0046872,GO:0010196</t>
  </si>
  <si>
    <t>chloroplast|chloroplast stroma|chloroplast thylakoid|chloroplast thylakoid membrane|nucleus|thylakoid membrane|hydrolase activity|metal ion binding|nonphotochemical quenching</t>
  </si>
  <si>
    <t>J2O13_10G024430</t>
  </si>
  <si>
    <t>9.60E-16</t>
  </si>
  <si>
    <t>2.61E-14</t>
  </si>
  <si>
    <t>BHLH149</t>
  </si>
  <si>
    <t>Transcription factor bHLH149</t>
  </si>
  <si>
    <t>GO:0005634,GO:0003700,GO:0046983,GO:0000976</t>
  </si>
  <si>
    <t>nucleus|DNA-binding transcription factor activity|protein dimerization activity|transcription cis-regulatory region binding</t>
  </si>
  <si>
    <t>J2O13_10G024442</t>
  </si>
  <si>
    <t>2.04E-14</t>
  </si>
  <si>
    <t>4.75E-13</t>
  </si>
  <si>
    <t>CSP41B</t>
  </si>
  <si>
    <t>Chloroplast stem-loop binding protein of 41 kDa b, chloroplastic</t>
  </si>
  <si>
    <t>GO:0048046,GO:0009507,GO:0009941,GO:0009570,GO:0005829,GO:0005576,GO:0005777,GO:0000325,GO:0009506,GO:0000427,GO:0010287,GO:0005840,GO:0010319,GO:0003677,GO:0010297,GO:0003729,GO:0003723,GO:0019843,GO:0042631,GO:0009658,GO:0007623,GO:0005996,GO:0032544,GO:0000272,GO:0045893,GO:0045727,GO:0010468,GO:0009409,GO:0009611,GO:0006364</t>
  </si>
  <si>
    <t>apoplast|chloroplast|chloroplast envelope|chloroplast stroma|cytosol|extracellular region|peroxisome|plant-type vacuole|plasmodesma|plastid-encoded plastid RNA polymerase complex|plastoglobule|ribosome|stromule|DNA binding|heteropolysaccharide binding|mRNA binding|RNA binding|rRNA binding|cellular response to water deprivation|chloroplast organization|circadian rhythm|monosaccharide metabolic process|plastid translation|polysaccharide catabolic process|positive regulation of DNA-templated transcription|positive regulation of translation|regulation of gene expression|response to cold|response to wounding|rRNA processing</t>
  </si>
  <si>
    <t>J2O13_10G024443</t>
  </si>
  <si>
    <t>RKS1</t>
  </si>
  <si>
    <t>G-type lectin S-receptor-like serine/threonine-protein kinase RKS1</t>
  </si>
  <si>
    <t>J2O13_10G024444</t>
  </si>
  <si>
    <t>GOLS2</t>
  </si>
  <si>
    <t>Galactinol synthase 2</t>
  </si>
  <si>
    <t>GO:0005737,GO:0016757,GO:0047216,GO:0046872,GO:0006012</t>
  </si>
  <si>
    <t>cytoplasm|glycosyltransferase activity|inositol 3-alpha-galactosyltransferase activity|metal ion binding|galactose metabolic process</t>
  </si>
  <si>
    <t>J2O13_10G024448</t>
  </si>
  <si>
    <t>At1g09390</t>
  </si>
  <si>
    <t>GDSL esterase/lipase At1g09390</t>
  </si>
  <si>
    <t>GO:0009570,GO:0005576,GO:0016788,GO:0016042</t>
  </si>
  <si>
    <t>chloroplast stroma|extracellular region|hydrolase activity, acting on ester bonds|lipid catabolic process</t>
  </si>
  <si>
    <t>J2O13_10G024452</t>
  </si>
  <si>
    <t>3.41E-11</t>
  </si>
  <si>
    <t>5.09E-10</t>
  </si>
  <si>
    <t>J2O13_10G024457</t>
  </si>
  <si>
    <t>J2O13_10G024477</t>
  </si>
  <si>
    <t>7.14E-12</t>
  </si>
  <si>
    <t>LTI6A</t>
  </si>
  <si>
    <t>Hydrophobic protein LTI6A</t>
  </si>
  <si>
    <t>GO:0016020,GO:0009737,GO:0009409,GO:0009651,GO:0009414</t>
  </si>
  <si>
    <t>membrane|response to abscisic acid|response to cold|response to salt stress|response to water deprivation</t>
  </si>
  <si>
    <t>J2O13_10G024479</t>
  </si>
  <si>
    <t>5.44E-06</t>
  </si>
  <si>
    <t>J2O13_10G024493</t>
  </si>
  <si>
    <t>2.15E-09</t>
  </si>
  <si>
    <t>2.47E-08</t>
  </si>
  <si>
    <t>RH3</t>
  </si>
  <si>
    <t>DEAD-box ATP-dependent RNA helicase 3, chloroplastic</t>
  </si>
  <si>
    <t>GO:0009507,GO:0009941,GO:0009570,GO:0005737,GO:0005634,GO:0009536,GO:0005524,GO:0016887,GO:0003729,GO:0003724,GO:0008270,GO:0009658,GO:0000373,GO:0009651,GO:0042254,GO:0006364</t>
  </si>
  <si>
    <t>chloroplast|chloroplast envelope|chloroplast stroma|cytoplasm|nucleus|plastid|ATP binding|ATP hydrolysis activity|mRNA binding|RNA helicase activity|zinc ion binding|chloroplast organization|Group II intron splicing|response to salt stress|ribosome biogenesis|rRNA processing</t>
  </si>
  <si>
    <t>J2O13_10G024495</t>
  </si>
  <si>
    <t>At2g02240</t>
  </si>
  <si>
    <t>F-box protein At2g02240</t>
  </si>
  <si>
    <t>GO:0009793</t>
  </si>
  <si>
    <t>embryo development ending in seed dormancy</t>
  </si>
  <si>
    <t>J2O13_10G024498</t>
  </si>
  <si>
    <t>2.66E-12</t>
  </si>
  <si>
    <t>CHR4</t>
  </si>
  <si>
    <t>Protein CHROMATIN REMODELING 4</t>
  </si>
  <si>
    <t>GO:0000785,GO:0005634,GO:0009506,GO:0042735,GO:0005524,GO:0016887,GO:0140658,GO:0003682,GO:0003677,GO:0004386,GO:0042393,GO:0046872,GO:0006338</t>
  </si>
  <si>
    <t>chromatin|nucleus|plasmodesma|protein body|ATP binding|ATP hydrolysis activity|ATP-dependent chromatin remodeler activity|chromatin binding|DNA binding|helicase activity|histone binding|metal ion binding|chromatin remodeling</t>
  </si>
  <si>
    <t>J2O13_10G024501</t>
  </si>
  <si>
    <t>6.13E-11</t>
  </si>
  <si>
    <t>8.83E-10</t>
  </si>
  <si>
    <t>J2O13_10G024513</t>
  </si>
  <si>
    <t>PIN5</t>
  </si>
  <si>
    <t>Auxin efflux carrier component 5</t>
  </si>
  <si>
    <t>GO:0005783,GO:0005789,GO:0005886,GO:0010329,GO:0080161,GO:0010315,GO:0010252,GO:0009926,GO:0009734,GO:0080162,GO:0009555</t>
  </si>
  <si>
    <t>endoplasmic reticulum|endoplasmic reticulum membrane|plasma membrane|auxin efflux transmembrane transporter activity|auxin transmembrane transporter activity|auxin export across the plasma membrane|auxin homeostasis|auxin polar transport|auxin-activated signaling pathway|endoplasmic reticulum to cytosol auxin transport|pollen development</t>
  </si>
  <si>
    <t>J2O13_10G024521</t>
  </si>
  <si>
    <t>J2O13_10G024525</t>
  </si>
  <si>
    <t>4.69E-22</t>
  </si>
  <si>
    <t>2.51E-20</t>
  </si>
  <si>
    <t>LRR1</t>
  </si>
  <si>
    <t>Leucine-rich repeat protein 1</t>
  </si>
  <si>
    <t>GO:0031901,GO:0031902,GO:0005886,GO:0006952</t>
  </si>
  <si>
    <t>early endosome membrane|late endosome membrane|plasma membrane|defense response</t>
  </si>
  <si>
    <t>J2O13_10G024526</t>
  </si>
  <si>
    <t>4.54E-19</t>
  </si>
  <si>
    <t>1.84E-17</t>
  </si>
  <si>
    <t>COL15</t>
  </si>
  <si>
    <t>Zinc finger protein CONSTANS-LIKE 15</t>
  </si>
  <si>
    <t>GO:0005634,GO:0003700,GO:0008270,GO:0006355</t>
  </si>
  <si>
    <t>nucleus|DNA-binding transcription factor activity|zinc ion binding|regulation of DNA-templated transcription</t>
  </si>
  <si>
    <t>J2O13_10G024529</t>
  </si>
  <si>
    <t>J2O13_10G024531</t>
  </si>
  <si>
    <t>6.81E-12</t>
  </si>
  <si>
    <t>1.12E-10</t>
  </si>
  <si>
    <t>J2O13_10G024532</t>
  </si>
  <si>
    <t>6.01E-14</t>
  </si>
  <si>
    <t>1.31E-12</t>
  </si>
  <si>
    <t>PCMP-H89</t>
  </si>
  <si>
    <t>Putative pentatricopeptide repeat-containing protein At5g13230, mitochondrial</t>
  </si>
  <si>
    <t>GO:0005739,GO:0003723,GO:0008270,GO:0009451</t>
  </si>
  <si>
    <t>mitochondrion|RNA binding|zinc ion binding|RNA modification</t>
  </si>
  <si>
    <t>J2O13_10G024541</t>
  </si>
  <si>
    <t>8.28E-33</t>
  </si>
  <si>
    <t>1.14E-30</t>
  </si>
  <si>
    <t>J2O13_10G024543</t>
  </si>
  <si>
    <t>1.03E-17</t>
  </si>
  <si>
    <t>3.58E-16</t>
  </si>
  <si>
    <t>LIR1</t>
  </si>
  <si>
    <t>Light-regulated protein, chloroplastic</t>
  </si>
  <si>
    <t>GO:0009941,GO:0009570,GO:0009535,GO:0098807,GO:0071482,GO:0007623</t>
  </si>
  <si>
    <t>chloroplast envelope|chloroplast stroma|chloroplast thylakoid membrane|chloroplast thylakoid membrane protein complex|cellular response to light stimulus|circadian rhythm</t>
  </si>
  <si>
    <t>J2O13_10G024544</t>
  </si>
  <si>
    <t>4.00E-05</t>
  </si>
  <si>
    <t>Light-regulated protein 1, chloroplastic</t>
  </si>
  <si>
    <t>GO:0009507,GO:0009941,GO:0009570,GO:0098807,GO:0005829,GO:0007623</t>
  </si>
  <si>
    <t>chloroplast|chloroplast envelope|chloroplast stroma|chloroplast thylakoid membrane protein complex|cytosol|circadian rhythm</t>
  </si>
  <si>
    <t>J2O13_10G024552</t>
  </si>
  <si>
    <t>2.03E-39</t>
  </si>
  <si>
    <t>4.46E-37</t>
  </si>
  <si>
    <t>ERF113</t>
  </si>
  <si>
    <t>Ethylene-responsive transcription factor ERF113</t>
  </si>
  <si>
    <t>GO:0005634,GO:0003700,GO:0000976,GO:0071497,GO:0009873,GO:0019760,GO:0045893,GO:0009737,GO:0009723,GO:0009753,GO:0009751,GO:0009651,GO:0009414</t>
  </si>
  <si>
    <t>nucleus|DNA-binding transcription factor activity|transcription cis-regulatory region binding|cellular response to freezing|ethylene-activated signaling pathway|glucosinolate metabolic process|positive regulation of DNA-templated transcription|response to abscisic acid|response to ethylene|response to jasmonic acid|response to salicylic acid|response to salt stress|response to water deprivation</t>
  </si>
  <si>
    <t>J2O13_10G024553</t>
  </si>
  <si>
    <t>J2O13_10G024554</t>
  </si>
  <si>
    <t>6.25E-05</t>
  </si>
  <si>
    <t>ORTH2</t>
  </si>
  <si>
    <t>E3 ubiquitin-protein ligase ORTHRUS 2</t>
  </si>
  <si>
    <t>GO:0010369,GO:0005634,GO:0003682,GO:0010385,GO:0042393,GO:0046872,GO:0008327,GO:0010428,GO:0010429,GO:0061630,GO:0004842,GO:0051301,GO:0006325,GO:0032776,GO:0010424,GO:0010216,GO:0031508,GO:0090309,GO:0016567</t>
  </si>
  <si>
    <t>chromocenter|nucleus|chromatin binding|double-stranded methylated DNA binding|histone binding|metal ion binding|methyl-CpG binding|methyl-CpNpG binding|methyl-CpNpN binding|ubiquitin protein ligase activity|ubiquitin-protein transferase activity|cell division|chromatin organization|DNA methylation on cytosine|DNA methylation on cytosine within a CG sequence|maintenance of DNA methylation|pericentric heterochromatin formation|positive regulation of DNA methylation-dependent heterochromatin formation|protein ubiquitination</t>
  </si>
  <si>
    <t>J2O13_10G024564</t>
  </si>
  <si>
    <t>NUDT13</t>
  </si>
  <si>
    <t>Nudix hydrolase 13, mitochondrial</t>
  </si>
  <si>
    <t>GO:0005737,GO:0005739,GO:0005634,GO:0034432,GO:0016787,GO:0046872</t>
  </si>
  <si>
    <t>cytoplasm|mitochondrion|nucleus|bis(5'-adenosyl)-pentaphosphatase activity|hydrolase activity|metal ion binding</t>
  </si>
  <si>
    <t>J2O13_10G024575</t>
  </si>
  <si>
    <t>J2O13_10G024577</t>
  </si>
  <si>
    <t>8.71E-05</t>
  </si>
  <si>
    <t>J2O13_10G024579</t>
  </si>
  <si>
    <t>7.45E-06</t>
  </si>
  <si>
    <t>RBOHD</t>
  </si>
  <si>
    <t>Respiratory burst oxidase homolog protein D</t>
  </si>
  <si>
    <t>GO:0005794,GO:0005886,GO:0009536,GO:0005509,GO:0000293,GO:0016174,GO:0004601,GO:0033500,GO:0071456,GO:0050832,GO:0043069,GO:0007231,GO:0072593,GO:0009408,GO:0009611</t>
  </si>
  <si>
    <t>Golgi apparatus|plasma membrane|plastid|calcium ion binding|ferric-chelate reductase activity|NAD(P)H oxidase H2O2-forming activity|peroxidase activity|carbohydrate homeostasis|cellular response to hypoxia|defense response to fungus|negative regulation of programmed cell death|osmosensory signaling pathway|reactive oxygen species metabolic process|response to heat|response to wounding</t>
  </si>
  <si>
    <t>J2O13_10G024586</t>
  </si>
  <si>
    <t>3.37E-22</t>
  </si>
  <si>
    <t>1.84E-20</t>
  </si>
  <si>
    <t>PSB27-1</t>
  </si>
  <si>
    <t>Photosystem II repair protein PSB27-H1, chloroplastic</t>
  </si>
  <si>
    <t>GO:0009507,GO:0009534,GO:0009543,GO:0009535,GO:0005576,GO:0009523,GO:0009579,GO:0071484,GO:0010207,GO:0010206</t>
  </si>
  <si>
    <t>chloroplast|chloroplast thylakoid|chloroplast thylakoid lumen|chloroplast thylakoid membrane|extracellular region|photosystem II|thylakoid|cellular response to light intensity|photosystem II assembly|photosystem II repair</t>
  </si>
  <si>
    <t>J2O13_10G024588</t>
  </si>
  <si>
    <t>3.33E-06</t>
  </si>
  <si>
    <t>2.17E-05</t>
  </si>
  <si>
    <t>At5g47890</t>
  </si>
  <si>
    <t>NADH dehydrogenase [ubiquinone] 1 alpha subcomplex subunit 2</t>
  </si>
  <si>
    <t>ko00190,ko04723,ko04714,ko05208,ko05010,ko05012,ko05014,ko05016,ko05020,ko05022,ko05415,ko04932</t>
  </si>
  <si>
    <t>Oxidative phosphorylation|Retrograde endocannabinoid signaling|Thermogenesis|Chemical carcinogenesis - reactive oxygen species|Alzheimer disease|Parkinson disease|Amyotrophic lateral sclerosis|Huntington disease|Prion disease|Pathways of neurodegeneration - multiple diseases|Diabetic cardiomyopathy|Non-alcoholic fatty liver disease</t>
  </si>
  <si>
    <t>GO:0005747,GO:0005739,GO:0009536</t>
  </si>
  <si>
    <t>mitochondrial respiratory chain complex I|mitochondrion|plastid</t>
  </si>
  <si>
    <t>J2O13_10G024592</t>
  </si>
  <si>
    <t>4.90E-16</t>
  </si>
  <si>
    <t>1.37E-14</t>
  </si>
  <si>
    <t>RAD52-2</t>
  </si>
  <si>
    <t>DNA repair RAD52-like protein 2, chloroplastic</t>
  </si>
  <si>
    <t>GO:0009507,GO:0009536,GO:0003677,GO:0000724</t>
  </si>
  <si>
    <t>chloroplast|plastid|DNA binding|double-strand break repair via homologous recombination</t>
  </si>
  <si>
    <t>J2O13_UnG024616</t>
  </si>
  <si>
    <t>J2O13_UnG024624</t>
  </si>
  <si>
    <t>8.28E-06</t>
  </si>
  <si>
    <t>OsI_15387</t>
  </si>
  <si>
    <t>J2O13_UnG024632</t>
  </si>
  <si>
    <t>Organic cation/carnitine transporter 4</t>
  </si>
  <si>
    <t>ko05231</t>
  </si>
  <si>
    <t>Choline metabolism in cancer</t>
  </si>
  <si>
    <t>GO:0009535,GO:0009705,GO:0005524,GO:0022857,GO:0042631,GO:0006811</t>
  </si>
  <si>
    <t>chloroplast thylakoid membrane|plant-type vacuole membrane|ATP binding|transmembrane transporter activity|cellular response to water deprivation|ion transport</t>
  </si>
  <si>
    <t>J2O13_UnG024648</t>
  </si>
  <si>
    <t>J2O13_UnG024649</t>
  </si>
  <si>
    <t>PRP39-1</t>
  </si>
  <si>
    <t>Pre-mRNA-processing factor 39-1</t>
  </si>
  <si>
    <t>GO:0005634,GO:0006397,GO:0048573,GO:0008380</t>
  </si>
  <si>
    <t>nucleus|mRNA processing|photoperiodism, flowering|RNA splicing</t>
  </si>
  <si>
    <t>J2O13_UnG024717</t>
  </si>
  <si>
    <t>J2O13_UnG024722</t>
  </si>
  <si>
    <t>3.92E-05</t>
  </si>
  <si>
    <t>UTR4</t>
  </si>
  <si>
    <t>UDP-galactose/UDP-glucose transporter 4</t>
  </si>
  <si>
    <t>GO:0005789,GO:0000139,GO:0015297,GO:0022857,GO:0008643</t>
  </si>
  <si>
    <t>endoplasmic reticulum membrane|Golgi membrane|antiporter activity|transmembrane transporter activity|carbohydrate transport</t>
  </si>
  <si>
    <t>J2O13_UnG024723</t>
  </si>
  <si>
    <t>9.81E-05</t>
  </si>
  <si>
    <t>J2O13_UnG024726</t>
  </si>
  <si>
    <t>PFC1</t>
  </si>
  <si>
    <t>Ribosomal RNA small subunit methyltransferase, chloroplastic</t>
  </si>
  <si>
    <t>GO:0009507,GO:0016422,GO:0003723,GO:0000179,GO:0009409,GO:0031167</t>
  </si>
  <si>
    <t>chloroplast|mRNA (2'-O-methyladenosine-N6-)-methyltransferase activity|RNA binding|rRNA (adenine-N6,N6-)-dimethyltransferase activity|response to cold|rRNA methylation</t>
  </si>
  <si>
    <t>J2O13_UnG024735</t>
  </si>
  <si>
    <t>J2O13_UnG024752</t>
  </si>
  <si>
    <t>J2O13_UnG024776</t>
  </si>
  <si>
    <t>J2O13_UnG024786</t>
  </si>
  <si>
    <t>J2O13_UnG024835</t>
  </si>
  <si>
    <t>J2O13_UnG024906</t>
  </si>
  <si>
    <t>J2O13_UnG024975</t>
  </si>
  <si>
    <t>J2O13_UnG025698</t>
  </si>
  <si>
    <t>3.88E-06</t>
  </si>
  <si>
    <t>2.49E-05</t>
  </si>
  <si>
    <t>J2O13_UnG025715</t>
  </si>
  <si>
    <t>J2O13_UnG025754</t>
  </si>
  <si>
    <r>
      <rPr>
        <b/>
        <sz val="10"/>
        <color theme="1"/>
        <rFont val="Times New Roman"/>
        <charset val="134"/>
      </rPr>
      <t xml:space="preserve">Table S5 </t>
    </r>
    <r>
      <rPr>
        <sz val="10"/>
        <color theme="1"/>
        <rFont val="Times New Roman"/>
        <charset val="134"/>
      </rPr>
      <t>GO enrichment analysis of all up-regulated DEGs  from diploids and tetraploids.</t>
    </r>
  </si>
  <si>
    <t>id</t>
  </si>
  <si>
    <t>Term</t>
  </si>
  <si>
    <t>Category</t>
  </si>
  <si>
    <t>ListHits</t>
  </si>
  <si>
    <t>ListTotal</t>
  </si>
  <si>
    <t>PopHits</t>
  </si>
  <si>
    <t>PopTotal</t>
  </si>
  <si>
    <t>Enrichment_score</t>
  </si>
  <si>
    <t>geneID</t>
  </si>
  <si>
    <t>GO:0003700</t>
  </si>
  <si>
    <t>DNA-binding transcription factor activity</t>
  </si>
  <si>
    <t>molecular_function</t>
  </si>
  <si>
    <t>J2O13_01G000114;J2O13_01G000421;J2O13_01G000611;J2O13_01G000654;J2O13_01G001070;J2O13_01G001217;J2O13_01G001226;J2O13_01G001243;J2O13_01G001261;J2O13_01G001318;J2O13_01G001427;J2O13_01G001434;J2O13_01G001457;J2O13_01G001481;J2O13_01G001521;J2O13_01G001548;J2O13_01G001574;J2O13_01G001585;J2O13_01G002406;J2O13_01G002472;J2O13_01G002632;J2O13_02G003484;J2O13_02G003558;J2O13_02G003721;J2O13_02G003749;J2O13_02G003821;J2O13_02G003881;J2O13_02G003979;J2O13_02G004064;J2O13_02G004218;J2O13_02G004340;J2O13_02G004343;J2O13_02G004427;J2O13_02G004432;J2O13_02G004443;J2O13_02G004453;J2O13_02G004636;J2O13_02G004650;J2O13_02G004701;J2O13_02G004848;J2O13_03G005193;J2O13_03G005209;J2O13_03G005269;J2O13_03G005440;J2O13_03G005462;J2O13_03G005463;J2O13_03G005600;J2O13_03G005656;J2O13_03G005819;J2O13_03G006121;J2O13_03G006411;J2O13_03G006918;J2O13_03G007008;J2O13_04G007338;J2O13_04G007649;J2O13_04G007684;J2O13_04G007717;J2O13_04G007744;J2O13_04G007747;J2O13_04G007951;J2O13_04G007971;J2O13_04G008105;J2O13_04G008148;J2O13_04G008253;J2O13_04G008392;J2O13_04G008448;J2O13_04G008475;J2O13_05G009435;J2O13_05G009444;J2O13_05G009796;J2O13_05G009993;J2O13_05G010023;J2O13_05G010094;J2O13_05G010229;J2O13_05G010316;J2O13_05G010526;J2O13_05G010540;J2O13_05G010555;J2O13_05G010638;J2O13_05G010724;J2O13_05G010744;J2O13_05G010788;J2O13_05G011142;J2O13_05G011214;J2O13_05G011383;J2O13_05G011549;J2O13_05G011755;J2O13_05G012010;J2O13_05G012012;J2O13_05G012034;J2O13_05G012599;J2O13_05G012661;J2O13_05G012759;J2O13_06G012916;J2O13_06G013339;J2O13_06G013460;J2O13_06G013562;J2O13_06G013698;J2O13_06G013818;J2O13_06G013986;J2O13_06G014055;J2O13_06G014534;J2O13_06G014573;J2O13_06G014906;J2O13_07G014939;J2O13_07G014953;J2O13_07G015103;J2O13_07G015190;J2O13_07G015256;J2O13_07G015344;J2O13_07G016095;J2O13_07G016468;J2O13_07G016672;J2O13_07G017002;J2O13_07G017008;J2O13_07G017126;J2O13_07G017171;J2O13_07G017249;J2O13_07G017325;J2O13_08G017585;J2O13_08G017706;J2O13_08G017857;J2O13_08G018567;J2O13_08G018843;J2O13_08G019210;J2O13_08G019262;J2O13_08G019525;J2O13_09G019765;J2O13_09G020557;J2O13_09G020796;J2O13_09G020872;J2O13_09G021098;J2O13_09G021147;J2O13_09G021408;J2O13_09G021423;J2O13_09G021485;J2O13_09G021500;J2O13_09G021544;J2O13_09G021594;J2O13_09G021716;J2O13_09G021750;J2O13_09G021762;J2O13_09G021822;J2O13_09G021827;J2O13_09G021907;J2O13_09G021933;J2O13_09G021971;J2O13_10G022127;J2O13_10G022266;J2O13_10G022347;J2O13_10G022393;J2O13_10G022681;J2O13_10G022731;J2O13_10G023354;J2O13_10G023387;J2O13_10G023417;J2O13_10G023430;J2O13_10G023599;J2O13_10G023687;J2O13_10G024053;J2O13_10G024055;J2O13_10G024152;J2O13_10G024171;J2O13_10G024399;J2O13_10G024430;J2O13_10G024521;J2O13_10G024526;J2O13_10G024552</t>
  </si>
  <si>
    <t>GO:0009611</t>
  </si>
  <si>
    <t>response to wounding</t>
  </si>
  <si>
    <t>biological_process</t>
  </si>
  <si>
    <t>J2O13_01G000812;J2O13_01G001421;J2O13_02G004064;J2O13_02G004218;J2O13_03G005193;J2O13_03G005611;J2O13_03G005661;J2O13_03G005754;J2O13_03G005840;J2O13_03G006059;J2O13_04G007782;J2O13_04G007868;J2O13_04G008915;J2O13_05G009796;J2O13_05G009993;J2O13_05G010151;J2O13_05G010851;J2O13_05G011011;J2O13_05G011370;J2O13_05G011392;J2O13_05G012510;J2O13_05G012665;J2O13_06G013429;J2O13_07G014936;J2O13_07G015008;J2O13_07G015344;J2O13_07G015428;J2O13_07G016481;J2O13_07G016666;J2O13_07G016880;J2O13_08G017950;J2O13_08G018376;J2O13_09G019727;J2O13_09G020482;J2O13_09G020627;J2O13_09G020872;J2O13_10G022344;J2O13_10G024157;J2O13_10G024579</t>
  </si>
  <si>
    <t>J2O13_01G000253;J2O13_01G000656;J2O13_01G001481;J2O13_01G001528;J2O13_01G001615;J2O13_01G001987;J2O13_02G003484;J2O13_02G003611;J2O13_02G004713;J2O13_02G004804;J2O13_02G004886;J2O13_02G004993;J2O13_03G005611;J2O13_03G005835;J2O13_03G006059;J2O13_04G007116;J2O13_04G007199;J2O13_04G007281;J2O13_04G007856;J2O13_04G008718;J2O13_05G010274;J2O13_05G010275;J2O13_05G010428;J2O13_05G010445;J2O13_05G010555;J2O13_05G010575;J2O13_05G010851;J2O13_05G012006;J2O13_05G012010;J2O13_05G012012;J2O13_05G012455;J2O13_05G012466;J2O13_05G012467;J2O13_05G012497;J2O13_05G012515;J2O13_05G012665;J2O13_05G012699;J2O13_06G013200;J2O13_06G013205;J2O13_06G013495;J2O13_06G013496;J2O13_06G013640;J2O13_06G013791;J2O13_06G014077;J2O13_06G014314;J2O13_06G014575;J2O13_06G014718;J2O13_07G015012;J2O13_07G015035;J2O13_07G015038;J2O13_07G015050;J2O13_07G015368;J2O13_07G015428;J2O13_07G016008;J2O13_07G016132;J2O13_07G016481;J2O13_07G016811;J2O13_07G016880;J2O13_07G016884;J2O13_07G017345;J2O13_08G017509;J2O13_08G017792;J2O13_08G017950;J2O13_08G018762;J2O13_08G018767;J2O13_08G019233;J2O13_08G019291;J2O13_08G019293;J2O13_08G019409;J2O13_09G019764;J2O13_09G019817;J2O13_09G020839;J2O13_09G021044;J2O13_09G021880;J2O13_09G021907;J2O13_09G021942;J2O13_09G021943;J2O13_09G022014;J2O13_10G022067;J2O13_10G022227;J2O13_10G022465;J2O13_10G022466;J2O13_10G022802;J2O13_10G023340;J2O13_10G023440;J2O13_10G023597;J2O13_10G023885;J2O13_10G024525</t>
  </si>
  <si>
    <t>GO:0000976</t>
  </si>
  <si>
    <t>transcription cis-regulatory region binding</t>
  </si>
  <si>
    <t>J2O13_01G000114;J2O13_01G000611;J2O13_01G001217;J2O13_01G001226;J2O13_01G001243;J2O13_01G001261;J2O13_01G001427;J2O13_01G001434;J2O13_01G001481;J2O13_01G001521;J2O13_02G003721;J2O13_02G003749;J2O13_02G003979;J2O13_02G004064;J2O13_02G004218;J2O13_02G004427;J2O13_02G004453;J2O13_02G004636;J2O13_02G004650;J2O13_02G004848;J2O13_03G005193;J2O13_03G005209;J2O13_03G005440;J2O13_03G005549;J2O13_03G005656;J2O13_03G006411;J2O13_03G007008;J2O13_04G007161;J2O13_04G007684;J2O13_04G007744;J2O13_04G007951;J2O13_04G008105;J2O13_04G008253;J2O13_04G008392;J2O13_04G008475;J2O13_05G009993;J2O13_05G010540;J2O13_05G011214;J2O13_05G011383;J2O13_05G012010;J2O13_05G012012;J2O13_05G012034;J2O13_05G012661;J2O13_05G012759;J2O13_06G012916;J2O13_06G013339;J2O13_06G013866;J2O13_06G014534;J2O13_06G014573;J2O13_06G014906;J2O13_07G014939;J2O13_07G014953;J2O13_07G015190;J2O13_07G015256;J2O13_07G015344;J2O13_07G016468;J2O13_07G017126;J2O13_07G017249;J2O13_08G017585;J2O13_08G017706;J2O13_08G017857;J2O13_09G019765;J2O13_09G020557;J2O13_09G021485;J2O13_09G021500;J2O13_09G021544;J2O13_09G021750;J2O13_09G021762;J2O13_09G021822;J2O13_09G021827;J2O13_09G021971;J2O13_10G022347;J2O13_10G022681;J2O13_10G023354;J2O13_10G023417;J2O13_10G023430;J2O13_10G024053;J2O13_10G024055;J2O13_10G024430;J2O13_10G024552</t>
  </si>
  <si>
    <t>cellular_component</t>
  </si>
  <si>
    <t>J2O13_01G000112;J2O13_01G000125;J2O13_01G000544;J2O13_01G000588;J2O13_01G000602;J2O13_01G001144;J2O13_01G001146;J2O13_01G001148;J2O13_01G001343;J2O13_01G001355;J2O13_01G002539;J2O13_01G002690;J2O13_01G002871;J2O13_02G003225;J2O13_02G003384;J2O13_02G003413;J2O13_02G003613;J2O13_02G003875;J2O13_02G003876;J2O13_02G004762;J2O13_03G005333;J2O13_03G005621;J2O13_03G005622;J2O13_03G005681;J2O13_03G005835;J2O13_03G006087;J2O13_03G006254;J2O13_03G006749;J2O13_03G007018;J2O13_03G007021;J2O13_04G007501;J2O13_04G007652;J2O13_04G007700;J2O13_04G008143;J2O13_04G008634;J2O13_04G008847;J2O13_05G009690;J2O13_05G010090;J2O13_05G010160;J2O13_05G010285;J2O13_05G010459;J2O13_05G010528;J2O13_05G010564;J2O13_05G010598;J2O13_05G010953;J2O13_05G011368;J2O13_05G011941;J2O13_05G011976;J2O13_05G012305;J2O13_05G012701;J2O13_06G013142;J2O13_06G013274;J2O13_06G013284;J2O13_06G013830;J2O13_06G013941;J2O13_06G014513;J2O13_06G014583;J2O13_06G014716;J2O13_07G015158;J2O13_07G015368;J2O13_07G015660;J2O13_07G015811;J2O13_07G015927;J2O13_07G016088;J2O13_07G016589;J2O13_07G016877;J2O13_07G017068;J2O13_07G017240;J2O13_08G017509;J2O13_08G017630;J2O13_08G017650;J2O13_08G017845;J2O13_08G018197;J2O13_08G018232;J2O13_08G018381;J2O13_08G019240;J2O13_08G019395;J2O13_08G019492;J2O13_09G019584;J2O13_09G019681;J2O13_09G019698;J2O13_09G019914;J2O13_09G020076;J2O13_09G020272;J2O13_09G020701;J2O13_09G021550;J2O13_09G021552;J2O13_09G021738;J2O13_09G021764;J2O13_09G021961;J2O13_10G022226;J2O13_10G022227;J2O13_10G022296;J2O13_10G022343;J2O13_10G023409;J2O13_10G023520;J2O13_10G023650;J2O13_10G023710;J2O13_10G023731;J2O13_10G023997;J2O13_10G024448;J2O13_10G024457;J2O13_10G024541</t>
  </si>
  <si>
    <t>GO:2000022</t>
  </si>
  <si>
    <t>regulation of jasmonic acid mediated signaling pathway</t>
  </si>
  <si>
    <t>J2O13_01G001481;J2O13_03G005611;J2O13_03G005661;J2O13_03G005766;J2O13_03G006059;J2O13_04G008718;J2O13_05G010851;J2O13_05G012665;J2O13_07G016481;J2O13_07G016880;J2O13_08G017950;J2O13_08G019409;J2O13_09G020874;J2O13_10G023597</t>
  </si>
  <si>
    <t>J2O13_01G000161;J2O13_01G000336;J2O13_01G000420;J2O13_01G000480;J2O13_01G000487;J2O13_01G000656;J2O13_01G000684;J2O13_01G000783;J2O13_01G000825;J2O13_01G000864;J2O13_01G000948;J2O13_01G001169;J2O13_01G001586;J2O13_01G001587;J2O13_01G001593;J2O13_01G001641;J2O13_01G001648;J2O13_01G001649;J2O13_01G001650;J2O13_01G001996;J2O13_01G002279;J2O13_01G002627;J2O13_01G002726;J2O13_02G002991;J2O13_02G003490;J2O13_02G003766;J2O13_02G003776;J2O13_02G003851;J2O13_02G003922;J2O13_02G003932;J2O13_02G003933;J2O13_02G003934;J2O13_02G003959;J2O13_02G003969;J2O13_02G004027;J2O13_02G004200;J2O13_02G004323;J2O13_02G004558;J2O13_02G004649;J2O13_02G004804;J2O13_02G004827;J2O13_02G004853;J2O13_02G004893;J2O13_02G004917;J2O13_02G004993;J2O13_02G005028;J2O13_03G005112;J2O13_03G005256;J2O13_03G005305;J2O13_03G005308;J2O13_03G005322;J2O13_03G005334;J2O13_03G005422;J2O13_03G005462;J2O13_03G005555;J2O13_03G005591;J2O13_03G005661;J2O13_03G005685;J2O13_03G005715;J2O13_03G005782;J2O13_03G005819;J2O13_03G005835;J2O13_03G005856;J2O13_03G005911;J2O13_03G005917;J2O13_03G006046;J2O13_03G006059;J2O13_03G006199;J2O13_03G006379;J2O13_03G006404;J2O13_03G006405;J2O13_03G006809;J2O13_04G007281;J2O13_04G007308;J2O13_04G007355;J2O13_04G007363;J2O13_04G007428;J2O13_04G007454;J2O13_04G007569;J2O13_04G007598;J2O13_04G007604;J2O13_04G007615;J2O13_04G007692;J2O13_04G007711;J2O13_04G007856;J2O13_04G007868;J2O13_04G007888;J2O13_04G007924;J2O13_04G007973;J2O13_04G008043;J2O13_04G008167;J2O13_04G008171;J2O13_04G008248;J2O13_04G008427;J2O13_04G008451;J2O13_04G008461;J2O13_04G008490;J2O13_04G008594;J2O13_04G008833;J2O13_04G008894;J2O13_04G008903;J2O13_04G008904;J2O13_04G008915;J2O13_04G008937;J2O13_04G009187;J2O13_05G009291;J2O13_05G009411;J2O13_05G009496;J2O13_05G009502;J2O13_05G009552;J2O13_05G009653;J2O13_05G009695;J2O13_05G010166;J2O13_05G010334;J2O13_05G010428;J2O13_05G010528;J2O13_05G010575;J2O13_05G010622;J2O13_05G010640;J2O13_05G010720;J2O13_05G010755;J2O13_05G010864;J2O13_05G010971;J2O13_05G011114;J2O13_05G011208;J2O13_05G011556;J2O13_05G011568;J2O13_05G011592;J2O13_05G011653;J2O13_05G011762;J2O13_05G012063;J2O13_05G012079;J2O13_05G012117;J2O13_05G012125;J2O13_05G012136;J2O13_05G012401;J2O13_05G012466;J2O13_05G012467;J2O13_05G012586;J2O13_05G012665;J2O13_05G012701;J2O13_05G012777;J2O13_06G013164;J2O13_06G013253;J2O13_06G013255;J2O13_06G013276;J2O13_06G013300;J2O13_06G013302;J2O13_06G013385;J2O13_06G013480;J2O13_06G013571;J2O13_06G013791;J2O13_06G014020;J2O13_06G014051;J2O13_06G014070;J2O13_06G014086;J2O13_06G014087;J2O13_06G014575;J2O13_06G014718;J2O13_06G014734;J2O13_06G014800;J2O13_06G014887;J2O13_07G014939;J2O13_07G015010;J2O13_07G015021;J2O13_07G015050;J2O13_07G015062;J2O13_07G015196;J2O13_07G015221;J2O13_07G015542;J2O13_07G016008;J2O13_07G016076;J2O13_07G016096;J2O13_07G016105;J2O13_07G016280;J2O13_07G016330;J2O13_07G016343;J2O13_07G016349;J2O13_07G016528;J2O13_07G016668;J2O13_07G016683;J2O13_07G016684;J2O13_07G016685;J2O13_07G016749;J2O13_07G016880;J2O13_07G016884;J2O13_07G017018;J2O13_07G017039;J2O13_07G017068;J2O13_07G017130;J2O13_07G017319;J2O13_07G017326;J2O13_08G017467;J2O13_08G017468;J2O13_08G017509;J2O13_08G017628;J2O13_08G017823;J2O13_08G017905;J2O13_08G017907;J2O13_08G017950;J2O13_08G018504;J2O13_08G018735;J2O13_08G018738;J2O13_08G018762;J2O13_08G018931;J2O13_08G018964;J2O13_08G019116;J2O13_08G019211;J2O13_08G019233;J2O13_08G019248;J2O13_08G019355;J2O13_08G019544;J2O13_09G019632;J2O13_09G019633;J2O13_09G019681;J2O13_09G019727;J2O13_09G019859;J2O13_09G019868;J2O13_09G019870;J2O13_09G019871;J2O13_09G019954;J2O13_09G020083;J2O13_09G020106;J2O13_09G020136;J2O13_09G020168;J2O13_09G020206;J2O13_09G020236;J2O13_09G020531;J2O13_09G020627;J2O13_09G020847;J2O13_09G020960;J2O13_09G021167;J2O13_09G021320;J2O13_09G021365;J2O13_09G021407;J2O13_09G021571;J2O13_09G021710;J2O13_09G021778;J2O13_09G021803;J2O13_09G021880;J2O13_09G021972;J2O13_09G022017;J2O13_10G022078;J2O13_10G022084;J2O13_10G022137;J2O13_10G022141;J2O13_10G022272;J2O13_10G022447;J2O13_10G022685;J2O13_10G022748;J2O13_10G022821;J2O13_10G023011;J2O13_10G023323;J2O13_10G023337;J2O13_10G023338;J2O13_10G023446;J2O13_10G023491;J2O13_10G023534;J2O13_10G023554;J2O13_10G023645;J2O13_10G023681;J2O13_10G023700;J2O13_10G023993;J2O13_10G024085;J2O13_10G024331;J2O13_10G024333;J2O13_10G024443;J2O13_10G024525;J2O13_10G024579</t>
  </si>
  <si>
    <t>GO:0009617</t>
  </si>
  <si>
    <t>response to bacterium</t>
  </si>
  <si>
    <t>J2O13_01G000336;J2O13_01G000862;J2O13_01G001385;J2O13_01G001585;J2O13_01G002166;J2O13_02G004886;J2O13_03G005622;J2O13_03G005754;J2O13_05G011370;J2O13_05G012725;J2O13_06G012916;J2O13_07G015428;J2O13_07G015555;J2O13_07G016684;J2O13_07G016685;J2O13_07G017130;J2O13_08G017660;J2O13_08G018376;J2O13_09G020122;J2O13_09G020874;J2O13_09G020951;J2O13_10G022282;J2O13_10G023340;J2O13_10G024157</t>
  </si>
  <si>
    <t>GO:0009751</t>
  </si>
  <si>
    <t>response to salicylic acid</t>
  </si>
  <si>
    <t>J2O13_01G001385;J2O13_01G001521;J2O13_01G002166;J2O13_01G002765;J2O13_01G002766;J2O13_02G004650;J2O13_03G005193;J2O13_04G007848;J2O13_05G010574;J2O13_05G011011;J2O13_05G012510;J2O13_06G013429;J2O13_06G014734;J2O13_07G014953;J2O13_07G016457;J2O13_07G017130;J2O13_08G019094;J2O13_08G019361;J2O13_08G019525;J2O13_09G020872;J2O13_09G020874;J2O13_09G021762;J2O13_09G021883;J2O13_10G024552</t>
  </si>
  <si>
    <t>J2O13_01G001385;J2O13_01G001588;J2O13_01G002166;J2O13_02G003749;J2O13_04G008494;J2O13_05G010900;J2O13_05G012349;J2O13_05G012510;J2O13_07G016457;J2O13_07G016684;J2O13_07G016685;J2O13_08G017831;J2O13_08G018376;J2O13_09G020482;J2O13_09G020872;J2O13_09G020951;J2O13_10G023340;J2O13_10G024157</t>
  </si>
  <si>
    <t>GO:0009651</t>
  </si>
  <si>
    <t>response to salt stress</t>
  </si>
  <si>
    <t>J2O13_01G001089;J2O13_01G001169;J2O13_01G001275;J2O13_01G001281;J2O13_01G001421;J2O13_01G002775;J2O13_01G002779;J2O13_02G004218;J2O13_02G005010;J2O13_03G005545;J2O13_03G005546;J2O13_03G005549;J2O13_03G006203;J2O13_03G006254;J2O13_04G007293;J2O13_04G007432;J2O13_04G007604;J2O13_04G007717;J2O13_04G008041;J2O13_04G008718;J2O13_05G009609;J2O13_05G010492;J2O13_05G011011;J2O13_05G011392;J2O13_06G012916;J2O13_06G013571;J2O13_07G014939;J2O13_07G014953;J2O13_07G015335;J2O13_07G015378;J2O13_07G015379;J2O13_07G015775;J2O13_07G016174;J2O13_07G016492;J2O13_07G016684;J2O13_07G016685;J2O13_07G017171;J2O13_07G017354;J2O13_07G017355;J2O13_08G017651;J2O13_08G018573;J2O13_08G019104;J2O13_09G019817;J2O13_09G019972;J2O13_09G020845;J2O13_09G021971;J2O13_10G022208;J2O13_10G022347;J2O13_10G023338;J2O13_10G023554;J2O13_10G023993;J2O13_10G024477;J2O13_10G024521;J2O13_10G024552</t>
  </si>
  <si>
    <t>GO:0071456</t>
  </si>
  <si>
    <t>cellular response to hypoxia</t>
  </si>
  <si>
    <t>J2O13_01G000905;J2O13_01G001581;J2O13_01G002166;J2O13_01G002859;J2O13_02G004020;J2O13_02G004064;J2O13_02G004268;J2O13_02G004335;J2O13_02G004623;J2O13_02G005061;J2O13_03G005322;J2O13_03G005546;J2O13_03G005635;J2O13_03G006089;J2O13_04G008392;J2O13_04G008412;J2O13_05G011399;J2O13_06G013245;J2O13_06G013355;J2O13_06G014052;J2O13_06G014906;J2O13_07G015344;J2O13_07G016174;J2O13_08G019361;J2O13_09G020412;J2O13_09G021404;J2O13_09G021552;J2O13_10G024579</t>
  </si>
  <si>
    <t>GO:0006468</t>
  </si>
  <si>
    <t>protein phosphorylation</t>
  </si>
  <si>
    <t>J2O13_01G000656;J2O13_01G001275;J2O13_01G001421;J2O13_01G001586;J2O13_01G001587;J2O13_01G001588;J2O13_01G001593;J2O13_01G001648;J2O13_01G001649;J2O13_01G001650;J2O13_01G002726;J2O13_01G002866;J2O13_02G003490;J2O13_02G004027;J2O13_02G004323;J2O13_02G004558;J2O13_02G004993;J2O13_03G005112;J2O13_03G005256;J2O13_03G005422;J2O13_03G005685;J2O13_03G006036;J2O13_03G006046;J2O13_03G006293;J2O13_03G006379;J2O13_04G007199;J2O13_04G007308;J2O13_04G007343;J2O13_04G007355;J2O13_04G007598;J2O13_04G007615;J2O13_04G007888;J2O13_04G007924;J2O13_04G008167;J2O13_04G008171;J2O13_04G008490;J2O13_04G008493;J2O13_04G008494;J2O13_04G008915;J2O13_04G008937;J2O13_04G009187;J2O13_05G009319;J2O13_05G009411;J2O13_05G009658;J2O13_05G010128;J2O13_05G010445;J2O13_05G010640;J2O13_05G010971;J2O13_05G011399;J2O13_05G011568;J2O13_05G011592;J2O13_05G012006;J2O13_05G012136;J2O13_06G013821;J2O13_06G014020;J2O13_06G014051;J2O13_06G014070;J2O13_06G014734;J2O13_06G014800;J2O13_06G014887;J2O13_07G015021;J2O13_07G015385;J2O13_07G015542;J2O13_07G016008;J2O13_07G016132;J2O13_07G016501;J2O13_07G016642;J2O13_07G016749;J2O13_07G017039;J2O13_07G017068;J2O13_08G017467;J2O13_08G017823;J2O13_08G017905;J2O13_08G017907;J2O13_08G019399;J2O13_08G019544;J2O13_09G019632;J2O13_09G019633;J2O13_09G019870;J2O13_09G019871;J2O13_09G020206;J2O13_09G020560;J2O13_09G020845;J2O13_09G021035;J2O13_09G021044;J2O13_09G021407;J2O13_09G021652;J2O13_09G021778;J2O13_09G021803;J2O13_09G021972;J2O13_10G022272;J2O13_10G022496;J2O13_10G023446;J2O13_10G023645;J2O13_10G024267;J2O13_10G024330;J2O13_10G024331;J2O13_10G024333;J2O13_10G024443</t>
  </si>
  <si>
    <t>GO:0010089</t>
  </si>
  <si>
    <t>xylem development</t>
  </si>
  <si>
    <t>J2O13_02G003749;J2O13_03G005440;J2O13_03G006809;J2O13_04G007598;J2O13_04G007717;J2O13_05G010023;J2O13_07G015190;J2O13_07G016095;J2O13_07G017171;J2O13_09G020645;J2O13_10G024521</t>
  </si>
  <si>
    <t>GO:0051213</t>
  </si>
  <si>
    <t>dioxygenase activity</t>
  </si>
  <si>
    <t>J2O13_01G001385;J2O13_01G002166;J2O13_03G005341;J2O13_03G005342;J2O13_04G007162;J2O13_04G007163;J2O13_05G009966;J2O13_05G012032;J2O13_08G017413;J2O13_08G017809;J2O13_08G019092;J2O13_08G019409;J2O13_09G020839;J2O13_10G023597</t>
  </si>
  <si>
    <t>GO:0020037</t>
  </si>
  <si>
    <t>heme binding</t>
  </si>
  <si>
    <t>J2O13_01G000544;J2O13_01G001089;J2O13_01G001485;J2O13_01G002612;J2O13_02G003029;J2O13_02G003384;J2O13_02G003875;J2O13_02G003876;J2O13_02G004528;J2O13_02G004666;J2O13_02G004700;J2O13_03G005684;J2O13_03G005705;J2O13_03G006087;J2O13_03G006752;J2O13_04G007115;J2O13_04G007468;J2O13_04G007501;J2O13_04G007782;J2O13_04G008667;J2O13_05G010220;J2O13_05G010285;J2O13_05G010355;J2O13_05G010816;J2O13_05G011068;J2O13_05G011275;J2O13_06G013990;J2O13_06G014267;J2O13_06G014716;J2O13_07G015008;J2O13_07G016500;J2O13_07G016603;J2O13_08G017454;J2O13_08G018880;J2O13_08G019206;J2O13_08G019361;J2O13_08G019492;J2O13_09G019764;J2O13_09G019813;J2O13_09G019814;J2O13_09G020121;J2O13_09G020122;J2O13_09G020540;J2O13_09G020839;J2O13_09G021640;J2O13_09G021641;J2O13_09G021738;J2O13_10G022125;J2O13_10G022341;J2O13_10G022344;J2O13_10G023710;J2O13_10G023761</t>
  </si>
  <si>
    <t>GO:0006949</t>
  </si>
  <si>
    <t>syncytium formation</t>
  </si>
  <si>
    <t>J2O13_01G002690;J2O13_04G008143;J2O13_08G019240;J2O13_09G021961;J2O13_10G023409;J2O13_10G023731</t>
  </si>
  <si>
    <t>GO:0009805</t>
  </si>
  <si>
    <t>coumarin biosynthetic process</t>
  </si>
  <si>
    <t>J2O13_04G007162;J2O13_04G007163;J2O13_05G010759;J2O13_05G010760;J2O13_05G010762;J2O13_08G017831</t>
  </si>
  <si>
    <t>GO:0009873</t>
  </si>
  <si>
    <t>ethylene-activated signaling pathway</t>
  </si>
  <si>
    <t>J2O13_01G000480;J2O13_01G001548;J2O13_02G003558;J2O13_02G003881;J2O13_02G004218;J2O13_03G005267;J2O13_03G005269;J2O13_03G005600;J2O13_03G005656;J2O13_03G007008;J2O13_04G007338;J2O13_04G007684;J2O13_04G008392;J2O13_05G010094;J2O13_05G010555;J2O13_05G012010;J2O13_05G012012;J2O13_05G012034;J2O13_06G013385;J2O13_06G014906;J2O13_07G017002;J2O13_07G017126;J2O13_08G018567;J2O13_09G020557;J2O13_09G020874;J2O13_09G021147;J2O13_09G021423;J2O13_09G021907;J2O13_09G021971;J2O13_10G024552</t>
  </si>
  <si>
    <t>GO:0009737</t>
  </si>
  <si>
    <t>response to abscisic acid</t>
  </si>
  <si>
    <t>J2O13_01G000637;J2O13_01G000654;J2O13_01G001089;J2O13_01G001261;J2O13_01G001434;J2O13_01G001987;J2O13_02G003749;J2O13_02G004427;J2O13_02G004853;J2O13_02G005010;J2O13_03G005864;J2O13_03G006254;J2O13_04G007432;J2O13_04G007516;J2O13_04G007698;J2O13_04G007717;J2O13_04G008041;J2O13_04G008105;J2O13_05G009319;J2O13_05G009458;J2O13_05G009609;J2O13_05G009993;J2O13_05G010445;J2O13_05G010848;J2O13_05G011011;J2O13_05G012125;J2O13_06G013429;J2O13_06G013821;J2O13_06G014906;J2O13_07G016440;J2O13_07G016492;J2O13_07G017171;J2O13_07G017354;J2O13_08G017585;J2O13_08G017877;J2O13_08G019104;J2O13_08G019173;J2O13_09G020560;J2O13_09G020701;J2O13_09G021147;J2O13_09G021550;J2O13_09G021677;J2O13_10G022347;J2O13_10G023687;J2O13_10G023993;J2O13_10G024477;J2O13_10G024521;J2O13_10G024552</t>
  </si>
  <si>
    <t>GO:0019953</t>
  </si>
  <si>
    <t>sexual reproduction</t>
  </si>
  <si>
    <t>J2O13_01G000112;J2O13_05G011976;J2O13_07G016088;J2O13_09G021961</t>
  </si>
  <si>
    <t>GO:0090057</t>
  </si>
  <si>
    <t>root radial pattern formation</t>
  </si>
  <si>
    <t>J2O13_04G007951;J2O13_05G010540;J2O13_09G021750;J2O13_10G023387</t>
  </si>
  <si>
    <t>GO:0006979</t>
  </si>
  <si>
    <t>response to oxidative stress</t>
  </si>
  <si>
    <t>J2O13_01G000544;J2O13_01G001641;J2O13_02G003384;J2O13_02G003875;J2O13_02G003876;J2O13_03G005462;J2O13_03G005819;J2O13_03G005840;J2O13_03G006059;J2O13_03G006087;J2O13_04G007501;J2O13_04G008451;J2O13_05G009493;J2O13_05G010285;J2O13_05G012665;J2O13_06G014716;J2O13_07G015344;J2O13_07G016666;J2O13_07G016880;J2O13_08G017950;J2O13_08G019173;J2O13_08G019361;J2O13_08G019492;J2O13_09G020839;J2O13_09G020951;J2O13_09G021738;J2O13_10G022125;J2O13_10G022699;J2O13_10G023710;J2O13_10G024157</t>
  </si>
  <si>
    <t>GO:0016706</t>
  </si>
  <si>
    <t>2-oxoglutarate-dependent dioxygenase activity</t>
  </si>
  <si>
    <t>GO:0019748</t>
  </si>
  <si>
    <t>secondary metabolic process</t>
  </si>
  <si>
    <t>J2O13_03G007018;J2O13_03G007021;J2O13_06G014583;J2O13_08G017630;J2O13_08G017650;J2O13_08G017845</t>
  </si>
  <si>
    <t>GO:0009734</t>
  </si>
  <si>
    <t>auxin-activated signaling pathway</t>
  </si>
  <si>
    <t>J2O13_01G000487;J2O13_01G002468;J2O13_01G002627;J2O13_02G003851;J2O13_02G003959;J2O13_02G004804;J2O13_02G004848;J2O13_03G005555;J2O13_03G005715;J2O13_03G005782;J2O13_03G006046;J2O13_03G006121;J2O13_05G009291;J2O13_05G011011;J2O13_05G011208;J2O13_05G011568;J2O13_05G012442;J2O13_05G012471;J2O13_06G013460;J2O13_06G013484;J2O13_06G013497;J2O13_06G013498;J2O13_06G014014;J2O13_07G016280;J2O13_07G016343;J2O13_07G016349;J2O13_07G016528;J2O13_07G016672;J2O13_07G016684;J2O13_07G016685;J2O13_07G016821;J2O13_07G017325;J2O13_08G018931;J2O13_08G019173;J2O13_09G020083;J2O13_09G021485</t>
  </si>
  <si>
    <t>GO:0009733</t>
  </si>
  <si>
    <t>response to auxin</t>
  </si>
  <si>
    <t>J2O13_01G000125;J2O13_01G001243;J2O13_01G002627;J2O13_02G003749;J2O13_02G004650;J2O13_02G004848;J2O13_02G004853;J2O13_03G005440;J2O13_03G006121;J2O13_04G007848;J2O13_04G008594;J2O13_05G010643;J2O13_05G012012;J2O13_05G012442;J2O13_05G012471;J2O13_06G013460;J2O13_06G013484;J2O13_06G014014;J2O13_06G014052;J2O13_07G016343;J2O13_07G016349;J2O13_07G016672;J2O13_07G016684;J2O13_07G016685;J2O13_08G017555;J2O13_08G017877;J2O13_09G020951;J2O13_09G021485;J2O13_09G021636;J2O13_09G021646;J2O13_09G021762;J2O13_09G021822;J2O13_10G024157</t>
  </si>
  <si>
    <t>GO:0050832</t>
  </si>
  <si>
    <t>defense response to fungus</t>
  </si>
  <si>
    <t>J2O13_01G000450;J2O13_01G000480;J2O13_01G000878;J2O13_01G002193;J2O13_02G003634;J2O13_02G003697;J2O13_02G003749;J2O13_02G003821;J2O13_02G003932;J2O13_02G003933;J2O13_02G003934;J2O13_02G004642;J2O13_03G005193;J2O13_04G007428;J2O13_04G007684;J2O13_04G007971;J2O13_04G008904;J2O13_05G009695;J2O13_05G010526;J2O13_05G010575;J2O13_05G010643;J2O13_05G011003;J2O13_05G011011;J2O13_07G015053;J2O13_07G015221;J2O13_07G016457;J2O13_07G016684;J2O13_07G016685;J2O13_07G017068;J2O13_07G017126;J2O13_07G017319;J2O13_07G017326;J2O13_08G018262;J2O13_09G019681;J2O13_09G020122;J2O13_09G020168;J2O13_09G021098;J2O13_09G021147;J2O13_09G021705;J2O13_09G021880;J2O13_09G021933;J2O13_10G022125;J2O13_10G022589;J2O13_10G022751;J2O13_10G023417;J2O13_10G024162;J2O13_10G024233;J2O13_10G024579</t>
  </si>
  <si>
    <t>GO:0010336</t>
  </si>
  <si>
    <t>gibberellic acid homeostasis</t>
  </si>
  <si>
    <t>J2O13_01G001070;J2O13_02G004701;J2O13_04G008427;J2O13_08G017413;J2O13_10G023011</t>
  </si>
  <si>
    <t>J2O13_01G001593;J2O13_01G002726;J2O13_01G002859;J2O13_02G004459;J2O13_03G005112;J2O13_03G005747;J2O13_04G007199;J2O13_04G007355;J2O13_04G007690;J2O13_04G007888;J2O13_04G008432;J2O13_05G010090;J2O13_05G010720;J2O13_05G012006;J2O13_05G012117;J2O13_06G012855;J2O13_06G014020;J2O13_06G014051;J2O13_06G014070;J2O13_07G015012;J2O13_07G015035;J2O13_07G015038;J2O13_09G021035;J2O13_09G021044;J2O13_09G021972;J2O13_10G022917;J2O13_10G023446;J2O13_10G023645;J2O13_10G024408;J2O13_10G024443</t>
  </si>
  <si>
    <t>GO:0008061</t>
  </si>
  <si>
    <t>chitin binding</t>
  </si>
  <si>
    <t>J2O13_03G006254;J2O13_05G010640;J2O13_05G012515;J2O13_07G015291;J2O13_07G015428;J2O13_09G021803;J2O13_10G024162</t>
  </si>
  <si>
    <t>GO:0016042</t>
  </si>
  <si>
    <t>lipid catabolic process</t>
  </si>
  <si>
    <t>J2O13_01G000832;J2O13_01G001512;J2O13_02G003225;J2O13_02G004623;J2O13_04G007265;J2O13_04G008847;J2O13_05G010160;J2O13_05G010459;J2O13_05G010598;J2O13_05G010627;J2O13_05G010745;J2O13_05G011998;J2O13_06G013830;J2O13_07G016413;J2O13_07G016457;J2O13_07G016652;J2O13_08G019395;J2O13_09G019584;J2O13_09G020874;J2O13_09G021701;J2O13_09G021764;J2O13_10G022343;J2O13_10G024448</t>
  </si>
  <si>
    <t>GO:0004185</t>
  </si>
  <si>
    <t>serine-type carboxypeptidase activity</t>
  </si>
  <si>
    <t>J2O13_03G007018;J2O13_03G007021;J2O13_04G007700;J2O13_05G011368;J2O13_06G014583;J2O13_07G015927;J2O13_08G017630;J2O13_08G017650;J2O13_08G017845;J2O13_10G024541</t>
  </si>
  <si>
    <t>GO:0043565</t>
  </si>
  <si>
    <t>sequence-specific DNA binding</t>
  </si>
  <si>
    <t>J2O13_01G000176;J2O13_01G000421;J2O13_01G000654;J2O13_01G001217;J2O13_01G001261;J2O13_01G001434;J2O13_01G001574;J2O13_01G001585;J2O13_01G002257;J2O13_01G002472;J2O13_02G003749;J2O13_02G003821;J2O13_02G003979;J2O13_02G004218;J2O13_03G006918;J2O13_04G008105;J2O13_05G009435;J2O13_05G009796;J2O13_05G009993;J2O13_05G010379;J2O13_05G010788;J2O13_05G011755;J2O13_05G012661;J2O13_06G012916;J2O13_06G013698;J2O13_06G013818;J2O13_06G013986;J2O13_07G014939;J2O13_07G015103;J2O13_08G017585;J2O13_08G019525;J2O13_09G020872;J2O13_09G021098;J2O13_09G021594;J2O13_09G021716;J2O13_09G021822;J2O13_09G021971;J2O13_10G022127;J2O13_10G022266;J2O13_10G023687;J2O13_10G024152;J2O13_10G024399</t>
  </si>
  <si>
    <t>GO:0010045</t>
  </si>
  <si>
    <t>response to nickel cation</t>
  </si>
  <si>
    <t>J2O13_03G006059;J2O13_05G012665;J2O13_07G016880;J2O13_08G017950</t>
  </si>
  <si>
    <t>GO:0010444</t>
  </si>
  <si>
    <t>guard mother cell differentiation</t>
  </si>
  <si>
    <t>J2O13_01G000654;J2O13_02G004547;J2O13_06G013562;J2O13_08G017503</t>
  </si>
  <si>
    <t>GO:0016165</t>
  </si>
  <si>
    <t>linoleate 13S-lipoxygenase activity</t>
  </si>
  <si>
    <t>J2O13_04G007203;J2O13_07G016498;J2O13_08G018376;J2O13_09G019727</t>
  </si>
  <si>
    <t>GO:0051595</t>
  </si>
  <si>
    <t>response to methylglyoxal</t>
  </si>
  <si>
    <t>GO:0140041</t>
  </si>
  <si>
    <t>cellular detoxification of methylglyoxal</t>
  </si>
  <si>
    <t>GO:0016655</t>
  </si>
  <si>
    <t>oxidoreductase activity, acting on NAD(P)H, quinone or similar compound as acceptor</t>
  </si>
  <si>
    <t>J2O13_02G002974;J2O13_02G003243;J2O13_02G004023;J2O13_08G018883;J2O13_08G018884</t>
  </si>
  <si>
    <t>GO:0016114</t>
  </si>
  <si>
    <t>terpenoid biosynthetic process</t>
  </si>
  <si>
    <t>J2O13_03G005684;J2O13_03G006442;J2O13_04G007115;J2O13_06G013092;J2O13_07G014938;J2O13_07G016500;J2O13_08G019206;J2O13_09G020122;J2O13_09G021438;J2O13_10G022341;J2O13_10G022481</t>
  </si>
  <si>
    <t>GO:0106310</t>
  </si>
  <si>
    <t>protein serine kinase activity</t>
  </si>
  <si>
    <t>J2O13_01G000161;J2O13_01G000480;J2O13_01G000656;J2O13_01G001275;J2O13_01G001421;J2O13_01G001586;J2O13_01G001587;J2O13_01G001588;J2O13_01G001593;J2O13_01G002726;J2O13_01G002866;J2O13_02G004323;J2O13_02G004893;J2O13_02G004917;J2O13_02G004993;J2O13_03G005112;J2O13_03G005256;J2O13_03G005422;J2O13_03G005685;J2O13_03G005838;J2O13_03G005856;J2O13_03G006036;J2O13_03G006046;J2O13_03G006293;J2O13_03G006379;J2O13_04G007199;J2O13_04G007308;J2O13_04G007355;J2O13_04G007454;J2O13_04G007598;J2O13_04G007856;J2O13_04G007888;J2O13_04G007924;J2O13_04G008171;J2O13_04G008490;J2O13_04G008493;J2O13_04G008494;J2O13_04G008915;J2O13_04G008937;J2O13_04G009187;J2O13_05G009319;J2O13_05G009411;J2O13_05G009658;J2O13_05G010445;J2O13_05G010720;J2O13_05G010971;J2O13_05G011114;J2O13_05G011568;J2O13_05G012006;J2O13_05G012117;J2O13_05G012136;J2O13_05G012401;J2O13_06G013821;J2O13_06G014020;J2O13_06G014051;J2O13_06G014070;J2O13_06G014734;J2O13_06G014800;J2O13_06G014887;J2O13_07G015021;J2O13_07G015050;J2O13_07G015385;J2O13_07G015542;J2O13_07G016008;J2O13_07G016132;J2O13_07G016501;J2O13_07G016689;J2O13_07G016749;J2O13_07G017039;J2O13_07G017068;J2O13_08G017467;J2O13_08G017823;J2O13_08G017905;J2O13_08G017907;J2O13_08G018762;J2O13_08G019233;J2O13_08G019399;J2O13_09G019632;J2O13_09G019633;J2O13_09G019870;J2O13_09G019871;J2O13_09G020560;J2O13_09G020845;J2O13_09G021035;J2O13_09G021044;J2O13_09G021407;J2O13_09G021652;J2O13_09G021778;J2O13_09G021803;J2O13_09G021972;J2O13_10G022137;J2O13_10G022496;J2O13_10G023446;J2O13_10G023645;J2O13_10G024267;J2O13_10G024443</t>
  </si>
  <si>
    <t>J2O13_03G007018;J2O13_03G007021;J2O13_04G007729;J2O13_06G012904;J2O13_06G014583;J2O13_07G017047;J2O13_08G017630;J2O13_08G017650;J2O13_08G017845</t>
  </si>
  <si>
    <t>GO:0004674</t>
  </si>
  <si>
    <t>protein serine/threonine kinase activity</t>
  </si>
  <si>
    <t>J2O13_01G000161;J2O13_01G000480;J2O13_01G000656;J2O13_01G001275;J2O13_01G001421;J2O13_01G001586;J2O13_01G001587;J2O13_01G001593;J2O13_01G002866;J2O13_02G004027;J2O13_02G004323;J2O13_02G004893;J2O13_02G004993;J2O13_03G005112;J2O13_03G005256;J2O13_03G005422;J2O13_03G005685;J2O13_03G005838;J2O13_03G005856;J2O13_03G006036;J2O13_03G006046;J2O13_03G006293;J2O13_03G006379;J2O13_04G007199;J2O13_04G007308;J2O13_04G007355;J2O13_04G007454;J2O13_04G007598;J2O13_04G007856;J2O13_04G007924;J2O13_04G008171;J2O13_04G008490;J2O13_04G008493;J2O13_04G008915;J2O13_04G008937;J2O13_04G009187;J2O13_05G009319;J2O13_05G009411;J2O13_05G009658;J2O13_05G010445;J2O13_05G010720;J2O13_05G010971;J2O13_05G011114;J2O13_05G012006;J2O13_05G012117;J2O13_05G012136;J2O13_05G012401;J2O13_06G013355;J2O13_06G013821;J2O13_06G014020;J2O13_06G014051;J2O13_06G014070;J2O13_06G014734;J2O13_06G014800;J2O13_06G014887;J2O13_07G015021;J2O13_07G015050;J2O13_07G015385;J2O13_07G015542;J2O13_07G016008;J2O13_07G016132;J2O13_07G016501;J2O13_07G016642;J2O13_07G016689;J2O13_07G016749;J2O13_07G017039;J2O13_07G017068;J2O13_08G017467;J2O13_08G017823;J2O13_08G017905;J2O13_08G017907;J2O13_08G018762;J2O13_08G019233;J2O13_08G019399;J2O13_09G019632;J2O13_09G019633;J2O13_09G019870;J2O13_09G019871;J2O13_09G020560;J2O13_09G020845;J2O13_09G021035;J2O13_09G021044;J2O13_09G021407;J2O13_09G021652;J2O13_09G021778;J2O13_09G021803;J2O13_09G021972;J2O13_10G022137;J2O13_10G022496;J2O13_10G024267;J2O13_10G024443</t>
  </si>
  <si>
    <t>GO:0009753</t>
  </si>
  <si>
    <t>response to jasmonic acid</t>
  </si>
  <si>
    <t>J2O13_03G005661;J2O13_03G005754;J2O13_03G006059;J2O13_03G006254;J2O13_05G009993;J2O13_05G010151;J2O13_05G010528;J2O13_05G011370;J2O13_05G012510;J2O13_05G012665;J2O13_06G013429;J2O13_07G016364;J2O13_07G016481;J2O13_07G016880;J2O13_08G017950;J2O13_08G018376;J2O13_08G019525;J2O13_09G020872;J2O13_10G023687;J2O13_10G024552</t>
  </si>
  <si>
    <t>GO:0006749</t>
  </si>
  <si>
    <t>glutathione metabolic process</t>
  </si>
  <si>
    <t>J2O13_01G002765;J2O13_01G002766;J2O13_06G013495;J2O13_06G013496;J2O13_06G013497;J2O13_06G013498;J2O13_08G017877;J2O13_08G019094;J2O13_10G023885</t>
  </si>
  <si>
    <t>GO:0031408</t>
  </si>
  <si>
    <t>oxylipin biosynthetic process</t>
  </si>
  <si>
    <t>J2O13_02G004623;J2O13_02G004666;J2O13_03G005700;J2O13_04G007203;J2O13_05G011501;J2O13_05G011502;J2O13_07G016498;J2O13_08G018376;J2O13_09G019727;J2O13_09G020839</t>
  </si>
  <si>
    <t>GO:0002229</t>
  </si>
  <si>
    <t>defense response to oomycetes</t>
  </si>
  <si>
    <t>J2O13_01G001385;J2O13_01G001585;J2O13_01G002166;J2O13_03G005838;J2O13_04G007888;J2O13_04G008167;J2O13_05G009966;J2O13_06G014883;J2O13_07G016684;J2O13_07G016685;J2O13_10G023446;J2O13_10G023645</t>
  </si>
  <si>
    <t>GO:0010929</t>
  </si>
  <si>
    <t>positive regulation of auxin mediated signaling pathway</t>
  </si>
  <si>
    <t>J2O13_01G000487;J2O13_02G004636;J2O13_03G005555;J2O13_03G005715;J2O13_07G016528</t>
  </si>
  <si>
    <t>GO:0006970</t>
  </si>
  <si>
    <t>response to osmotic stress</t>
  </si>
  <si>
    <t>J2O13_01G001089;J2O13_01G001169;J2O13_02G004218;J2O13_03G006059;J2O13_05G009319;J2O13_05G009789;J2O13_05G010707;J2O13_05G012125;J2O13_05G012665;J2O13_06G012916;J2O13_06G013821;J2O13_06G014681;J2O13_07G016880;J2O13_07G017354;J2O13_08G017950;J2O13_09G019972;J2O13_09G020560;J2O13_09G020845;J2O13_09G021147;J2O13_10G023967;J2O13_10G023993</t>
  </si>
  <si>
    <t>GO:0009116</t>
  </si>
  <si>
    <t>nucleoside metabolic process</t>
  </si>
  <si>
    <t>J2O13_06G014687;J2O13_10G023779;J2O13_10G023830;J2O13_10G023835</t>
  </si>
  <si>
    <t>GO:0016998</t>
  </si>
  <si>
    <t>cell wall macromolecule catabolic process</t>
  </si>
  <si>
    <t>J2O13_01G001313;J2O13_05G012515;J2O13_07G015114;J2O13_07G015428</t>
  </si>
  <si>
    <t>GO:0009414</t>
  </si>
  <si>
    <t>response to water deprivation</t>
  </si>
  <si>
    <t>J2O13_01G000611;J2O13_01G000637;J2O13_01G001169;J2O13_01G001434;J2O13_02G004218;J2O13_02G004427;J2O13_02G005010;J2O13_03G005549;J2O13_03G005864;J2O13_03G006059;J2O13_04G007432;J2O13_04G007604;J2O13_04G008041;J2O13_04G008718;J2O13_05G009493;J2O13_05G009609;J2O13_05G009789;J2O13_05G010848;J2O13_05G011208;J2O13_05G011592;J2O13_05G012665;J2O13_06G013698;J2O13_06G014681;J2O13_07G014953;J2O13_07G015335;J2O13_07G016330;J2O13_07G016684;J2O13_07G016685;J2O13_07G016880;J2O13_07G017354;J2O13_07G017355;J2O13_08G017585;J2O13_08G017950;J2O13_10G022347;J2O13_10G022466;J2O13_10G023554;J2O13_10G023993;J2O13_10G024157;J2O13_10G024477;J2O13_10G024552</t>
  </si>
  <si>
    <t>GO:0006355</t>
  </si>
  <si>
    <t>regulation of DNA-templated transcription</t>
  </si>
  <si>
    <t>J2O13_01G000114;J2O13_01G000421;J2O13_01G000611;J2O13_01G000648;J2O13_01G000654;J2O13_01G000790;J2O13_01G001070;J2O13_01G001261;J2O13_01G001318;J2O13_01G001427;J2O13_01G001481;J2O13_01G001574;J2O13_01G001585;J2O13_01G002406;J2O13_01G002472;J2O13_01G002632;J2O13_02G003721;J2O13_02G003749;J2O13_02G003979;J2O13_02G004343;J2O13_02G004446;J2O13_02G004636;J2O13_02G004701;J2O13_02G004848;J2O13_03G005209;J2O13_03G005462;J2O13_03G005819;J2O13_03G006918;J2O13_04G007649;J2O13_04G007706;J2O13_04G007747;J2O13_04G007848;J2O13_04G007951;J2O13_04G007971;J2O13_04G008105;J2O13_04G008253;J2O13_04G008475;J2O13_05G009435;J2O13_05G009444;J2O13_05G009993;J2O13_05G010023;J2O13_05G010526;J2O13_05G010540;J2O13_05G010638;J2O13_05G010724;J2O13_05G010948;J2O13_05G011383;J2O13_05G011549;J2O13_05G011755;J2O13_05G012298;J2O13_05G012599;J2O13_05G012661;J2O13_05G012759;J2O13_06G012910;J2O13_06G013339;J2O13_06G013698;J2O13_06G013986;J2O13_06G014055;J2O13_06G014314;J2O13_07G014953;J2O13_07G015103;J2O13_07G015256;J2O13_07G016468;J2O13_07G016512;J2O13_07G016821;J2O13_07G017249;J2O13_08G017706;J2O13_08G017857;J2O13_09G021500;J2O13_09G021677;J2O13_09G021750;J2O13_09G021827;J2O13_09G021933;J2O13_10G022123;J2O13_10G022127;J2O13_10G022347;J2O13_10G023354;J2O13_10G023387;J2O13_10G023599;J2O13_10G024386;J2O13_10G024526</t>
  </si>
  <si>
    <t>GO:0004806</t>
  </si>
  <si>
    <t>triglyceride lipase activity</t>
  </si>
  <si>
    <t>J2O13_01G000832;J2O13_04G007265;J2O13_05G010459;J2O13_05G011998;J2O13_07G016413;J2O13_09G021701</t>
  </si>
  <si>
    <t>J2O13_01G000104;J2O13_01G000176;J2O13_01G000611;J2O13_01G001070;J2O13_01G001318;J2O13_01G001457;J2O13_01G001548;J2O13_01G002632;J2O13_02G002944;J2O13_02G003484;J2O13_02G003558;J2O13_02G003721;J2O13_02G003881;J2O13_02G004218;J2O13_02G004343;J2O13_02G004432;J2O13_02G004443;J2O13_02G004650;J2O13_02G004701;J2O13_02G004827;J2O13_03G005107;J2O13_03G005269;J2O13_03G005379;J2O13_03G005462;J2O13_03G005463;J2O13_03G005549;J2O13_03G005600;J2O13_03G005819;J2O13_03G006020;J2O13_03G006134;J2O13_03G006280;J2O13_03G006898;J2O13_04G007338;J2O13_04G007473;J2O13_04G007717;J2O13_04G007747;J2O13_04G008148;J2O13_04G008149;J2O13_04G008183;J2O13_04G008249;J2O13_04G008583;J2O13_04G009073;J2O13_05G009993;J2O13_05G010023;J2O13_05G010094;J2O13_05G010229;J2O13_05G010316;J2O13_05G010379;J2O13_05G010555;J2O13_05G010638;J2O13_05G010724;J2O13_05G010898;J2O13_05G011142;J2O13_05G011549;J2O13_05G011903;J2O13_05G011945;J2O13_05G012455;J2O13_05G012599;J2O13_05G012759;J2O13_05G012787;J2O13_06G013562;J2O13_06G013818;J2O13_06G013977;J2O13_06G014314;J2O13_07G015053;J2O13_07G015287;J2O13_07G015349;J2O13_07G015870;J2O13_07G016095;J2O13_07G017002;J2O13_07G017171;J2O13_07G017325;J2O13_08G017585;J2O13_08G017892;J2O13_08G018505;J2O13_08G018567;J2O13_08G018843;J2O13_08G018879;J2O13_08G019210;J2O13_08G019474;J2O13_09G019663;J2O13_09G019960;J2O13_09G020786;J2O13_09G020796;J2O13_09G020951;J2O13_09G021147;J2O13_09G021408;J2O13_09G021423;J2O13_09G021544;J2O13_09G021594;J2O13_09G021762;J2O13_09G021907;J2O13_10G022123;J2O13_10G022127;J2O13_10G022393;J2O13_10G022578;J2O13_10G022811;J2O13_10G023263;J2O13_10G023264;J2O13_10G023387;J2O13_10G023417;J2O13_10G023599;J2O13_10G024121;J2O13_10G024171;J2O13_10G024498;J2O13_10G024521;J2O13_10G024592</t>
  </si>
  <si>
    <t>GO:0042742</t>
  </si>
  <si>
    <t>defense response to bacterium</t>
  </si>
  <si>
    <t>J2O13_01G000759;J2O13_01G000878;J2O13_01G001585;J2O13_01G001648;J2O13_01G001649;J2O13_01G001650;J2O13_01G002166;J2O13_01G002539;J2O13_02G003625;J2O13_02G003821;J2O13_02G004182;J2O13_02G004216;J2O13_02G004642;J2O13_03G005193;J2O13_03G005661;J2O13_03G005685;J2O13_03G005754;J2O13_04G007888;J2O13_04G008167;J2O13_04G008253;J2O13_05G010334;J2O13_05G011592;J2O13_06G013429;J2O13_06G014734;J2O13_07G014936;J2O13_07G016457;J2O13_07G016642;J2O13_07G016684;J2O13_07G016685;J2O13_07G017130;J2O13_08G017661;J2O13_08G017810;J2O13_08G019361;J2O13_09G020874;J2O13_09G021098;J2O13_09G021705;J2O13_10G023417;J2O13_10G023446;J2O13_10G023645;J2O13_10G024162;J2O13_10G024331</t>
  </si>
  <si>
    <t>GO:0045893</t>
  </si>
  <si>
    <t>positive regulation of DNA-templated transcription</t>
  </si>
  <si>
    <t>J2O13_01G000611;J2O13_01G001217;J2O13_01G001434;J2O13_01G002632;J2O13_02G003749;J2O13_02G003881;J2O13_02G004453;J2O13_02G004650;J2O13_04G007951;J2O13_05G009993;J2O13_05G010023;J2O13_05G010540;J2O13_05G012599;J2O13_06G012916;J2O13_06G013562;J2O13_06G013698;J2O13_07G014939;J2O13_07G014953;J2O13_07G017325;J2O13_08G019474;J2O13_09G019765;J2O13_09G019960;J2O13_09G020786;J2O13_09G020872;J2O13_09G021762;J2O13_09G021822;J2O13_09G021971;J2O13_10G022127;J2O13_10G022266;J2O13_10G022347;J2O13_10G022681;J2O13_10G023687;J2O13_10G024121;J2O13_10G024552</t>
  </si>
  <si>
    <t>GO:0004364</t>
  </si>
  <si>
    <t>glutathione transferase activity</t>
  </si>
  <si>
    <t>J2O13_01G002765;J2O13_01G002766;J2O13_06G013495;J2O13_06G013496;J2O13_06G013497;J2O13_06G013498;J2O13_08G017877;J2O13_08G018735;J2O13_08G019094;J2O13_10G023885</t>
  </si>
  <si>
    <t>GO:0006833</t>
  </si>
  <si>
    <t>water transport</t>
  </si>
  <si>
    <t>J2O13_04G008915;J2O13_05G012054;J2O13_07G016330;J2O13_08G018964;J2O13_08G019153</t>
  </si>
  <si>
    <t>GO:0043531</t>
  </si>
  <si>
    <t>ADP binding</t>
  </si>
  <si>
    <t>J2O13_01G000450;J2O13_01G000783;J2O13_02G003611;J2O13_02G003625;J2O13_02G003634;J2O13_02G003697;J2O13_02G004642;J2O13_04G008903;J2O13_05G011003;J2O13_05G012699;J2O13_07G016811;J2O13_07G016884;J2O13_07G017345;J2O13_08G017661;J2O13_08G017792;J2O13_08G017810;J2O13_08G018262;J2O13_08G018767;J2O13_08G019291;J2O13_08G019293;J2O13_09G019859;J2O13_09G021705;J2O13_10G022067;J2O13_10G022751;J2O13_10G024233</t>
  </si>
  <si>
    <t>J2O13_01G000112;J2O13_01G000253;J2O13_01G000311;J2O13_01G000368;J2O13_01G000410;J2O13_01G000588;J2O13_01G000605;J2O13_01G000637;J2O13_01G000684;J2O13_01G000825;J2O13_01G001089;J2O13_01G001485;J2O13_01G001581;J2O13_01G001588;J2O13_01G002612;J2O13_01G002690;J2O13_01G002866;J2O13_02G003029;J2O13_02G003776;J2O13_02G003969;J2O13_02G004459;J2O13_02G004623;J2O13_02G004649;J2O13_02G004700;J2O13_02G004713;J2O13_02G004725;J2O13_02G004893;J2O13_03G005391;J2O13_03G005675;J2O13_03G005684;J2O13_03G005705;J2O13_03G005754;J2O13_03G006036;J2O13_03G006203;J2O13_03G006293;J2O13_03G006946;J2O13_04G007115;J2O13_04G007199;J2O13_04G007305;J2O13_04G007343;J2O13_04G007347;J2O13_04G007363;J2O13_04G007364;J2O13_04G007454;J2O13_04G007782;J2O13_04G007901;J2O13_04G007973;J2O13_04G008088;J2O13_04G008143;J2O13_04G008427;J2O13_04G008451;J2O13_04G008493;J2O13_04G008494;J2O13_04G008560;J2O13_04G008667;J2O13_04G008833;J2O13_04G008902;J2O13_04G009132;J2O13_05G009464;J2O13_05G009549;J2O13_05G009694;J2O13_05G009695;J2O13_05G009756;J2O13_05G010085;J2O13_05G010097;J2O13_05G010128;J2O13_05G010166;J2O13_05G010167;J2O13_05G010220;J2O13_05G010314;J2O13_05G010428;J2O13_05G010492;J2O13_05G010609;J2O13_05G010679;J2O13_05G010816;J2O13_05G010824;J2O13_05G010864;J2O13_05G011068;J2O13_05G011208;J2O13_05G011226;J2O13_05G011275;J2O13_05G011454;J2O13_05G011559;J2O13_05G011609;J2O13_05G011937;J2O13_05G012006;J2O13_05G012054;J2O13_05G012113;J2O13_05G012300;J2O13_05G012414;J2O13_05G012712;J2O13_06G013373;J2O13_06G013429;J2O13_06G013439;J2O13_06G013571;J2O13_06G013990;J2O13_06G014086;J2O13_06G014087;J2O13_06G014267;J2O13_06G014883;J2O13_07G015026;J2O13_07G015062;J2O13_07G015148;J2O13_07G015196;J2O13_07G015283;J2O13_07G015937;J2O13_07G016096;J2O13_07G016413;J2O13_07G016500;J2O13_07G016642;J2O13_07G016743;J2O13_07G017047;J2O13_07G017130;J2O13_08G017454;J2O13_08G017622;J2O13_08G017778;J2O13_08G018406;J2O13_08G018598;J2O13_08G018607;J2O13_08G018707;J2O13_08G018790;J2O13_08G019104;J2O13_08G019116;J2O13_08G019153;J2O13_08G019206;J2O13_08G019240;J2O13_08G019399;J2O13_09G019561;J2O13_09G019813;J2O13_09G019814;J2O13_09G019972;J2O13_09G020121;J2O13_09G020122;J2O13_09G020136;J2O13_09G020165;J2O13_09G020290;J2O13_09G020412;J2O13_09G020502;J2O13_09G020947;J2O13_09G021035;J2O13_09G021044;J2O13_09G021053;J2O13_09G021640;J2O13_09G021641;J2O13_09G021652;J2O13_09G021701;J2O13_09G021961;J2O13_10G022141;J2O13_10G022208;J2O13_10G022297;J2O13_10G022341;J2O13_10G022733;J2O13_10G023011;J2O13_10G023338;J2O13_10G023340;J2O13_10G023409;J2O13_10G023731;J2O13_10G023761;J2O13_10G023967;J2O13_10G023968;J2O13_10G023993;J2O13_10G023996;J2O13_10G024477</t>
  </si>
  <si>
    <t>GO:0008272</t>
  </si>
  <si>
    <t>sulfate transport</t>
  </si>
  <si>
    <t>J2O13_02G004335;J2O13_05G011592;J2O13_06G013276;J2O13_09G021404</t>
  </si>
  <si>
    <t>GO:0047714</t>
  </si>
  <si>
    <t>galactolipase activity</t>
  </si>
  <si>
    <t>J2O13_01G000832;J2O13_01G001512;J2O13_04G007265;J2O13_05G011998</t>
  </si>
  <si>
    <t>GO:0051289</t>
  </si>
  <si>
    <t>protein homotetramerization</t>
  </si>
  <si>
    <t>J2O13_05G009993;J2O13_05G009999;J2O13_07G015196;J2O13_10G022141</t>
  </si>
  <si>
    <t>GO:0045263</t>
  </si>
  <si>
    <t>proton-transporting ATP synthase complex, coupling factor F(o)</t>
  </si>
  <si>
    <t>J2O13_01G000180;J2O13_04G009153;J2O13_06G014234;J2O13_08G018503;J2O13_08G018504</t>
  </si>
  <si>
    <t>GO:0140825</t>
  </si>
  <si>
    <t>lactoperoxidase activity</t>
  </si>
  <si>
    <t>J2O13_01G000544;J2O13_02G003384;J2O13_02G003875;J2O13_02G003876;J2O13_03G006087;J2O13_04G007501;J2O13_05G010285;J2O13_06G014716;J2O13_08G019492;J2O13_09G021738;J2O13_10G022125;J2O13_10G023710</t>
  </si>
  <si>
    <t>GO:0008661</t>
  </si>
  <si>
    <t>1-deoxy-D-xylulose-5-phosphate synthase activity</t>
  </si>
  <si>
    <t>J2O13_03G006442;J2O13_06G013092;J2O13_09G021438</t>
  </si>
  <si>
    <t>GO:0009937</t>
  </si>
  <si>
    <t>regulation of gibberellic acid mediated signaling pathway</t>
  </si>
  <si>
    <t>J2O13_01G001070;J2O13_02G004701;J2O13_09G021827</t>
  </si>
  <si>
    <t>GO:0010436</t>
  </si>
  <si>
    <t>carotenoid dioxygenase activity</t>
  </si>
  <si>
    <t>J2O13_05G010848;J2O13_06G013534;J2O13_06G014681</t>
  </si>
  <si>
    <t>GO:0016121</t>
  </si>
  <si>
    <t>carotene catabolic process</t>
  </si>
  <si>
    <t>GO:0052865</t>
  </si>
  <si>
    <t>1-deoxy-D-xylulose 5-phosphate biosynthetic process</t>
  </si>
  <si>
    <t>GO:0097007</t>
  </si>
  <si>
    <t>4,8,12-trimethyltrideca-1,3,7,11-tetraene synthase activity</t>
  </si>
  <si>
    <t>J2O13_03G005684;J2O13_07G016500;J2O13_09G020122</t>
  </si>
  <si>
    <t>GO:1902457</t>
  </si>
  <si>
    <t>negative regulation of stomatal opening</t>
  </si>
  <si>
    <t>J2O13_05G009319;J2O13_06G013821;J2O13_09G020560</t>
  </si>
  <si>
    <t>GO:1990748</t>
  </si>
  <si>
    <t>cellular detoxification</t>
  </si>
  <si>
    <t>J2O13_03G005308;J2O13_07G016684;J2O13_07G016685</t>
  </si>
  <si>
    <t>GO:0000272</t>
  </si>
  <si>
    <t>polysaccharide catabolic process</t>
  </si>
  <si>
    <t>J2O13_01G001313;J2O13_03G006254;J2O13_05G012515;J2O13_06G013071;J2O13_07G015291;J2O13_07G015428;J2O13_10G022917</t>
  </si>
  <si>
    <t>GO:0000786</t>
  </si>
  <si>
    <t>nucleosome</t>
  </si>
  <si>
    <t>J2O13_02G004827;J2O13_03G006020;J2O13_04G008249;J2O13_05G010948;J2O13_05G012298;J2O13_05G012787;J2O13_06G013977;J2O13_07G015287;J2O13_07G015349;J2O13_07G015870</t>
  </si>
  <si>
    <t>GO:0000977</t>
  </si>
  <si>
    <t>RNA polymerase II transcription regulatory region sequence-specific DNA binding</t>
  </si>
  <si>
    <t>J2O13_04G007514;J2O13_04G007971;J2O13_05G010526;J2O13_05G010744;J2O13_09G021933</t>
  </si>
  <si>
    <t>GO:0046983</t>
  </si>
  <si>
    <t>protein dimerization activity</t>
  </si>
  <si>
    <t>J2O13_01G000648;J2O13_01G001318;J2O13_01G001389;J2O13_01G001427;J2O13_01G001481;J2O13_02G002944;J2O13_02G004014;J2O13_02G004016;J2O13_02G004343;J2O13_03G006134;J2O13_03G006280;J2O13_03G006411;J2O13_03G006898;J2O13_03G006918;J2O13_04G007505;J2O13_04G007514;J2O13_04G007706;J2O13_04G007971;J2O13_05G009435;J2O13_05G009993;J2O13_05G010229;J2O13_05G010526;J2O13_05G010638;J2O13_05G010744;J2O13_05G011748;J2O13_06G013339;J2O13_06G013562;J2O13_07G015103;J2O13_08G017706;J2O13_08G018879;J2O13_09G019667;J2O13_09G021408;J2O13_09G021463;J2O13_09G021500;J2O13_09G021933;J2O13_10G024430</t>
  </si>
  <si>
    <t>GO:0005506</t>
  </si>
  <si>
    <t>iron ion binding</t>
  </si>
  <si>
    <t>J2O13_01G001485;J2O13_01G001581;J2O13_01G002612;J2O13_02G003029;J2O13_02G004528;J2O13_02G004666;J2O13_02G004700;J2O13_03G005684;J2O13_03G005705;J2O13_03G006752;J2O13_03G006915;J2O13_04G007115;J2O13_04G007468;J2O13_04G007782;J2O13_04G008667;J2O13_05G010193;J2O13_05G010220;J2O13_05G010355;J2O13_05G011068;J2O13_06G013943;J2O13_06G013990;J2O13_06G014267;J2O13_07G015008;J2O13_07G016500;J2O13_07G016603;J2O13_07G016644;J2O13_08G017454;J2O13_08G018880;J2O13_08G019206;J2O13_08G019409;J2O13_09G019764;J2O13_09G019813;J2O13_09G019814;J2O13_09G020121;J2O13_09G020122;J2O13_09G020540;J2O13_09G021640;J2O13_09G021641;J2O13_10G022341;J2O13_10G022344;J2O13_10G023597;J2O13_10G023761</t>
  </si>
  <si>
    <t>GO:0016616</t>
  </si>
  <si>
    <t>oxidoreductase activity, acting on the CH-OH group of donors, NAD or NADP as acceptor</t>
  </si>
  <si>
    <t>J2O13_01G000748;J2O13_02G004913;J2O13_02G005035;J2O13_03G006707;J2O13_04G007592;J2O13_04G008435;J2O13_05G009427;J2O13_08G017524</t>
  </si>
  <si>
    <t>GO:0008083</t>
  </si>
  <si>
    <t>growth factor activity</t>
  </si>
  <si>
    <t>J2O13_01G000125;J2O13_01G002871;J2O13_09G021552;J2O13_10G022296</t>
  </si>
  <si>
    <t>GO:0071704</t>
  </si>
  <si>
    <t>organic substance metabolic process</t>
  </si>
  <si>
    <t>J2O13_01G001343;J2O13_02G004762;J2O13_09G021444;J2O13_09G021445</t>
  </si>
  <si>
    <t>GO:0009699</t>
  </si>
  <si>
    <t>phenylpropanoid biosynthetic process</t>
  </si>
  <si>
    <t>J2O13_02G005035;J2O13_03G006386;J2O13_04G008266;J2O13_05G010151;J2O13_05G012497;J2O13_07G016295;J2O13_07G017020;J2O13_08G017831</t>
  </si>
  <si>
    <t>GO:0008970</t>
  </si>
  <si>
    <t>phospholipase A1 activity</t>
  </si>
  <si>
    <t>J2O13_01G000832;J2O13_01G001512;J2O13_04G007265;J2O13_05G010627;J2O13_05G011998;J2O13_09G021842</t>
  </si>
  <si>
    <t>GO:0015250</t>
  </si>
  <si>
    <t>water channel activity</t>
  </si>
  <si>
    <t>J2O13_05G012054;J2O13_07G015196;J2O13_07G016330;J2O13_08G018964;J2O13_08G019153;J2O13_10G022141</t>
  </si>
  <si>
    <t>GO:0009862</t>
  </si>
  <si>
    <t>systemic acquired resistance, salicylic acid mediated signaling pathway</t>
  </si>
  <si>
    <t>J2O13_02G004182;J2O13_03G005766;J2O13_04G008718;J2O13_07G015621;J2O13_09G020874</t>
  </si>
  <si>
    <t>GO:0009505</t>
  </si>
  <si>
    <t>plant-type cell wall</t>
  </si>
  <si>
    <t>J2O13_01G001487;J2O13_01G002690;J2O13_02G003613;J2O13_02G003875;J2O13_02G003876;J2O13_02G004216;J2O13_02G004268;J2O13_03G005308;J2O13_03G005333;J2O13_03G005917;J2O13_03G006087;J2O13_03G006749;J2O13_04G007501;J2O13_04G007700;J2O13_04G007969;J2O13_04G008432;J2O13_04G008634;J2O13_05G010528;J2O13_05G012401;J2O13_06G013210;J2O13_06G013977;J2O13_06G014716;J2O13_08G018197;J2O13_08G019240;J2O13_09G019632;J2O13_09G019633;J2O13_09G019681;J2O13_09G019698;J2O13_09G020236;J2O13_10G022125;J2O13_10G023409;J2O13_10G023993;J2O13_10G024541</t>
  </si>
  <si>
    <t>GO:0015185</t>
  </si>
  <si>
    <t>gamma-aminobutyric acid transmembrane transporter activity</t>
  </si>
  <si>
    <t>J2O13_01G000825;J2O13_07G015062;J2O13_08G019116</t>
  </si>
  <si>
    <t>GO:0015812</t>
  </si>
  <si>
    <t>gamma-aminobutyric acid transport</t>
  </si>
  <si>
    <t>GO:0010597</t>
  </si>
  <si>
    <t>green leaf volatile biosynthetic process</t>
  </si>
  <si>
    <t>J2O13_03G006386;J2O13_04G007203;J2O13_05G012160;J2O13_07G017020;J2O13_08G018376;J2O13_09G020201;J2O13_09G020540</t>
  </si>
  <si>
    <t>GO:0051259</t>
  </si>
  <si>
    <t>protein complex oligomerization</t>
  </si>
  <si>
    <t>J2O13_01G002775;J2O13_01G002779;J2O13_03G005545;J2O13_03G005546;J2O13_07G015378;J2O13_07G015379;J2O13_07G016174</t>
  </si>
  <si>
    <t>GO:0002238</t>
  </si>
  <si>
    <t>response to molecule of fungal origin</t>
  </si>
  <si>
    <t>J2O13_05G010759;J2O13_05G010760;J2O13_05G010762;J2O13_07G015555;J2O13_07G016684;J2O13_07G016685;J2O13_08G017660;J2O13_08G017831;J2O13_10G023492</t>
  </si>
  <si>
    <t>GO:0010067</t>
  </si>
  <si>
    <t>procambium histogenesis</t>
  </si>
  <si>
    <t>J2O13_03G005440;J2O13_04G007598;J2O13_04G007951;J2O13_05G010540</t>
  </si>
  <si>
    <t>GO:1900057</t>
  </si>
  <si>
    <t>positive regulation of leaf senescence</t>
  </si>
  <si>
    <t>J2O13_05G009319;J2O13_05G010788;J2O13_06G013821;J2O13_09G020560</t>
  </si>
  <si>
    <t>GO:2000031</t>
  </si>
  <si>
    <t>regulation of salicylic acid mediated signaling pathway</t>
  </si>
  <si>
    <t>J2O13_03G005766;J2O13_03G006059;J2O13_04G008167;J2O13_04G008718;J2O13_05G012665;J2O13_07G016880;J2O13_07G017130;J2O13_08G017950;J2O13_09G020874</t>
  </si>
  <si>
    <t>GO:0008324</t>
  </si>
  <si>
    <t>cation transmembrane transporter activity</t>
  </si>
  <si>
    <t>J2O13_03G005675;J2O13_06G014086;J2O13_06G014087;J2O13_10G023967;J2O13_10G023968</t>
  </si>
  <si>
    <t>GO:0009688</t>
  </si>
  <si>
    <t>abscisic acid biosynthetic process</t>
  </si>
  <si>
    <t>J2O13_05G010848;J2O13_06G013534;J2O13_06G014681;J2O13_08G018406;J2O13_09G019972</t>
  </si>
  <si>
    <t>GO:0016208</t>
  </si>
  <si>
    <t>AMP binding</t>
  </si>
  <si>
    <t>J2O13_04G008461;J2O13_05G009496;J2O13_05G011399;J2O13_07G015012;J2O13_07G015038</t>
  </si>
  <si>
    <t>GO:0015171</t>
  </si>
  <si>
    <t>amino acid transmembrane transporter activity</t>
  </si>
  <si>
    <t>J2O13_01G000605;J2O13_01G000825;J2O13_02G004649;J2O13_04G008894;J2O13_05G010428;J2O13_05G011937;J2O13_07G015062;J2O13_07G016096;J2O13_08G019116</t>
  </si>
  <si>
    <t>GO:0009695</t>
  </si>
  <si>
    <t>jasmonic acid biosynthetic process</t>
  </si>
  <si>
    <t>J2O13_03G005700;J2O13_03G005917;J2O13_05G011011;J2O13_08G018376;J2O13_09G019727;J2O13_09G020482</t>
  </si>
  <si>
    <t>GO:0042128</t>
  </si>
  <si>
    <t>nitrate assimilation</t>
  </si>
  <si>
    <t>J2O13_01G000684;J2O13_04G007780;J2O13_04G007868;J2O13_04G008427;J2O13_05G011208;J2O13_09G019868;J2O13_10G023011</t>
  </si>
  <si>
    <t>J2O13_01G000445;J2O13_01G000862;J2O13_01G001449;J2O13_02G004020;J2O13_02G004595;J2O13_02G004917;J2O13_02G005061;J2O13_04G007674;J2O13_04G008139;J2O13_04G008847;J2O13_04G008902;J2O13_06G013013;J2O13_06G013302;J2O13_06G014052;J2O13_07G017353;J2O13_07G017354;J2O13_07G017355;J2O13_09G021805;J2O13_09G021942;J2O13_09G021943;J2O13_09G022006;J2O13_10G022496;J2O13_10G023837;J2O13_10G023993;J2O13_10G024408;J2O13_10G024579</t>
  </si>
  <si>
    <t>GO:0002240</t>
  </si>
  <si>
    <t>response to molecule of oomycetes origin</t>
  </si>
  <si>
    <t>J2O13_07G015555;J2O13_07G016684;J2O13_07G016685;J2O13_08G017660</t>
  </si>
  <si>
    <t>GO:0005544</t>
  </si>
  <si>
    <t>calcium-dependent phospholipid binding</t>
  </si>
  <si>
    <t>J2O13_07G017353;J2O13_07G017354;J2O13_07G017355;J2O13_10G023993</t>
  </si>
  <si>
    <t>GO:0002239</t>
  </si>
  <si>
    <t>response to oomycetes</t>
  </si>
  <si>
    <t>J2O13_01G001385;J2O13_01G002166;J2O13_07G016684;J2O13_07G016685;J2O13_09G021167</t>
  </si>
  <si>
    <t>GO:0015116</t>
  </si>
  <si>
    <t>sulfate transmembrane transporter activity</t>
  </si>
  <si>
    <t>J2O13_02G004335;J2O13_06G013276;J2O13_09G021404</t>
  </si>
  <si>
    <t>GO:0016621</t>
  </si>
  <si>
    <t>cinnamoyl-CoA reductase activity</t>
  </si>
  <si>
    <t>J2O13_02G005035;J2O13_03G006386;J2O13_07G017020</t>
  </si>
  <si>
    <t>GO:0018685</t>
  </si>
  <si>
    <t>alkane 1-monooxygenase activity</t>
  </si>
  <si>
    <t>J2O13_05G010220;J2O13_07G015008;J2O13_10G022344</t>
  </si>
  <si>
    <t>GO:0042170</t>
  </si>
  <si>
    <t>plastid membrane</t>
  </si>
  <si>
    <t>J2O13_02G005036;J2O13_04G009251;J2O13_05G012447</t>
  </si>
  <si>
    <t>GO:0048530</t>
  </si>
  <si>
    <t>fruit morphogenesis</t>
  </si>
  <si>
    <t>J2O13_01G000909;J2O13_05G010622;J2O13_08G019173</t>
  </si>
  <si>
    <t>GO:0010333</t>
  </si>
  <si>
    <t>terpene synthase activity</t>
  </si>
  <si>
    <t>J2O13_01G000996;J2O13_02G003635;J2O13_03G005684;J2O13_04G007136;J2O13_05G011370;J2O13_07G016500</t>
  </si>
  <si>
    <t>GO:0031347</t>
  </si>
  <si>
    <t>regulation of defense response</t>
  </si>
  <si>
    <t>J2O13_01G001481;J2O13_03G005193;J2O13_03G005611;J2O13_03G005661;J2O13_04G008105;J2O13_05G010851;J2O13_07G016132;J2O13_07G016481;J2O13_08G017823</t>
  </si>
  <si>
    <t>GO:0099503</t>
  </si>
  <si>
    <t>secretory vesicle</t>
  </si>
  <si>
    <t>J2O13_01G002859;J2O13_02G004337;J2O13_03G006254;J2O13_04G007604;J2O13_04G007690;J2O13_05G011068;J2O13_05G012401;J2O13_07G015148;J2O13_07G015621;J2O13_08G017509;J2O13_08G018961;J2O13_09G019681;J2O13_09G020076;J2O13_09G020701;J2O13_09G021550</t>
  </si>
  <si>
    <t>GO:0004497</t>
  </si>
  <si>
    <t>monooxygenase activity</t>
  </si>
  <si>
    <t>J2O13_02G003029;J2O13_02G004528;J2O13_02G004666;J2O13_02G004700;J2O13_03G005705;J2O13_03G006883;J2O13_04G007115;J2O13_04G008667;J2O13_05G011068;J2O13_05G011275;J2O13_06G013990;J2O13_06G014267;J2O13_07G016603;J2O13_08G017454;J2O13_08G019206;J2O13_09G019764;J2O13_09G020121;J2O13_09G020540;J2O13_09G021167;J2O13_09G021640;J2O13_10G022341;J2O13_10G023761</t>
  </si>
  <si>
    <t>GO:0004568</t>
  </si>
  <si>
    <t>chitinase activity</t>
  </si>
  <si>
    <t>J2O13_01G001313;J2O13_03G006254;J2O13_05G012515;J2O13_07G015291;J2O13_07G015428</t>
  </si>
  <si>
    <t>GO:0034440</t>
  </si>
  <si>
    <t>lipid oxidation</t>
  </si>
  <si>
    <t>GO:0060918</t>
  </si>
  <si>
    <t>auxin transport</t>
  </si>
  <si>
    <t>J2O13_01G000487;J2O13_03G005555;J2O13_03G005715;J2O13_07G016528</t>
  </si>
  <si>
    <t>GO:0004672</t>
  </si>
  <si>
    <t>protein kinase activity</t>
  </si>
  <si>
    <t>J2O13_01G000480;J2O13_01G001275;J2O13_01G001588;J2O13_01G001648;J2O13_01G001649;J2O13_01G001650;J2O13_02G003490;J2O13_02G004558;J2O13_02G005047;J2O13_03G005856;J2O13_04G007343;J2O13_04G007615;J2O13_04G008494;J2O13_05G009319;J2O13_05G010128;J2O13_05G010445;J2O13_05G010640;J2O13_05G010720;J2O13_05G012117;J2O13_06G013821;J2O13_08G017823;J2O13_08G019544;J2O13_09G019871;J2O13_09G020206;J2O13_09G020560;J2O13_10G022272;J2O13_10G022496;J2O13_10G024330</t>
  </si>
  <si>
    <t>GO:0003333</t>
  </si>
  <si>
    <t>amino acid transmembrane transport</t>
  </si>
  <si>
    <t>J2O13_01G000605;J2O13_01G000825;J2O13_02G004649;J2O13_05G010428;J2O13_05G011937;J2O13_07G015062;J2O13_07G016096;J2O13_08G019116</t>
  </si>
  <si>
    <t>GO:0019901</t>
  </si>
  <si>
    <t>protein kinase binding</t>
  </si>
  <si>
    <t>J2O13_03G005911;J2O13_05G009319;J2O13_05G010971;J2O13_05G011399;J2O13_05G011592;J2O13_06G013821;J2O13_09G020560;J2O13_10G024312</t>
  </si>
  <si>
    <t>GO:0045892</t>
  </si>
  <si>
    <t>negative regulation of DNA-templated transcription</t>
  </si>
  <si>
    <t>J2O13_01G001574;J2O13_03G005193;J2O13_04G007717;J2O13_05G009444;J2O13_05G011392;J2O13_06G013234;J2O13_06G013818;J2O13_06G014055;J2O13_06G014906;J2O13_07G017171;J2O13_08G017585;J2O13_08G018843;J2O13_09G019765;J2O13_09G020557;J2O13_09G020872;J2O13_09G021594;J2O13_09G022044;J2O13_10G022432;J2O13_10G023417;J2O13_10G024157;J2O13_10G024521</t>
  </si>
  <si>
    <t>GO:0008810</t>
  </si>
  <si>
    <t>cellulase activity</t>
  </si>
  <si>
    <t>J2O13_01G001146;J2O13_02G003613;J2O13_05G010090;J2O13_05G010953;J2O13_09G019561</t>
  </si>
  <si>
    <t>GO:0003824</t>
  </si>
  <si>
    <t>catalytic activity</t>
  </si>
  <si>
    <t>J2O13_10G023779;J2O13_10G023830;J2O13_10G023835</t>
  </si>
  <si>
    <t>GO:0009554</t>
  </si>
  <si>
    <t>megasporogenesis</t>
  </si>
  <si>
    <t>J2O13_01G000654;J2O13_05G009291;J2O13_09G021571</t>
  </si>
  <si>
    <t>GO:0016881</t>
  </si>
  <si>
    <t>acid-amino acid ligase activity</t>
  </si>
  <si>
    <t>J2O13_06G014014;J2O13_08G017555;J2O13_09G021636</t>
  </si>
  <si>
    <t>GO:0042221</t>
  </si>
  <si>
    <t>response to chemical</t>
  </si>
  <si>
    <t>J2O13_06G013495;J2O13_06G013496;J2O13_10G023885</t>
  </si>
  <si>
    <t>GO:0009944</t>
  </si>
  <si>
    <t>polarity specification of adaxial/abaxial axis</t>
  </si>
  <si>
    <t>J2O13_06G013773;J2O13_07G015190;J2O13_09G019559;J2O13_10G023387;J2O13_10G023417;J2O13_10G024157</t>
  </si>
  <si>
    <t>GO:0046910</t>
  </si>
  <si>
    <t>pectinesterase inhibitor activity</t>
  </si>
  <si>
    <t>J2O13_01G001119;J2O13_01G001144;J2O13_03G005621;J2O13_03G005622;J2O13_05G010952;J2O13_06G013941</t>
  </si>
  <si>
    <t>GO:2000280</t>
  </si>
  <si>
    <t>regulation of root development</t>
  </si>
  <si>
    <t>J2O13_01G000125;J2O13_01G000129;J2O13_01G002193;J2O13_03G006208;J2O13_04G007363;J2O13_04G008915;J2O13_05G009760;J2O13_05G010707;J2O13_09G021646;J2O13_10G023354;J2O13_10G023534</t>
  </si>
  <si>
    <t>GO:0048544</t>
  </si>
  <si>
    <t>recognition of pollen</t>
  </si>
  <si>
    <t>J2O13_01G001593;J2O13_03G005112;J2O13_04G007355;J2O13_06G014020;J2O13_06G014051;J2O13_06G014070;J2O13_09G021972;J2O13_10G022297;J2O13_10G024443</t>
  </si>
  <si>
    <t>GO:1902074</t>
  </si>
  <si>
    <t>response to salt</t>
  </si>
  <si>
    <t>J2O13_01G001261;J2O13_03G006059;J2O13_05G012125;J2O13_05G012665;J2O13_07G015335;J2O13_07G016440;J2O13_07G016880;J2O13_08G017950;J2O13_09G021147;J2O13_10G024157</t>
  </si>
  <si>
    <t>GO:0090575</t>
  </si>
  <si>
    <t>RNA polymerase II transcription regulator complex</t>
  </si>
  <si>
    <t>J2O13_04G007514;J2O13_04G007971;J2O13_05G010526;J2O13_09G021933</t>
  </si>
  <si>
    <t>GO:0009740</t>
  </si>
  <si>
    <t>gibberellic acid mediated signaling pathway</t>
  </si>
  <si>
    <t>J2O13_01G001070;J2O13_01G001574;J2O13_02G004027;J2O13_02G004463;J2O13_02G004701;J2O13_03G006411;J2O13_04G007706;J2O13_04G008475;J2O13_05G011941;J2O13_07G014939;J2O13_07G016689;J2O13_09G021827;J2O13_10G023687</t>
  </si>
  <si>
    <t>GO:0010224</t>
  </si>
  <si>
    <t>response to UV-B</t>
  </si>
  <si>
    <t>J2O13_01G001585;J2O13_03G006059;J2O13_05G010643;J2O13_05G011501;J2O13_05G011502;J2O13_05G012665;J2O13_07G015344;J2O13_07G016880;J2O13_08G017950;J2O13_09G019817;J2O13_09G021628</t>
  </si>
  <si>
    <t>GO:0010150</t>
  </si>
  <si>
    <t>leaf senescence</t>
  </si>
  <si>
    <t>J2O13_01G001385;J2O13_01G001521;J2O13_01G002166;J2O13_01G002279;J2O13_02G004182;J2O13_03G005675;J2O13_04G007432;J2O13_04G007717;J2O13_05G010575;J2O13_05G010643;J2O13_06G014735;J2O13_07G017018;J2O13_07G017171;J2O13_09G020872;J2O13_09G020874;J2O13_09G021880;J2O13_10G022447;J2O13_10G024521</t>
  </si>
  <si>
    <t>GO:0006032</t>
  </si>
  <si>
    <t>chitin catabolic process</t>
  </si>
  <si>
    <t>GO:0010105</t>
  </si>
  <si>
    <t>negative regulation of ethylene-activated signaling pathway</t>
  </si>
  <si>
    <t>J2O13_02G003959;J2O13_03G005267;J2O13_06G013355;J2O13_06G014906;J2O13_09G020874</t>
  </si>
  <si>
    <t>GO:0030245</t>
  </si>
  <si>
    <t>cellulose catabolic process</t>
  </si>
  <si>
    <t>GO:0046933</t>
  </si>
  <si>
    <t>proton-transporting ATP synthase activity, rotational mechanism</t>
  </si>
  <si>
    <t>J2O13_01G000180;J2O13_04G009153;J2O13_06G014234;J2O13_06G014413;J2O13_08G018503;J2O13_08G018504;J2O13_08G018693;J2O13_08G018881;J2O13_08G018889</t>
  </si>
  <si>
    <t>GO:0016705</t>
  </si>
  <si>
    <t>oxidoreductase activity, acting on paired donors, with incorporation or reduction of molecular oxygen</t>
  </si>
  <si>
    <t>J2O13_02G004528;J2O13_02G004666;J2O13_02G004700;J2O13_03G005705;J2O13_04G007115;J2O13_04G007782;J2O13_05G011068;J2O13_05G011275;J2O13_06G013990;J2O13_06G014267;J2O13_08G019206;J2O13_09G019764;J2O13_09G020540;J2O13_09G021640;J2O13_10G022341;J2O13_10G023761</t>
  </si>
  <si>
    <t>GO:0009409</t>
  </si>
  <si>
    <t>response to cold</t>
  </si>
  <si>
    <t>J2O13_01G000161;J2O13_01G001421;J2O13_01G001457;J2O13_02G004218;J2O13_03G006059;J2O13_04G007432;J2O13_04G007519;J2O13_04G007604;J2O13_04G008041;J2O13_04G008587;J2O13_05G009609;J2O13_05G010536;J2O13_05G011501;J2O13_05G011502;J2O13_05G012012;J2O13_05G012665;J2O13_07G015344;J2O13_07G016512;J2O13_07G016880;J2O13_07G017354;J2O13_07G017355;J2O13_08G017950;J2O13_09G019960;J2O13_09G020786;J2O13_09G021594;J2O13_10G022137;J2O13_10G023554;J2O13_10G023993;J2O13_10G024121;J2O13_10G024477</t>
  </si>
  <si>
    <t>GO:0000428</t>
  </si>
  <si>
    <t>DNA-directed RNA polymerase complex</t>
  </si>
  <si>
    <t>J2O13_02G002944;J2O13_03G006898;J2O13_08G018505;J2O13_08G018879;J2O13_10G022811;J2O13_10G023263;J2O13_10G023264</t>
  </si>
  <si>
    <t>GO:0009228</t>
  </si>
  <si>
    <t>thiamine biosynthetic process</t>
  </si>
  <si>
    <t>J2O13_03G006442;J2O13_06G013092;J2O13_06G013943;J2O13_09G021438</t>
  </si>
  <si>
    <t>GO:0009694</t>
  </si>
  <si>
    <t>jasmonic acid metabolic process</t>
  </si>
  <si>
    <t>J2O13_04G007782;J2O13_05G011501;J2O13_05G011502;J2O13_07G016364</t>
  </si>
  <si>
    <t>GO:0006812</t>
  </si>
  <si>
    <t>cation transport</t>
  </si>
  <si>
    <t>J2O13_03G005675;J2O13_10G023967;J2O13_10G023968</t>
  </si>
  <si>
    <t>GO:0006814</t>
  </si>
  <si>
    <t>sodium ion transport</t>
  </si>
  <si>
    <t>GO:0048759</t>
  </si>
  <si>
    <t>xylem vessel member cell differentiation</t>
  </si>
  <si>
    <t>J2O13_02G003749;J2O13_05G012661;J2O13_06G013156</t>
  </si>
  <si>
    <t>GO:2000038</t>
  </si>
  <si>
    <t>regulation of stomatal complex development</t>
  </si>
  <si>
    <t>GO:0009809</t>
  </si>
  <si>
    <t>lignin biosynthetic process</t>
  </si>
  <si>
    <t>J2O13_02G004014;J2O13_02G004016;J2O13_02G004913;J2O13_02G005035;J2O13_03G006386;J2O13_04G008451;J2O13_07G017020;J2O13_07G017047;J2O13_08G017524;J2O13_09G021682</t>
  </si>
  <si>
    <t>GO:0015293</t>
  </si>
  <si>
    <t>symporter activity</t>
  </si>
  <si>
    <t>J2O13_01G000684;J2O13_02G004200;J2O13_02G005028;J2O13_03G005334;J2O13_05G009464;J2O13_05G010428;J2O13_05G011208;J2O13_06G013255;J2O13_06G013276;J2O13_06G013385;J2O13_07G016280;J2O13_09G019954</t>
  </si>
  <si>
    <t>GO:0010431</t>
  </si>
  <si>
    <t>seed maturation</t>
  </si>
  <si>
    <t>J2O13_04G007351;J2O13_04G007901;J2O13_04G008041;J2O13_05G009609;J2O13_07G016468;J2O13_09G020599;J2O13_09G021827</t>
  </si>
  <si>
    <t>GO:0016788</t>
  </si>
  <si>
    <t>hydrolase activity, acting on ester bonds</t>
  </si>
  <si>
    <t>J2O13_01G001355;J2O13_02G003225;J2O13_05G010598;J2O13_05G010745;J2O13_07G016652;J2O13_09G019584;J2O13_09G021764;J2O13_10G022343;J2O13_10G024448</t>
  </si>
  <si>
    <t>J2O13_01G000923;J2O13_01G002736;J2O13_01G002739;J2O13_02G003029;J2O13_02G003801;J2O13_03G005700;J2O13_03G005757;J2O13_04G007569;J2O13_04G007817;J2O13_04G007820;J2O13_04G007969;J2O13_04G008043;J2O13_04G008667;J2O13_05G010193;J2O13_05G010816;J2O13_05G010897;J2O13_06G012929;J2O13_06G013183;J2O13_06G013184;J2O13_06G013980;J2O13_06G014513;J2O13_07G014938;J2O13_07G015660;J2O13_07G016603;J2O13_08G017454;J2O13_09G019775;J2O13_09G020106;J2O13_09G021748;J2O13_09G022006;J2O13_10G022481;J2O13_10G023650;J2O13_10G024036;J2O13_UnG024624</t>
  </si>
  <si>
    <t>GO:0042744</t>
  </si>
  <si>
    <t>hydrogen peroxide catabolic process</t>
  </si>
  <si>
    <t>GO:0009749</t>
  </si>
  <si>
    <t>response to glucose</t>
  </si>
  <si>
    <t>J2O13_01G000905;J2O13_02G003307;J2O13_05G010643;J2O13_06G013245;J2O13_07G016440;J2O13_09G021147</t>
  </si>
  <si>
    <t>GO:0002213</t>
  </si>
  <si>
    <t>defense response to insect</t>
  </si>
  <si>
    <t>J2O13_05G010459;J2O13_07G014936;J2O13_09G020122;J2O13_09G020874</t>
  </si>
  <si>
    <t>GO:0010167</t>
  </si>
  <si>
    <t>response to nitrate</t>
  </si>
  <si>
    <t>J2O13_01G001053;J2O13_01G001058;J2O13_04G007868;J2O13_05G011208</t>
  </si>
  <si>
    <t>GO:0010200</t>
  </si>
  <si>
    <t>response to chitin</t>
  </si>
  <si>
    <t>J2O13_07G015344;J2O13_07G016684;J2O13_07G016685;J2O13_10G023354</t>
  </si>
  <si>
    <t>GO:0019438</t>
  </si>
  <si>
    <t>aromatic compound biosynthetic process</t>
  </si>
  <si>
    <t>J2O13_01G001389;J2O13_05G010151;J2O13_05G012730;J2O13_09G020201</t>
  </si>
  <si>
    <t>GO:0030234</t>
  </si>
  <si>
    <t>enzyme regulator activity</t>
  </si>
  <si>
    <t>J2O13_01G000445;J2O13_02G005061;J2O13_09G021805;J2O13_10G023837</t>
  </si>
  <si>
    <t>GO:2000762</t>
  </si>
  <si>
    <t>regulation of phenylpropanoid metabolic process</t>
  </si>
  <si>
    <t>J2O13_06G013144;J2O13_07G016812;J2O13_09G019765;J2O13_10G022542</t>
  </si>
  <si>
    <t>GO:0009626</t>
  </si>
  <si>
    <t>plant-type hypersensitive response</t>
  </si>
  <si>
    <t>J2O13_01G000783;J2O13_01G001585;J2O13_02G003625;J2O13_02G004623;J2O13_04G008903;J2O13_05G010643;J2O13_05G012725;J2O13_06G014086;J2O13_06G014087;J2O13_07G016684;J2O13_07G016685;J2O13_08G017661;J2O13_08G017810;J2O13_09G019859;J2O13_09G020874</t>
  </si>
  <si>
    <t>GO:0009787</t>
  </si>
  <si>
    <t>regulation of abscisic acid-activated signaling pathway</t>
  </si>
  <si>
    <t>J2O13_03G006059;J2O13_05G012665;J2O13_07G014953;J2O13_07G016880;J2O13_08G017950;J2O13_08G019173</t>
  </si>
  <si>
    <t>GO:0031348</t>
  </si>
  <si>
    <t>negative regulation of defense response</t>
  </si>
  <si>
    <t>J2O13_01G001648;J2O13_01G001649;J2O13_01G001650;J2O13_07G016684;J2O13_07G016685;J2O13_09G020874</t>
  </si>
  <si>
    <t>J2O13_01G000480;J2O13_01G000637;J2O13_01G001588;J2O13_01G001648;J2O13_01G001649;J2O13_01G001650;J2O13_01G001996;J2O13_01G002690;J2O13_02G003613;J2O13_02G003875;J2O13_02G003876;J2O13_02G004268;J2O13_02G004350;J2O13_02G004893;J2O13_03G005333;J2O13_03G005681;J2O13_03G005782;J2O13_03G005917;J2O13_03G006640;J2O13_04G007569;J2O13_04G007615;J2O13_04G007700;J2O13_04G008088;J2O13_04G008432;J2O13_04G008451;J2O13_04G008494;J2O13_04G008594;J2O13_05G009291;J2O13_05G009695;J2O13_05G010334;J2O13_05G010528;J2O13_05G010962;J2O13_05G011653;J2O13_05G012045;J2O13_05G012455;J2O13_05G012699;J2O13_05G012712;J2O13_06G013480;J2O13_06G014020;J2O13_07G015366;J2O13_07G015621;J2O13_07G016132;J2O13_07G016330;J2O13_07G017354;J2O13_08G017835;J2O13_08G018197;J2O13_08G018931;J2O13_08G019240;J2O13_08G019291;J2O13_08G019293;J2O13_09G019698;J2O13_09G019871;J2O13_09G019954;J2O13_09G020206;J2O13_09G020236;J2O13_09G020425;J2O13_09G020482;J2O13_09G021961;J2O13_10G022447;J2O13_10G022699;J2O13_10G022917;J2O13_10G023993;J2O13_10G023996;J2O13_10G024498;J2O13_10G024541</t>
  </si>
  <si>
    <t>GO:0006880</t>
  </si>
  <si>
    <t>intracellular sequestering of iron ion</t>
  </si>
  <si>
    <t>J2O13_05G011608;J2O13_05G011609;J2O13_09G020136</t>
  </si>
  <si>
    <t>GO:0045551</t>
  </si>
  <si>
    <t>cinnamyl-alcohol dehydrogenase activity</t>
  </si>
  <si>
    <t>J2O13_02G004913;J2O13_04G008634;J2O13_08G017524</t>
  </si>
  <si>
    <t>GO:0052747</t>
  </si>
  <si>
    <t>sinapyl alcohol dehydrogenase activity</t>
  </si>
  <si>
    <t>GO:0060866</t>
  </si>
  <si>
    <t>leaf abscission</t>
  </si>
  <si>
    <t>J2O13_03G005422;J2O13_03G005856;J2O13_09G020874</t>
  </si>
  <si>
    <t>GO:0009739</t>
  </si>
  <si>
    <t>response to gibberellin</t>
  </si>
  <si>
    <t>J2O13_01G000909;J2O13_01G002472;J2O13_02G004027;J2O13_04G008105;J2O13_05G011755;J2O13_05G011941;J2O13_07G014939;J2O13_07G014953;J2O13_07G016512;J2O13_08G017877;J2O13_09G019972;J2O13_10G022347</t>
  </si>
  <si>
    <t>GO:0022857</t>
  </si>
  <si>
    <t>transmembrane transporter activity</t>
  </si>
  <si>
    <t>J2O13_01G000684;J2O13_02G004335;J2O13_02G004804;J2O13_03G006404;J2O13_03G006405;J2O13_04G008427;J2O13_05G009552;J2O13_05G010314;J2O13_05G010546;J2O13_05G010679;J2O13_05G010864;J2O13_05G011208;J2O13_05G011454;J2O13_05G012063;J2O13_06G013429;J2O13_06G014883;J2O13_08G017622;J2O13_08G018738;J2O13_09G021404;J2O13_10G023011;J2O13_UnG024632;J2O13_UnG024722</t>
  </si>
  <si>
    <t>GO:0005516</t>
  </si>
  <si>
    <t>calmodulin binding</t>
  </si>
  <si>
    <t>J2O13_01G000864;J2O13_01G001593;J2O13_02G004917;J2O13_03G005112;J2O13_04G007355;J2O13_04G007848;J2O13_04G009132;J2O13_05G010575;J2O13_05G010720;J2O13_05G011214;J2O13_05G011555;J2O13_05G012117;J2O13_05G012467;J2O13_06G013300;J2O13_06G014020;J2O13_06G014051;J2O13_06G014070;J2O13_06G014086;J2O13_06G014087;J2O13_07G015221;J2O13_07G016668;J2O13_09G021880;J2O13_09G021972;J2O13_10G022496;J2O13_10G022748;J2O13_10G022802;J2O13_10G024152;J2O13_10G024399;J2O13_10G024443</t>
  </si>
  <si>
    <t>GO:0042542</t>
  </si>
  <si>
    <t>response to hydrogen peroxide</t>
  </si>
  <si>
    <t>J2O13_01G001521;J2O13_01G002775;J2O13_01G002779;J2O13_03G005545;J2O13_03G005546;J2O13_04G007848;J2O13_04G008451;J2O13_05G011011;J2O13_07G015378;J2O13_07G015379;J2O13_07G016174</t>
  </si>
  <si>
    <t>GO:0016829</t>
  </si>
  <si>
    <t>lyase activity</t>
  </si>
  <si>
    <t>J2O13_03G006059;J2O13_05G012665;J2O13_07G016880;J2O13_08G017950;J2O13_09G020540</t>
  </si>
  <si>
    <t>J2O13_03G006288;J2O13_04G007698;J2O13_05G011392;J2O13_05G011592</t>
  </si>
  <si>
    <t>GO:0005985</t>
  </si>
  <si>
    <t>sucrose metabolic process</t>
  </si>
  <si>
    <t>J2O13_01G001147;J2O13_02G003776;J2O13_03G005635;J2O13_05G011226</t>
  </si>
  <si>
    <t>GO:0071365</t>
  </si>
  <si>
    <t>cellular response to auxin stimulus</t>
  </si>
  <si>
    <t>J2O13_02G003749;J2O13_05G009796;J2O13_10G022072;J2O13_10G023681</t>
  </si>
  <si>
    <t>GO:0006334</t>
  </si>
  <si>
    <t>nucleosome assembly</t>
  </si>
  <si>
    <t>J2O13_04G008109;J2O13_04G008249;J2O13_05G010948;J2O13_05G012298;J2O13_07G015287;J2O13_07G015349</t>
  </si>
  <si>
    <t>GO:0004650</t>
  </si>
  <si>
    <t>polygalacturonase activity</t>
  </si>
  <si>
    <t>J2O13_01G001148;J2O13_05G010097;J2O13_07G016877;J2O13_08G018232;J2O13_09G019914;J2O13_09G020947;J2O13_10G024457</t>
  </si>
  <si>
    <t>GO:0051707</t>
  </si>
  <si>
    <t>response to other organism</t>
  </si>
  <si>
    <t>J2O13_05G012699;J2O13_07G017345;J2O13_08G018767;J2O13_08G019291;J2O13_08G019293;J2O13_09G020874;J2O13_10G022067;J2O13_10G022447</t>
  </si>
  <si>
    <t>GO:0009625</t>
  </si>
  <si>
    <t>response to insect</t>
  </si>
  <si>
    <t>J2O13_01G000161;J2O13_05G011011;J2O13_08G019525;J2O13_09G020874;J2O13_10G022137</t>
  </si>
  <si>
    <t>GO:0007231</t>
  </si>
  <si>
    <t>osmosensory signaling pathway</t>
  </si>
  <si>
    <t>J2O13_05G011592;J2O13_10G024579</t>
  </si>
  <si>
    <t>GO:0008106</t>
  </si>
  <si>
    <t>alcohol dehydrogenase (NADP+) activity</t>
  </si>
  <si>
    <t>J2O13_04G007675;J2O13_10G024305</t>
  </si>
  <si>
    <t>GO:0009963</t>
  </si>
  <si>
    <t>positive regulation of flavonoid biosynthetic process</t>
  </si>
  <si>
    <t>J2O13_05G009993;J2O13_07G017047</t>
  </si>
  <si>
    <t>GO:0010271</t>
  </si>
  <si>
    <t>regulation of chlorophyll catabolic process</t>
  </si>
  <si>
    <t>J2O13_01G002279;J2O13_07G017018</t>
  </si>
  <si>
    <t>GO:0015131</t>
  </si>
  <si>
    <t>oxaloacetate transmembrane transporter activity</t>
  </si>
  <si>
    <t>J2O13_02G004335;J2O13_09G021404</t>
  </si>
  <si>
    <t>GO:0015729</t>
  </si>
  <si>
    <t>oxaloacetate transport</t>
  </si>
  <si>
    <t>GO:0016985</t>
  </si>
  <si>
    <t>mannan endo-1,4-beta-mannosidase activity</t>
  </si>
  <si>
    <t>J2O13_01G001343;J2O13_02G004762</t>
  </si>
  <si>
    <t>GO:0030261</t>
  </si>
  <si>
    <t>chromosome condensation</t>
  </si>
  <si>
    <t>J2O13_05G010948;J2O13_05G012298</t>
  </si>
  <si>
    <t>GO:0033500</t>
  </si>
  <si>
    <t>carbohydrate homeostasis</t>
  </si>
  <si>
    <t>GO:0035336</t>
  </si>
  <si>
    <t>long-chain fatty-acyl-CoA metabolic process</t>
  </si>
  <si>
    <t>J2O13_07G015004;J2O13_07G015005</t>
  </si>
  <si>
    <t>GO:0045431</t>
  </si>
  <si>
    <t>flavonol synthase activity</t>
  </si>
  <si>
    <t>J2O13_05G012032;J2O13_09G021078</t>
  </si>
  <si>
    <t>GO:0045597</t>
  </si>
  <si>
    <t>positive regulation of cell differentiation</t>
  </si>
  <si>
    <t>J2O13_03G005440;J2O13_06G013562</t>
  </si>
  <si>
    <t>GO:0047165</t>
  </si>
  <si>
    <t>flavonol-3-O-beta-glucoside O-malonyltransferase activity</t>
  </si>
  <si>
    <t>J2O13_05G011795;J2O13_05G011800</t>
  </si>
  <si>
    <t>GO:0050736</t>
  </si>
  <si>
    <t>O-malonyltransferase activity</t>
  </si>
  <si>
    <t>GO:0051258</t>
  </si>
  <si>
    <t>protein polymerization</t>
  </si>
  <si>
    <t>J2O13_06G013480;J2O13_07G015338</t>
  </si>
  <si>
    <t>GO:0051365</t>
  </si>
  <si>
    <t>cellular response to potassium ion starvation</t>
  </si>
  <si>
    <t>J2O13_01G001421;J2O13_05G012712</t>
  </si>
  <si>
    <t>GO:0080019</t>
  </si>
  <si>
    <t>fatty-acyl-CoA reductase (alcohol-forming) activity</t>
  </si>
  <si>
    <t>GO:0102965</t>
  </si>
  <si>
    <t>alcohol-forming fatty acyl-CoA reductase activity</t>
  </si>
  <si>
    <t>GO:1900366</t>
  </si>
  <si>
    <t>negative regulation of defense response to insect</t>
  </si>
  <si>
    <t>J2O13_08G019409;J2O13_10G023597</t>
  </si>
  <si>
    <t>GO:0009627</t>
  </si>
  <si>
    <t>systemic acquired resistance</t>
  </si>
  <si>
    <t>J2O13_02G004182;J2O13_02G004337;J2O13_07G015621;J2O13_07G016457;J2O13_07G016684;J2O13_07G016685;J2O13_09G020874</t>
  </si>
  <si>
    <t>GO:0050135</t>
  </si>
  <si>
    <t>NAD(P)+ nucleosidase activity</t>
  </si>
  <si>
    <t>J2O13_02G003611;J2O13_02G003625;J2O13_02G003634;J2O13_02G003697;J2O13_08G017661;J2O13_08G017810;J2O13_10G024233</t>
  </si>
  <si>
    <t>GO:0061809</t>
  </si>
  <si>
    <t>NAD+ nucleotidase, cyclic ADP-ribose generating</t>
  </si>
  <si>
    <t>GO:0035435</t>
  </si>
  <si>
    <t>phosphate ion transmembrane transport</t>
  </si>
  <si>
    <t>J2O13_02G004335;J2O13_04G007674;J2O13_09G021404</t>
  </si>
  <si>
    <t>GO:0045595</t>
  </si>
  <si>
    <t>regulation of cell differentiation</t>
  </si>
  <si>
    <t>J2O13_02G004218;J2O13_04G007363;J2O13_04G008937</t>
  </si>
  <si>
    <t>GO:0016702</t>
  </si>
  <si>
    <t>oxidoreductase activity, acting on single donors with incorporation of molecular oxygen, incorporation of two atoms of oxygen</t>
  </si>
  <si>
    <t>GO:0080027</t>
  </si>
  <si>
    <t>response to herbivore</t>
  </si>
  <si>
    <t>J2O13_03G005684;J2O13_05G011370;J2O13_07G016500;J2O13_08G018376</t>
  </si>
  <si>
    <t>GO:0102483</t>
  </si>
  <si>
    <t>scopolin beta-glucosidase activity</t>
  </si>
  <si>
    <t>J2O13_03G006749;J2O13_08G018379;J2O13_08G018381;J2O13_08G018573</t>
  </si>
  <si>
    <t>GO:0045490</t>
  </si>
  <si>
    <t>pectin catabolic process</t>
  </si>
  <si>
    <t>J2O13_01G001144;J2O13_03G005621;J2O13_03G005622;J2O13_03G005856;J2O13_04G007652;J2O13_04G007847;J2O13_05G009316;J2O13_05G011262;J2O13_06G013941;J2O13_08G018232</t>
  </si>
  <si>
    <t>GO:0030527</t>
  </si>
  <si>
    <t>structural constituent of chromatin</t>
  </si>
  <si>
    <t>J2O13_02G004827;J2O13_03G006020;J2O13_04G008249;J2O13_06G013977;J2O13_07G015287;J2O13_07G015349;J2O13_07G015870</t>
  </si>
  <si>
    <t>GO:0043621</t>
  </si>
  <si>
    <t>protein self-association</t>
  </si>
  <si>
    <t>J2O13_01G002775;J2O13_01G002779;J2O13_02G004893;J2O13_03G005545;J2O13_03G005546;J2O13_03G006707;J2O13_05G010445;J2O13_05G012599;J2O13_06G013480;J2O13_07G015378;J2O13_07G015379;J2O13_07G015621;J2O13_07G016174;J2O13_08G019173;J2O13_09G019564;J2O13_09G019799;J2O13_09G021571</t>
  </si>
  <si>
    <t>GO:0009845</t>
  </si>
  <si>
    <t>seed germination</t>
  </si>
  <si>
    <t>J2O13_01G001457;J2O13_01G002193;J2O13_02G004762;J2O13_03G007008;J2O13_04G008171;J2O13_05G011556;J2O13_07G014939;J2O13_07G017155;J2O13_08G019104;J2O13_10G022347;J2O13_10G024529</t>
  </si>
  <si>
    <t>GO:0009934</t>
  </si>
  <si>
    <t>regulation of meristem structural organization</t>
  </si>
  <si>
    <t>J2O13_02G004893;J2O13_04G007924;J2O13_05G009291;J2O13_06G013296</t>
  </si>
  <si>
    <t>GO:0010928</t>
  </si>
  <si>
    <t>regulation of auxin mediated signaling pathway</t>
  </si>
  <si>
    <t>J2O13_01G002468;J2O13_07G016684;J2O13_07G016685;J2O13_08G019173</t>
  </si>
  <si>
    <t>GO:0043434</t>
  </si>
  <si>
    <t>response to peptide hormone</t>
  </si>
  <si>
    <t>J2O13_01G000129;J2O13_03G006208;J2O13_05G009760;J2O13_10G022276</t>
  </si>
  <si>
    <t>GO:0009664</t>
  </si>
  <si>
    <t>plant-type cell wall organization</t>
  </si>
  <si>
    <t>J2O13_01G000588;J2O13_01G002690;J2O13_04G008143;J2O13_08G019240;J2O13_10G023409;J2O13_10G023491;J2O13_10G023731</t>
  </si>
  <si>
    <t>GO:0008271</t>
  </si>
  <si>
    <t>secondary active sulfate transmembrane transporter activity</t>
  </si>
  <si>
    <t>J2O13_02G004200;J2O13_03G005334;J2O13_06G013276</t>
  </si>
  <si>
    <t>GO:0009407</t>
  </si>
  <si>
    <t>toxin catabolic process</t>
  </si>
  <si>
    <t>J2O13_01G002765;J2O13_01G002766;J2O13_08G019094</t>
  </si>
  <si>
    <t>GO:0030026</t>
  </si>
  <si>
    <t>cellular manganese ion homeostasis</t>
  </si>
  <si>
    <t>GO:0060548</t>
  </si>
  <si>
    <t>negative regulation of cell death</t>
  </si>
  <si>
    <t>J2O13_01G001648;J2O13_01G001649;J2O13_01G001650</t>
  </si>
  <si>
    <t>GO:0009744</t>
  </si>
  <si>
    <t>response to sucrose</t>
  </si>
  <si>
    <t>J2O13_01G000905;J2O13_02G003307;J2O13_05G010643;J2O13_06G013245;J2O13_07G016440;J2O13_08G017503;J2O13_08G018567;J2O13_09G020872</t>
  </si>
  <si>
    <t>GO:0031625</t>
  </si>
  <si>
    <t>ubiquitin protein ligase binding</t>
  </si>
  <si>
    <t>J2O13_01G001593;J2O13_03G005112;J2O13_04G007355;J2O13_05G009549;J2O13_05G010720;J2O13_05G012117;J2O13_06G014020;J2O13_06G014051;J2O13_06G014070;J2O13_09G021972;J2O13_10G024443</t>
  </si>
  <si>
    <t>GO:0042538</t>
  </si>
  <si>
    <t>hyperosmotic salinity response</t>
  </si>
  <si>
    <t>J2O13_01G000637;J2O13_01G001275;J2O13_06G013429;J2O13_06G014681;J2O13_07G015344;J2O13_08G017585;J2O13_09G021594</t>
  </si>
  <si>
    <t>GO:1900426</t>
  </si>
  <si>
    <t>positive regulation of defense response to bacterium</t>
  </si>
  <si>
    <t>J2O13_01G001585;J2O13_04G008167;J2O13_07G015050;J2O13_07G017130;J2O13_09G020874;J2O13_10G023340;J2O13_10G024331</t>
  </si>
  <si>
    <t>GO:0030247</t>
  </si>
  <si>
    <t>polysaccharide binding</t>
  </si>
  <si>
    <t>J2O13_01G001586;J2O13_01G001587;J2O13_01G001890;J2O13_04G007305;J2O13_04G008490;J2O13_04G008493;J2O13_05G009925;J2O13_05G010085;J2O13_05G011114;J2O13_07G015114;J2O13_09G019632;J2O13_09G019633</t>
  </si>
  <si>
    <t>GO:0004823</t>
  </si>
  <si>
    <t>leucine-tRNA ligase activity</t>
  </si>
  <si>
    <t>J2O13_05G009310;J2O13_07G015366</t>
  </si>
  <si>
    <t>GO:0006429</t>
  </si>
  <si>
    <t>leucyl-tRNA aminoacylation</t>
  </si>
  <si>
    <t>GO:0009800</t>
  </si>
  <si>
    <t>cinnamic acid biosynthetic process</t>
  </si>
  <si>
    <t>J2O13_03G005721;J2O13_05G012160</t>
  </si>
  <si>
    <t>GO:0009970</t>
  </si>
  <si>
    <t>cellular response to sulfate starvation</t>
  </si>
  <si>
    <t>J2O13_02G004200;J2O13_05G009999</t>
  </si>
  <si>
    <t>GO:0015140</t>
  </si>
  <si>
    <t>malate transmembrane transporter activity</t>
  </si>
  <si>
    <t>GO:0017077</t>
  </si>
  <si>
    <t>oxidative phosphorylation uncoupler activity</t>
  </si>
  <si>
    <t>GO:0033619</t>
  </si>
  <si>
    <t>membrane protein proteolysis</t>
  </si>
  <si>
    <t>J2O13_01G000307;J2O13_07G014939</t>
  </si>
  <si>
    <t>GO:0045787</t>
  </si>
  <si>
    <t>positive regulation of cell cycle</t>
  </si>
  <si>
    <t>J2O13_02G004650;J2O13_09G021762</t>
  </si>
  <si>
    <t>GO:0071423</t>
  </si>
  <si>
    <t>malate transmembrane transport</t>
  </si>
  <si>
    <t>GO:0098807</t>
  </si>
  <si>
    <t>chloroplast thylakoid membrane protein complex</t>
  </si>
  <si>
    <t>J2O13_10G024543;J2O13_10G024544</t>
  </si>
  <si>
    <t>GO:0140352</t>
  </si>
  <si>
    <t>export from cell</t>
  </si>
  <si>
    <t>J2O13_07G016684;J2O13_07G016685</t>
  </si>
  <si>
    <t>GO:0046686</t>
  </si>
  <si>
    <t>response to cadmium ion</t>
  </si>
  <si>
    <t>J2O13_02G004623;J2O13_03G005308;J2O13_03G005840;J2O13_04G008432;J2O13_04G008451;J2O13_07G016666;J2O13_09G020796;J2O13_09G021293</t>
  </si>
  <si>
    <t>GO:0009408</t>
  </si>
  <si>
    <t>response to heat</t>
  </si>
  <si>
    <t>J2O13_01G002775;J2O13_01G002779;J2O13_02G004218;J2O13_03G005545;J2O13_03G005546;J2O13_03G006059;J2O13_05G009425;J2O13_05G012665;J2O13_07G015344;J2O13_07G015378;J2O13_07G015379;J2O13_07G016174;J2O13_07G016684;J2O13_07G016685;J2O13_07G016880;J2O13_07G017354;J2O13_07G017355;J2O13_08G017877;J2O13_08G017950;J2O13_10G023993;J2O13_10G024579</t>
  </si>
  <si>
    <t>GO:0004601</t>
  </si>
  <si>
    <t>peroxidase activity</t>
  </si>
  <si>
    <t>J2O13_02G003875;J2O13_02G003876;J2O13_03G006087;J2O13_04G007501;J2O13_06G014716;J2O13_09G020839;J2O13_10G022125;J2O13_10G023993;J2O13_10G024579</t>
  </si>
  <si>
    <t>GO:0004620</t>
  </si>
  <si>
    <t>phospholipase activity</t>
  </si>
  <si>
    <t>J2O13_01G000832;J2O13_02G004623;J2O13_04G007265;J2O13_05G011998</t>
  </si>
  <si>
    <t>GO:0006817</t>
  </si>
  <si>
    <t>phosphate ion transport</t>
  </si>
  <si>
    <t>J2O13_02G005028;J2O13_06G013385;J2O13_06G014534;J2O13_09G019954</t>
  </si>
  <si>
    <t>GO:0010039</t>
  </si>
  <si>
    <t>response to iron ion</t>
  </si>
  <si>
    <t>J2O13_04G007162;J2O13_04G007163;J2O13_07G015103;J2O13_09G020121</t>
  </si>
  <si>
    <t>GO:0010044</t>
  </si>
  <si>
    <t>response to aluminum ion</t>
  </si>
  <si>
    <t>J2O13_03G005308;J2O13_07G016132;J2O13_10G022078;J2O13_10G022685</t>
  </si>
  <si>
    <t>GO:0019760</t>
  </si>
  <si>
    <t>glucosinolate metabolic process</t>
  </si>
  <si>
    <t>J2O13_04G008475;J2O13_05G011214;J2O13_09G021544;J2O13_10G024552</t>
  </si>
  <si>
    <t>GO:0016298</t>
  </si>
  <si>
    <t>lipase activity</t>
  </si>
  <si>
    <t>J2O13_02G004623;J2O13_04G008451;J2O13_05G010160;J2O13_05G010459;J2O13_06G013830;J2O13_07G016457;J2O13_09G020874</t>
  </si>
  <si>
    <t>GO:0004089</t>
  </si>
  <si>
    <t>carbonate dehydratase activity</t>
  </si>
  <si>
    <t>J2O13_04G007957;J2O13_05G009506;J2O13_10G022215</t>
  </si>
  <si>
    <t>GO:0008652</t>
  </si>
  <si>
    <t>amino acid biosynthetic process</t>
  </si>
  <si>
    <t>J2O13_03G005190;J2O13_09G021356;J2O13_10G024253</t>
  </si>
  <si>
    <t>GO:0010072</t>
  </si>
  <si>
    <t>primary shoot apical meristem specification</t>
  </si>
  <si>
    <t>J2O13_03G005440;J2O13_06G013296;J2O13_10G022072</t>
  </si>
  <si>
    <t>GO:0010629</t>
  </si>
  <si>
    <t>negative regulation of gene expression</t>
  </si>
  <si>
    <t>J2O13_01G000909;J2O13_01G001427;J2O13_05G011549</t>
  </si>
  <si>
    <t>GO:0015112</t>
  </si>
  <si>
    <t>nitrate transmembrane transporter activity</t>
  </si>
  <si>
    <t>J2O13_04G007868;J2O13_05G011208;J2O13_09G019868</t>
  </si>
  <si>
    <t>GO:0019684</t>
  </si>
  <si>
    <t>photosynthesis, light reaction</t>
  </si>
  <si>
    <t>J2O13_01G000285;J2O13_02G002974;J2O13_02G003243;J2O13_06G014407;J2O13_08G018883;J2O13_08G018884</t>
  </si>
  <si>
    <t>GO:0009607</t>
  </si>
  <si>
    <t>response to biotic stimulus</t>
  </si>
  <si>
    <t>J2O13_01G001987;J2O13_04G007281;J2O13_05G010275;J2O13_05G012467;J2O13_05G012497;J2O13_06G013640;J2O13_10G023885</t>
  </si>
  <si>
    <t>GO:0009735</t>
  </si>
  <si>
    <t>response to cytokinin</t>
  </si>
  <si>
    <t>J2O13_02G003749;J2O13_02G004078;J2O13_02G004427;J2O13_04G008105;J2O13_05G010643;J2O13_08G017503;J2O13_08G017877</t>
  </si>
  <si>
    <t>J2O13_01G001119;J2O13_04G007559;J2O13_04G007560;J2O13_05G009690;J2O13_05G010952</t>
  </si>
  <si>
    <t>GO:0008284</t>
  </si>
  <si>
    <t>positive regulation of cell population proliferation</t>
  </si>
  <si>
    <t>J2O13_03G005440;J2O13_08G017835;J2O13_08G019173;J2O13_09G020425</t>
  </si>
  <si>
    <t>GO:0010051</t>
  </si>
  <si>
    <t>xylem and phloem pattern formation</t>
  </si>
  <si>
    <t>J2O13_02G004848;J2O13_05G011568;J2O13_07G015190;J2O13_09G021808</t>
  </si>
  <si>
    <t>GO:0010052</t>
  </si>
  <si>
    <t>guard cell differentiation</t>
  </si>
  <si>
    <t>J2O13_01G000654;J2O13_02G003413;J2O13_06G013284;J2O13_06G013562</t>
  </si>
  <si>
    <t>GO:0005975</t>
  </si>
  <si>
    <t>carbohydrate metabolic process</t>
  </si>
  <si>
    <t>J2O13_01G001148;J2O13_01G001338;J2O13_01G001339;J2O13_02G004152;J2O13_02G004595;J2O13_03G005747;J2O13_03G005835;J2O13_03G006749;J2O13_04G007281;J2O13_04G007780;J2O13_05G009493;J2O13_05G010097;J2O13_06G013791;J2O13_06G014575;J2O13_06G014718;J2O13_07G016877;J2O13_08G018379;J2O13_08G018381;J2O13_08G018573;J2O13_09G019914;J2O13_09G020882;J2O13_09G020947;J2O13_09G021365;J2O13_10G024457</t>
  </si>
  <si>
    <t>GO:0046982</t>
  </si>
  <si>
    <t>protein heterodimerization activity</t>
  </si>
  <si>
    <t>J2O13_01G001217;J2O13_01G002632;J2O13_02G003749;J2O13_02G004827;J2O13_03G006020;J2O13_04G008249;J2O13_06G012916;J2O13_06G013698;J2O13_06G013977;J2O13_07G015287;J2O13_07G015349;J2O13_07G015870;J2O13_09G020951</t>
  </si>
  <si>
    <t>GO:0016740</t>
  </si>
  <si>
    <t>transferase activity</t>
  </si>
  <si>
    <t>J2O13_01G001104;J2O13_01G002641;J2O13_02G002946;J2O13_04G007305;J2O13_05G009549;J2O13_05G010085;J2O13_05G011119;J2O13_06G013373;J2O13_07G015431;J2O13_09G019972;J2O13_09G020874;J2O13_09G021053;J2O13_09G021999;J2O13_10G022517</t>
  </si>
  <si>
    <t>GO:0002237</t>
  </si>
  <si>
    <t>response to molecule of bacterial origin</t>
  </si>
  <si>
    <t>J2O13_01G000161;J2O13_03G005193;J2O13_05G012725;J2O13_07G015555;J2O13_07G016684;J2O13_07G016685;J2O13_08G017660;J2O13_10G022137;J2O13_10G023340</t>
  </si>
  <si>
    <t>GO:0004675</t>
  </si>
  <si>
    <t>transmembrane receptor protein serine/threonine kinase activity</t>
  </si>
  <si>
    <t>J2O13_01G001588;J2O13_01G002726;J2O13_04G007888;J2O13_04G008494;J2O13_05G011568;J2O13_10G023446;J2O13_10G023645</t>
  </si>
  <si>
    <t>GO:0000122</t>
  </si>
  <si>
    <t>negative regulation of transcription by RNA polymerase II</t>
  </si>
  <si>
    <t>J2O13_01G001053;J2O13_04G007744;J2O13_05G010574;J2O13_09G020951;J2O13_09G021883</t>
  </si>
  <si>
    <t>GO:0009073</t>
  </si>
  <si>
    <t>aromatic amino acid family biosynthetic process</t>
  </si>
  <si>
    <t>GO:0009641</t>
  </si>
  <si>
    <t>shade avoidance</t>
  </si>
  <si>
    <t>J2O13_01G000790;J2O13_05G010952;J2O13_07G017249</t>
  </si>
  <si>
    <t>GO:0009785</t>
  </si>
  <si>
    <t>blue light signaling pathway</t>
  </si>
  <si>
    <t>J2O13_03G005463;J2O13_05G009444;J2O13_06G014055</t>
  </si>
  <si>
    <t>GO:0010088</t>
  </si>
  <si>
    <t>phloem development</t>
  </si>
  <si>
    <t>J2O13_04G008937;J2O13_09G019799;J2O13_10G023534</t>
  </si>
  <si>
    <t>GO:0030598</t>
  </si>
  <si>
    <t>rRNA N-glycosylase activity</t>
  </si>
  <si>
    <t>J2O13_07G015012;J2O13_07G015035;J2O13_07G015038</t>
  </si>
  <si>
    <t>GO:0090729</t>
  </si>
  <si>
    <t>toxin activity</t>
  </si>
  <si>
    <t>GO:0004165</t>
  </si>
  <si>
    <t>delta(3)-delta(2)-enoyl-CoA isomerase activity</t>
  </si>
  <si>
    <t>J2O13_03G005917;J2O13_08G019178</t>
  </si>
  <si>
    <t>GO:0005199</t>
  </si>
  <si>
    <t>structural constituent of cell wall</t>
  </si>
  <si>
    <t>J2O13_03G005333;J2O13_06G013274</t>
  </si>
  <si>
    <t>GO:0008295</t>
  </si>
  <si>
    <t>spermidine biosynthetic process</t>
  </si>
  <si>
    <t>J2O13_03G006373;J2O13_06G013117</t>
  </si>
  <si>
    <t>GO:0009648</t>
  </si>
  <si>
    <t>photoperiodism</t>
  </si>
  <si>
    <t>J2O13_03G005709;J2O13_05G012599</t>
  </si>
  <si>
    <t>GO:0009828</t>
  </si>
  <si>
    <t>plant-type cell wall loosening</t>
  </si>
  <si>
    <t>J2O13_01G000112;J2O13_02G004762</t>
  </si>
  <si>
    <t>GO:0010014</t>
  </si>
  <si>
    <t>meristem initiation</t>
  </si>
  <si>
    <t>J2O13_03G005440;J2O13_07G015190</t>
  </si>
  <si>
    <t>GO:0015562</t>
  </si>
  <si>
    <t>efflux transmembrane transporter activity</t>
  </si>
  <si>
    <t>GO:0019752</t>
  </si>
  <si>
    <t>carboxylic acid metabolic process</t>
  </si>
  <si>
    <t>J2O13_02G003922;J2O13_03G005398</t>
  </si>
  <si>
    <t>GO:0031464</t>
  </si>
  <si>
    <t>Cul4A-RING E3 ubiquitin ligase complex</t>
  </si>
  <si>
    <t>J2O13_03G005391;J2O13_07G016743</t>
  </si>
  <si>
    <t>GO:0032934</t>
  </si>
  <si>
    <t>sterol binding</t>
  </si>
  <si>
    <t>J2O13_03G006946;J2O13_07G015775</t>
  </si>
  <si>
    <t>GO:0050275</t>
  </si>
  <si>
    <t>scopoletin glucosyltransferase activity</t>
  </si>
  <si>
    <t>J2O13_08G017489;J2O13_08G017490</t>
  </si>
  <si>
    <t>GO:0071323</t>
  </si>
  <si>
    <t>cellular response to chitin</t>
  </si>
  <si>
    <t>J2O13_05G010640;J2O13_09G021803</t>
  </si>
  <si>
    <t>GO:0071702</t>
  </si>
  <si>
    <t>organic substance transport</t>
  </si>
  <si>
    <t>J2O13_05G010679;J2O13_08G017622</t>
  </si>
  <si>
    <t>GO:0090447</t>
  </si>
  <si>
    <t>glycerol-3-phosphate 2-O-acyltransferase activity</t>
  </si>
  <si>
    <t>J2O13_01G000311;J2O13_05G012414</t>
  </si>
  <si>
    <t>GO:0090708</t>
  </si>
  <si>
    <t>specification of plant organ axis polarity</t>
  </si>
  <si>
    <t>J2O13_04G008915;J2O13_07G015338</t>
  </si>
  <si>
    <t>GO:0140426</t>
  </si>
  <si>
    <t>pathogen-associated molecular pattern receptor signaling pathway</t>
  </si>
  <si>
    <t>GO:1901141</t>
  </si>
  <si>
    <t>regulation of lignin biosynthetic process</t>
  </si>
  <si>
    <t>J2O13_07G016683;J2O13_09G019765</t>
  </si>
  <si>
    <t>GO:0003680</t>
  </si>
  <si>
    <t>minor groove of adenine-thymine-rich DNA binding</t>
  </si>
  <si>
    <t>J2O13_01G000176;J2O13_02G004340;J2O13_05G010379;J2O13_08G019262</t>
  </si>
  <si>
    <t>GO:0008422</t>
  </si>
  <si>
    <t>beta-glucosidase activity</t>
  </si>
  <si>
    <t>GO:0048573</t>
  </si>
  <si>
    <t>photoperiodism, flowering</t>
  </si>
  <si>
    <t>J2O13_01G001587;J2O13_04G008392;J2O13_05G011011;J2O13_05G011208;J2O13_07G014939;J2O13_UnG024649</t>
  </si>
  <si>
    <t>GO:0007165</t>
  </si>
  <si>
    <t>signal transduction</t>
  </si>
  <si>
    <t>J2O13_01G001275;J2O13_01G001421;J2O13_02G003491;J2O13_02G003611;J2O13_02G003625;J2O13_02G003634;J2O13_02G003697;J2O13_05G009319;J2O13_06G013821;J2O13_06G014725;J2O13_07G016689;J2O13_08G017459;J2O13_08G017661;J2O13_08G017810;J2O13_09G020560;J2O13_10G024233</t>
  </si>
  <si>
    <t>GO:0016709</t>
  </si>
  <si>
    <t>oxidoreductase activity, acting on paired donors, with incorporation or reduction of molecular oxygen, NAD(P)H as one donor, and incorporation of one atom of oxygen</t>
  </si>
  <si>
    <t>J2O13_01G001485;J2O13_01G002612;J2O13_04G008667;J2O13_05G010355;J2O13_07G016603;J2O13_09G019813;J2O13_09G019814;J2O13_09G021641</t>
  </si>
  <si>
    <t>GO:0009738</t>
  </si>
  <si>
    <t>abscisic acid-activated signaling pathway</t>
  </si>
  <si>
    <t>J2O13_01G000480;J2O13_02G004427;J2O13_03G005209;J2O13_03G005863;J2O13_03G005864;J2O13_03G005911;J2O13_04G007432;J2O13_04G007698;J2O13_05G009319;J2O13_05G009458;J2O13_05G009658;J2O13_05G009993;J2O13_05G010445;J2O13_05G011392;J2O13_05G012125;J2O13_06G013640;J2O13_06G013698;J2O13_06G013821;J2O13_07G014953;J2O13_07G017008;J2O13_08G017585;J2O13_08G019173;J2O13_09G020560;J2O13_09G021147;J2O13_09G021594;J2O13_09G021677;J2O13_10G022347;J2O13_10G023687</t>
  </si>
  <si>
    <t>GO:0045735</t>
  </si>
  <si>
    <t>nutrient reservoir activity</t>
  </si>
  <si>
    <t>J2O13_01G001217;J2O13_09G020599;J2O13_10G023779;J2O13_10G023830;J2O13_10G023835</t>
  </si>
  <si>
    <t>GO:0010214</t>
  </si>
  <si>
    <t>seed coat development</t>
  </si>
  <si>
    <t>J2O13_01G001119;J2O13_05G010220;J2O13_05G011556;J2O13_06G014573</t>
  </si>
  <si>
    <t>GO:0010345</t>
  </si>
  <si>
    <t>suberin biosynthetic process</t>
  </si>
  <si>
    <t>J2O13_04G007729;J2O13_07G015004;J2O13_07G015005;J2O13_08G018790</t>
  </si>
  <si>
    <t>GO:0010374</t>
  </si>
  <si>
    <t>stomatal complex development</t>
  </si>
  <si>
    <t>J2O13_02G003413;J2O13_05G009993;J2O13_06G013284;J2O13_06G013562</t>
  </si>
  <si>
    <t>GO:0045493</t>
  </si>
  <si>
    <t>xylan catabolic process</t>
  </si>
  <si>
    <t>J2O13_04G008432;J2O13_07G015811;J2O13_07G016270;J2O13_10G023997</t>
  </si>
  <si>
    <t>GO:0009653</t>
  </si>
  <si>
    <t>anatomical structure morphogenesis</t>
  </si>
  <si>
    <t>J2O13_01G000588;J2O13_05G011976;J2O13_07G016088</t>
  </si>
  <si>
    <t>GO:0010215</t>
  </si>
  <si>
    <t>cellulose microfibril organization</t>
  </si>
  <si>
    <t>J2O13_04G008248;J2O13_05G011762;J2O13_07G016076</t>
  </si>
  <si>
    <t>GO:0070696</t>
  </si>
  <si>
    <t>transmembrane receptor protein serine/threonine kinase binding</t>
  </si>
  <si>
    <t>J2O13_01G002279;J2O13_05G010636;J2O13_07G017018</t>
  </si>
  <si>
    <t>GO:0072593</t>
  </si>
  <si>
    <t>reactive oxygen species metabolic process</t>
  </si>
  <si>
    <t>J2O13_01G002193;J2O13_09G019871;J2O13_10G024579</t>
  </si>
  <si>
    <t>J2O13_01G000104;J2O13_01G000114;J2O13_01G000125;J2O13_01G000129;J2O13_01G000161;J2O13_01G000176;J2O13_01G000420;J2O13_01G000421;J2O13_01G000611;J2O13_01G000648;J2O13_01G000654;J2O13_01G000656;J2O13_01G000759;J2O13_01G000790;J2O13_01G000878;J2O13_01G000909;J2O13_01G001070;J2O13_01G001217;J2O13_01G001226;J2O13_01G001243;J2O13_01G001261;J2O13_01G001281;J2O13_01G001318;J2O13_01G001322;J2O13_01G001347;J2O13_01G001421;J2O13_01G001427;J2O13_01G001434;J2O13_01G001457;J2O13_01G001481;J2O13_01G001521;J2O13_01G001548;J2O13_01G001574;J2O13_01G001581;J2O13_01G001585;J2O13_01G002257;J2O13_01G002279;J2O13_01G002468;J2O13_01G002472;J2O13_01G002632;J2O13_02G003484;J2O13_02G003491;J2O13_02G003558;J2O13_02G003634;J2O13_02G003697;J2O13_02G003721;J2O13_02G003749;J2O13_02G003776;J2O13_02G003821;J2O13_02G003855;J2O13_02G003881;J2O13_02G003979;J2O13_02G004064;J2O13_02G004078;J2O13_02G004216;J2O13_02G004218;J2O13_02G004231;J2O13_02G004340;J2O13_02G004343;J2O13_02G004427;J2O13_02G004432;J2O13_02G004443;J2O13_02G004446;J2O13_02G004453;J2O13_02G004463;J2O13_02G004547;J2O13_02G004636;J2O13_02G004650;J2O13_02G004701;J2O13_02G004827;J2O13_02G004848;J2O13_02G004917;J2O13_02G004993;J2O13_02G005010;J2O13_02G005047;J2O13_02G005061;J2O13_03G005107;J2O13_03G005193;J2O13_03G005209;J2O13_03G005267;J2O13_03G005269;J2O13_03G005363;J2O13_03G005440;J2O13_03G005463;J2O13_03G005549;J2O13_03G005585;J2O13_03G005600;J2O13_03G005611;J2O13_03G005656;J2O13_03G005661;J2O13_03G005709;J2O13_03G005766;J2O13_03G005840;J2O13_03G005863;J2O13_03G005864;J2O13_03G005911;J2O13_03G006020;J2O13_03G006046;J2O13_03G006089;J2O13_03G006121;J2O13_03G006134;J2O13_03G006208;J2O13_03G006280;J2O13_03G006292;J2O13_03G006411;J2O13_03G006520;J2O13_03G006618;J2O13_03G006640;J2O13_03G006918;J2O13_03G006983;J2O13_03G007008;J2O13_04G007338;J2O13_04G007448;J2O13_04G007505;J2O13_04G007516;J2O13_04G007684;J2O13_04G007706;J2O13_04G007717;J2O13_04G007744;J2O13_04G007747;J2O13_04G007773;J2O13_04G007848;J2O13_04G007951;J2O13_04G008105;J2O13_04G008109;J2O13_04G008148;J2O13_04G008149;J2O13_04G008167;J2O13_04G008249;J2O13_04G008253;J2O13_04G008392;J2O13_04G008448;J2O13_04G008451;J2O13_04G008475;J2O13_04G008583;J2O13_04G008847;J2O13_04G008848;J2O13_05G009319;J2O13_05G009435;J2O13_05G009444;J2O13_05G009458;J2O13_05G009471;J2O13_05G009516;J2O13_05G009658;J2O13_05G009760;J2O13_05G009796;J2O13_05G009993;J2O13_05G010023;J2O13_05G010094;J2O13_05G010229;J2O13_05G010316;J2O13_05G010379;J2O13_05G010470;J2O13_05G010536;J2O13_05G010540;J2O13_05G010555;J2O13_05G010574;J2O13_05G010636;J2O13_05G010638;J2O13_05G010744;J2O13_05G010745;J2O13_05G010788;J2O13_05G010851;J2O13_05G010898;J2O13_05G010948;J2O13_05G010962;J2O13_05G011142;J2O13_05G011214;J2O13_05G011235;J2O13_05G011383;J2O13_05G011392;J2O13_05G011399;J2O13_05G011454;J2O13_05G011549;J2O13_05G011642;J2O13_05G011748;J2O13_05G011755;J2O13_05G011903;J2O13_05G011945;J2O13_05G011953;J2O13_05G012010;J2O13_05G012012;J2O13_05G012034;J2O13_05G012045;J2O13_05G012298;J2O13_05G012455;J2O13_05G012599;J2O13_05G012661;J2O13_05G012759;J2O13_05G012787;J2O13_05G012792;J2O13_06G012844;J2O13_06G012902;J2O13_06G012910;J2O13_06G012916;J2O13_06G012982;J2O13_06G013234;J2O13_06G013339;J2O13_06G013460;J2O13_06G013562;J2O13_06G013571;J2O13_06G013818;J2O13_06G013821;J2O13_06G013977;J2O13_06G013986;J2O13_06G014055;J2O13_06G014314;J2O13_06G014534;J2O13_06G014573;J2O13_06G014687;J2O13_06G014906;J2O13_07G014936;J2O13_07G014939;J2O13_07G014953;J2O13_07G015021;J2O13_07G015050;J2O13_07G015053;J2O13_07G015103;J2O13_07G015104;J2O13_07G015105;J2O13_07G015177;J2O13_07G015190;J2O13_07G015287;J2O13_07G015344;J2O13_07G015349;J2O13_07G015408;J2O13_07G015558;J2O13_07G015587;J2O13_07G015870;J2O13_07G016008;J2O13_07G016095;J2O13_07G016132;J2O13_07G016285;J2O13_07G016440;J2O13_07G016468;J2O13_07G016481;J2O13_07G016512;J2O13_07G016666;J2O13_07G016672;J2O13_07G016689;J2O13_07G016821;J2O13_07G017002;J2O13_07G017008;J2O13_07G017018;J2O13_07G017108;J2O13_07G017126;J2O13_07G017171;J2O13_07G017179;J2O13_07G017249;J2O13_07G017325;J2O13_08G017413;J2O13_08G017428;J2O13_08G017459;J2O13_08G017503;J2O13_08G017585;J2O13_08G017706;J2O13_08G017857;J2O13_08G018229;J2O13_08G018567;J2O13_08G018843;J2O13_08G019092;J2O13_08G019173;J2O13_08G019210;J2O13_08G019262;J2O13_08G019314;J2O13_08G019474;J2O13_08G019525;J2O13_09G019559;J2O13_09G019663;J2O13_09G019667;J2O13_09G019681;J2O13_09G019765;J2O13_09G019908;J2O13_09G019960;J2O13_09G020528;J2O13_09G020557;J2O13_09G020560;J2O13_09G020645;J2O13_09G020786;J2O13_09G020796;J2O13_09G020843;J2O13_09G020872;J2O13_09G020874;J2O13_09G020951;J2O13_09G021098;J2O13_09G021147;J2O13_09G021286;J2O13_09G021293;J2O13_09G021299;J2O13_09G021408;J2O13_09G021423;J2O13_09G021463;J2O13_09G021485;J2O13_09G021500;J2O13_09G021544;J2O13_09G021594;J2O13_09G021628;J2O13_09G021677;J2O13_09G021716;J2O13_09G021750;J2O13_09G021762;J2O13_09G021822;J2O13_09G021827;J2O13_09G021883;J2O13_09G021907;J2O13_09G021971;J2O13_09G022044;J2O13_10G022123;J2O13_10G022127;J2O13_10G022137;J2O13_10G022266;J2O13_10G022276;J2O13_10G022347;J2O13_10G022393;J2O13_10G022432;J2O13_10G022496;J2O13_10G022578;J2O13_10G022589;J2O13_10G022681;J2O13_10G022731;J2O13_10G023338;J2O13_10G023340;J2O13_10G023354;J2O13_10G023387;J2O13_10G023417;J2O13_10G023430;J2O13_10G023443;J2O13_10G023599;J2O13_10G023644;J2O13_10G023687;J2O13_10G023794;J2O13_10G023993;J2O13_10G024053;J2O13_10G024055;J2O13_10G024121;J2O13_10G024148;J2O13_10G024152;J2O13_10G024157;J2O13_10G024171;J2O13_10G024233;J2O13_10G024265;J2O13_10G024267;J2O13_10G024333;J2O13_10G024386;J2O13_10G024399;J2O13_10G024430;J2O13_10G024498;J2O13_10G024521;J2O13_10G024526;J2O13_10G024552;J2O13_10G024554;J2O13_10G024564;J2O13_UnG024649</t>
  </si>
  <si>
    <t>GO:0004805</t>
  </si>
  <si>
    <t>trehalose-phosphatase activity</t>
  </si>
  <si>
    <t>J2O13_05G011614;J2O13_09G021293</t>
  </si>
  <si>
    <t>GO:0005795</t>
  </si>
  <si>
    <t>Golgi stack</t>
  </si>
  <si>
    <t>J2O13_01G001089;J2O13_05G011432</t>
  </si>
  <si>
    <t>GO:0006839</t>
  </si>
  <si>
    <t>mitochondrial transport</t>
  </si>
  <si>
    <t>GO:0009269</t>
  </si>
  <si>
    <t>response to desiccation</t>
  </si>
  <si>
    <t>J2O13_05G009993;J2O13_07G016492</t>
  </si>
  <si>
    <t>GO:0009864</t>
  </si>
  <si>
    <t>induced systemic resistance, jasmonic acid mediated signaling pathway</t>
  </si>
  <si>
    <t>J2O13_05G011011;J2O13_06G014906</t>
  </si>
  <si>
    <t>GO:0009956</t>
  </si>
  <si>
    <t>radial pattern formation</t>
  </si>
  <si>
    <t>J2O13_05G009291;J2O13_07G015190</t>
  </si>
  <si>
    <t>GO:0010233</t>
  </si>
  <si>
    <t>phloem transport</t>
  </si>
  <si>
    <t>J2O13_05G011568;J2O13_10G023534</t>
  </si>
  <si>
    <t>GO:0015908</t>
  </si>
  <si>
    <t>fatty acid transport</t>
  </si>
  <si>
    <t>J2O13_01G001512;J2O13_05G011556</t>
  </si>
  <si>
    <t>GO:0035265</t>
  </si>
  <si>
    <t>organ growth</t>
  </si>
  <si>
    <t>J2O13_08G018931;J2O13_08G019173</t>
  </si>
  <si>
    <t>GO:0043069</t>
  </si>
  <si>
    <t>negative regulation of programmed cell death</t>
  </si>
  <si>
    <t>J2O13_08G017509;J2O13_10G024579</t>
  </si>
  <si>
    <t>GO:0047763</t>
  </si>
  <si>
    <t>caffeate O-methyltransferase activity</t>
  </si>
  <si>
    <t>J2O13_02G004014;J2O13_02G004016</t>
  </si>
  <si>
    <t>GO:0055078</t>
  </si>
  <si>
    <t>sodium ion homeostasis</t>
  </si>
  <si>
    <t>GO:0070413</t>
  </si>
  <si>
    <t>trehalose metabolism in response to stress</t>
  </si>
  <si>
    <t>J2O13_01G000795;J2O13_05G011614</t>
  </si>
  <si>
    <t>GO:1900367</t>
  </si>
  <si>
    <t>positive regulation of defense response to insect</t>
  </si>
  <si>
    <t>J2O13_05G011011;J2O13_09G020874</t>
  </si>
  <si>
    <t>GO:2000071</t>
  </si>
  <si>
    <t>regulation of defense response by callose deposition</t>
  </si>
  <si>
    <t>GO:0003899</t>
  </si>
  <si>
    <t>DNA-directed 5'-3' RNA polymerase activity</t>
  </si>
  <si>
    <t>J2O13_02G002944;J2O13_03G006898;J2O13_04G007473;J2O13_08G018505;J2O13_08G018879;J2O13_10G022811;J2O13_10G023263;J2O13_10G023264</t>
  </si>
  <si>
    <t>GO:0033612</t>
  </si>
  <si>
    <t>receptor serine/threonine kinase binding</t>
  </si>
  <si>
    <t>J2O13_01G001648;J2O13_01G001649;J2O13_01G001650;J2O13_02G004893;J2O13_04G007924</t>
  </si>
  <si>
    <t>GO:0016102</t>
  </si>
  <si>
    <t>diterpenoid biosynthetic process</t>
  </si>
  <si>
    <t>J2O13_02G003635;J2O13_04G007116;J2O13_04G007136;J2O13_05G009428;J2O13_05G011370;J2O13_06G013989</t>
  </si>
  <si>
    <t>GO:0005992</t>
  </si>
  <si>
    <t>trehalose biosynthetic process</t>
  </si>
  <si>
    <t>J2O13_01G000795;J2O13_05G011614;J2O13_09G021293</t>
  </si>
  <si>
    <t>GO:0010102</t>
  </si>
  <si>
    <t>lateral root morphogenesis</t>
  </si>
  <si>
    <t>J2O13_03G005422;J2O13_03G005856;J2O13_04G008594</t>
  </si>
  <si>
    <t>GO:0019829</t>
  </si>
  <si>
    <t>ATPase-coupled cation transmembrane transporter activity</t>
  </si>
  <si>
    <t>J2O13_01G000864;J2O13_06G013300;J2O13_10G022748</t>
  </si>
  <si>
    <t>GO:0030570</t>
  </si>
  <si>
    <t>pectate lyase activity</t>
  </si>
  <si>
    <t>J2O13_04G007847;J2O13_05G009316;J2O13_05G011262</t>
  </si>
  <si>
    <t>GO:0048354</t>
  </si>
  <si>
    <t>mucilage biosynthetic process involved in seed coat development</t>
  </si>
  <si>
    <t>J2O13_06G012855;J2O13_06G014573;J2O13_09G020882</t>
  </si>
  <si>
    <t>GO:0052544</t>
  </si>
  <si>
    <t>defense response by callose deposition in cell wall</t>
  </si>
  <si>
    <t>J2O13_01G000759;J2O13_07G016684;J2O13_07G016685</t>
  </si>
  <si>
    <t>GO:1990110</t>
  </si>
  <si>
    <t>callus formation</t>
  </si>
  <si>
    <t>J2O13_03G007008;J2O13_05G012661;J2O13_09G021677</t>
  </si>
  <si>
    <t>GO:0030154</t>
  </si>
  <si>
    <t>cell differentiation</t>
  </si>
  <si>
    <t>J2O13_01G000125;J2O13_02G003855;J2O13_02G004893;J2O13_03G005440;J2O13_04G007924;J2O13_04G008937;J2O13_05G011549;J2O13_06G014573;J2O13_07G015190;J2O13_09G019765;J2O13_09G020951;J2O13_09G021544;J2O13_09G021552;J2O13_09G021677;J2O13_10G022296;J2O13_10G023534;J2O13_10G024157</t>
  </si>
  <si>
    <t>GO:0042803</t>
  </si>
  <si>
    <t>protein homodimerization activity</t>
  </si>
  <si>
    <t>J2O13_01G000611;J2O13_01G002866;J2O13_02G003634;J2O13_02G003697;J2O13_02G003721;J2O13_02G003749;J2O13_03G005190;J2O13_03G005709;J2O13_03G006520;J2O13_05G010023;J2O13_05G010640;J2O13_05G011608;J2O13_05G012455;J2O13_05G012759;J2O13_07G015035;J2O13_07G015338;J2O13_08G017857;J2O13_08G019399;J2O13_09G019799;J2O13_09G021571;J2O13_10G022072;J2O13_10G022127;J2O13_10G022821;J2O13_10G023417;J2O13_10G023993;J2O13_10G024233</t>
  </si>
  <si>
    <t>GO:0007166</t>
  </si>
  <si>
    <t>cell surface receptor signaling pathway</t>
  </si>
  <si>
    <t>J2O13_09G019632;J2O13_09G019633;J2O13_09G021778;J2O13_10G024330;J2O13_10G024331;J2O13_10G024333</t>
  </si>
  <si>
    <t>GO:0010075</t>
  </si>
  <si>
    <t>regulation of meristem growth</t>
  </si>
  <si>
    <t>J2O13_04G007924;J2O13_04G008937;J2O13_10G022127</t>
  </si>
  <si>
    <t>GO:0015267</t>
  </si>
  <si>
    <t>channel activity</t>
  </si>
  <si>
    <t>J2O13_07G015335;J2O13_08G019355;J2O13_10G023554</t>
  </si>
  <si>
    <t>GO:0046556</t>
  </si>
  <si>
    <t>alpha-L-arabinofuranosidase activity</t>
  </si>
  <si>
    <t>J2O13_04G008432;J2O13_07G015811;J2O13_10G023997</t>
  </si>
  <si>
    <t>GO:0140359</t>
  </si>
  <si>
    <t>ABC-type transporter activity</t>
  </si>
  <si>
    <t>J2O13_03G005305;J2O13_04G008088;J2O13_07G015026;J2O13_07G015148;J2O13_07G016683;J2O13_07G016684;J2O13_07G016685;J2O13_08G018707;J2O13_08G018790;J2O13_10G022733</t>
  </si>
  <si>
    <t>GO:0000793</t>
  </si>
  <si>
    <t>condensed chromosome</t>
  </si>
  <si>
    <t>J2O13_06G012982;J2O13_10G023417</t>
  </si>
  <si>
    <t>GO:0000974</t>
  </si>
  <si>
    <t>Prp19 complex</t>
  </si>
  <si>
    <t>J2O13_02G004216;J2O13_08G019212</t>
  </si>
  <si>
    <t>GO:0004366</t>
  </si>
  <si>
    <t>glycerol-3-phosphate O-acyltransferase activity</t>
  </si>
  <si>
    <t>GO:0005216</t>
  </si>
  <si>
    <t>ion channel activity</t>
  </si>
  <si>
    <t>J2O13_06G014086;J2O13_06G014087</t>
  </si>
  <si>
    <t>GO:0005319</t>
  </si>
  <si>
    <t>lipid transporter activity</t>
  </si>
  <si>
    <t>J2O13_04G008088;J2O13_05G011556</t>
  </si>
  <si>
    <t>GO:0005504</t>
  </si>
  <si>
    <t>fatty acid binding</t>
  </si>
  <si>
    <t>J2O13_07G015621;J2O13_09G020482</t>
  </si>
  <si>
    <t>GO:0006282</t>
  </si>
  <si>
    <t>regulation of DNA repair</t>
  </si>
  <si>
    <t>J2O13_05G012455;J2O13_07G016132</t>
  </si>
  <si>
    <t>GO:0008283</t>
  </si>
  <si>
    <t>cell population proliferation</t>
  </si>
  <si>
    <t>J2O13_09G021552;J2O13_10G022296</t>
  </si>
  <si>
    <t>GO:0008610</t>
  </si>
  <si>
    <t>lipid biosynthetic process</t>
  </si>
  <si>
    <t>J2O13_05G010220;J2O13_08G018567</t>
  </si>
  <si>
    <t>GO:0009526</t>
  </si>
  <si>
    <t>plastid envelope</t>
  </si>
  <si>
    <t>J2O13_02G004349;J2O13_06G013439</t>
  </si>
  <si>
    <t>GO:0010047</t>
  </si>
  <si>
    <t>fruit dehiscence</t>
  </si>
  <si>
    <t>J2O13_02G004762;J2O13_08G018232</t>
  </si>
  <si>
    <t>GO:0010115</t>
  </si>
  <si>
    <t>regulation of abscisic acid biosynthetic process</t>
  </si>
  <si>
    <t>GO:0015114</t>
  </si>
  <si>
    <t>phosphate ion transmembrane transporter activity</t>
  </si>
  <si>
    <t>J2O13_02G005028;J2O13_04G007674</t>
  </si>
  <si>
    <t>GO:0015141</t>
  </si>
  <si>
    <t>succinate transmembrane transporter activity</t>
  </si>
  <si>
    <t>GO:0015976</t>
  </si>
  <si>
    <t>carbon utilization</t>
  </si>
  <si>
    <t>J2O13_04G007957;J2O13_05G009506</t>
  </si>
  <si>
    <t>GO:0016811</t>
  </si>
  <si>
    <t>hydrolase activity, acting on carbon-nitrogen (but not peptide) bonds, in linear amides</t>
  </si>
  <si>
    <t>J2O13_05G011119;J2O13_07G014963</t>
  </si>
  <si>
    <t>GO:0035618</t>
  </si>
  <si>
    <t>root hair</t>
  </si>
  <si>
    <t>J2O13_04G007692;J2O13_10G022685</t>
  </si>
  <si>
    <t>GO:0080162</t>
  </si>
  <si>
    <t>endoplasmic reticulum to cytosol auxin transport</t>
  </si>
  <si>
    <t>J2O13_05G012442;J2O13_05G012471</t>
  </si>
  <si>
    <t>GO:0102420</t>
  </si>
  <si>
    <t>sn-1-glycerol-3-phosphate C16:0-DCA-CoA acyl transferase activity</t>
  </si>
  <si>
    <t>GO:0006633</t>
  </si>
  <si>
    <t>fatty acid biosynthetic process</t>
  </si>
  <si>
    <t>J2O13_01G000212;J2O13_02G004666;J2O13_03G005700;J2O13_04G007203;J2O13_04G007351;J2O13_04G007519;J2O13_04G007780;J2O13_07G016498;J2O13_08G018376;J2O13_09G019727;J2O13_09G020839;J2O13_10G022949</t>
  </si>
  <si>
    <t>GO:0010029</t>
  </si>
  <si>
    <t>regulation of seed germination</t>
  </si>
  <si>
    <t>J2O13_04G008105;J2O13_05G011592;J2O13_06G012864;J2O13_07G017155;J2O13_09G021827;J2O13_10G024529</t>
  </si>
  <si>
    <t>GO:0048527</t>
  </si>
  <si>
    <t>lateral root development</t>
  </si>
  <si>
    <t>J2O13_01G000125;J2O13_01G000654;J2O13_01G002193;J2O13_02G004636;J2O13_04G007744;J2O13_05G011208</t>
  </si>
  <si>
    <t>GO:0051607</t>
  </si>
  <si>
    <t>defense response to virus</t>
  </si>
  <si>
    <t>J2O13_01G001996;J2O13_02G004623;J2O13_03G005462;J2O13_03G005819;J2O13_06G013296;J2O13_10G022447</t>
  </si>
  <si>
    <t>GO:0010025</t>
  </si>
  <si>
    <t>wax biosynthetic process</t>
  </si>
  <si>
    <t>J2O13_03G006752;J2O13_04G007519;J2O13_07G015004;J2O13_07G015005</t>
  </si>
  <si>
    <t>J2O13_04G008412;J2O13_05G011080;J2O13_07G016371;J2O13_09G019759</t>
  </si>
  <si>
    <t>GO:0042545</t>
  </si>
  <si>
    <t>cell wall modification</t>
  </si>
  <si>
    <t>J2O13_01G001144;J2O13_02G004650;J2O13_03G005621;J2O13_03G005622;J2O13_04G007652;J2O13_06G013941;J2O13_09G021762</t>
  </si>
  <si>
    <t>GO:0009044</t>
  </si>
  <si>
    <t>xylan 1,4-beta-xylosidase activity</t>
  </si>
  <si>
    <t>GO:0009294</t>
  </si>
  <si>
    <t>DNA-mediated transformation</t>
  </si>
  <si>
    <t>J2O13_05G012787;J2O13_09G021677;J2O13_10G022282</t>
  </si>
  <si>
    <t>GO:0009933</t>
  </si>
  <si>
    <t>meristem structural organization</t>
  </si>
  <si>
    <t>J2O13_01G001275;J2O13_03G005379;J2O13_05G009291</t>
  </si>
  <si>
    <t>GO:0010329</t>
  </si>
  <si>
    <t>auxin efflux transmembrane transporter activity</t>
  </si>
  <si>
    <t>J2O13_02G003959;J2O13_07G016684;J2O13_07G016685</t>
  </si>
  <si>
    <t>GO:0042594</t>
  </si>
  <si>
    <t>response to starvation</t>
  </si>
  <si>
    <t>J2O13_01G000905;J2O13_06G013245;J2O13_07G016440</t>
  </si>
  <si>
    <t>GO:0010043</t>
  </si>
  <si>
    <t>response to zinc ion</t>
  </si>
  <si>
    <t>J2O13_03G005840;J2O13_04G008451;J2O13_07G016666;J2O13_09G020796</t>
  </si>
  <si>
    <t>GO:0010252</t>
  </si>
  <si>
    <t>auxin homeostasis</t>
  </si>
  <si>
    <t>J2O13_02G003959;J2O13_06G013773;J2O13_06G014014;J2O13_07G017047</t>
  </si>
  <si>
    <t>GO:2000070</t>
  </si>
  <si>
    <t>regulation of response to water deprivation</t>
  </si>
  <si>
    <t>J2O13_03G005840;J2O13_05G011953;J2O13_07G016666;J2O13_09G021971</t>
  </si>
  <si>
    <t>GO:0005227</t>
  </si>
  <si>
    <t>calcium activated cation channel activity</t>
  </si>
  <si>
    <t>J2O13_01G000948;J2O13_09G020531</t>
  </si>
  <si>
    <t>GO:0006109</t>
  </si>
  <si>
    <t>regulation of carbohydrate metabolic process</t>
  </si>
  <si>
    <t>J2O13_08G018567;J2O13_10G022276</t>
  </si>
  <si>
    <t>GO:0010116</t>
  </si>
  <si>
    <t>positive regulation of abscisic acid biosynthetic process</t>
  </si>
  <si>
    <t>J2O13_05G012125;J2O13_07G014953</t>
  </si>
  <si>
    <t>GO:0010272</t>
  </si>
  <si>
    <t>response to silver ion</t>
  </si>
  <si>
    <t>J2O13_09G020951;J2O13_10G024157</t>
  </si>
  <si>
    <t>GO:0019899</t>
  </si>
  <si>
    <t>enzyme binding</t>
  </si>
  <si>
    <t>J2O13_04G007649;J2O13_05G011592</t>
  </si>
  <si>
    <t>GO:0045910</t>
  </si>
  <si>
    <t>negative regulation of DNA recombination</t>
  </si>
  <si>
    <t>GO:0071217</t>
  </si>
  <si>
    <t>cellular response to external biotic stimulus</t>
  </si>
  <si>
    <t>GO:0080030</t>
  </si>
  <si>
    <t>methyl indole-3-acetate esterase activity</t>
  </si>
  <si>
    <t>J2O13_05G011501;J2O13_05G011502</t>
  </si>
  <si>
    <t>GO:0080031</t>
  </si>
  <si>
    <t>methyl salicylate esterase activity</t>
  </si>
  <si>
    <t>GO:0080032</t>
  </si>
  <si>
    <t>methyl jasmonate esterase activity</t>
  </si>
  <si>
    <t>GO:0080110</t>
  </si>
  <si>
    <t>sporopollenin biosynthetic process</t>
  </si>
  <si>
    <t>J2O13_01G001485;J2O13_04G008435</t>
  </si>
  <si>
    <t>GO:0031234</t>
  </si>
  <si>
    <t>extrinsic component of cytoplasmic side of plasma membrane</t>
  </si>
  <si>
    <t>J2O13_01G000783;J2O13_04G008903;J2O13_07G015338;J2O13_09G019859</t>
  </si>
  <si>
    <t>GO:0000741</t>
  </si>
  <si>
    <t>karyogamy</t>
  </si>
  <si>
    <t>J2O13_03G006203;J2O13_05G010492;J2O13_10G022208</t>
  </si>
  <si>
    <t>GO:0005388</t>
  </si>
  <si>
    <t>P-type calcium transporter activity</t>
  </si>
  <si>
    <t>GO:0008299</t>
  </si>
  <si>
    <t>isoprenoid biosynthetic process</t>
  </si>
  <si>
    <t>GO:0015706</t>
  </si>
  <si>
    <t>nitrate transmembrane transport</t>
  </si>
  <si>
    <t>GO:0040008</t>
  </si>
  <si>
    <t>regulation of growth</t>
  </si>
  <si>
    <t>J2O13_01G000648;J2O13_03G006411;J2O13_10G024333</t>
  </si>
  <si>
    <t>GO:0070588</t>
  </si>
  <si>
    <t>calcium ion transmembrane transport</t>
  </si>
  <si>
    <t>J2O13_04G007674;J2O13_09G020010;J2O13_10G023993</t>
  </si>
  <si>
    <t>GO:0006351</t>
  </si>
  <si>
    <t>DNA-templated transcription</t>
  </si>
  <si>
    <t>J2O13_02G002944;J2O13_02G004446;J2O13_03G006898;J2O13_04G007473;J2O13_07G016512;J2O13_08G018505;J2O13_08G018879;J2O13_10G022811;J2O13_10G023263;J2O13_10G023264</t>
  </si>
  <si>
    <t>GO:0008289</t>
  </si>
  <si>
    <t>lipid binding</t>
  </si>
  <si>
    <t>J2O13_01G001591;J2O13_03G005440;J2O13_03G006809;J2O13_05G011556;J2O13_07G015190;J2O13_08G018503;J2O13_09G019681;J2O13_09G020847;J2O13_10G023681;J2O13_10G023736</t>
  </si>
  <si>
    <t>GO:0048038</t>
  </si>
  <si>
    <t>quinone binding</t>
  </si>
  <si>
    <t>J2O13_02G002974;J2O13_02G003243;J2O13_02G004023;J2O13_05G010079;J2O13_06G014407;J2O13_08G018883;J2O13_08G018884</t>
  </si>
  <si>
    <t>GO:0010015</t>
  </si>
  <si>
    <t>root morphogenesis</t>
  </si>
  <si>
    <t>J2O13_01G001574;J2O13_05G009291;J2O13_08G018197;J2O13_09G019698</t>
  </si>
  <si>
    <t>GO:0000902</t>
  </si>
  <si>
    <t>cell morphogenesis</t>
  </si>
  <si>
    <t>J2O13_04G008149;J2O13_05G011903</t>
  </si>
  <si>
    <t>GO:0004867</t>
  </si>
  <si>
    <t>serine-type endopeptidase inhibitor activity</t>
  </si>
  <si>
    <t>J2O13_01G000812;J2O13_05G012123</t>
  </si>
  <si>
    <t>GO:0006349</t>
  </si>
  <si>
    <t>regulation of gene expression by genomic imprinting</t>
  </si>
  <si>
    <t>J2O13_05G012787;J2O13_09G021677</t>
  </si>
  <si>
    <t>GO:0008519</t>
  </si>
  <si>
    <t>ammonium transmembrane transporter activity</t>
  </si>
  <si>
    <t>J2O13_06G013480;J2O13_10G024085</t>
  </si>
  <si>
    <t>GO:0009696</t>
  </si>
  <si>
    <t>salicylic acid metabolic process</t>
  </si>
  <si>
    <t>GO:0015086</t>
  </si>
  <si>
    <t>cadmium ion transmembrane transporter activity</t>
  </si>
  <si>
    <t>GO:0019887</t>
  </si>
  <si>
    <t>protein kinase regulator activity</t>
  </si>
  <si>
    <t>J2O13_04G007780;J2O13_05G011399</t>
  </si>
  <si>
    <t>GO:0019915</t>
  </si>
  <si>
    <t>lipid storage</t>
  </si>
  <si>
    <t>J2O13_04G007901;J2O13_09G021842</t>
  </si>
  <si>
    <t>GO:0047372</t>
  </si>
  <si>
    <t>acylglycerol lipase activity</t>
  </si>
  <si>
    <t>J2O13_02G004623;J2O13_09G021842</t>
  </si>
  <si>
    <t>GO:0050896</t>
  </si>
  <si>
    <t>response to stimulus</t>
  </si>
  <si>
    <t>J2O13_01G001951;J2O13_05G012586</t>
  </si>
  <si>
    <t>GO:0071219</t>
  </si>
  <si>
    <t>cellular response to molecule of bacterial origin</t>
  </si>
  <si>
    <t>J2O13_01G001585;J2O13_09G021803</t>
  </si>
  <si>
    <t>GO:0071944</t>
  </si>
  <si>
    <t>cell periphery</t>
  </si>
  <si>
    <t>J2O13_02G004762;J2O13_05G010528</t>
  </si>
  <si>
    <t>GO:0072488</t>
  </si>
  <si>
    <t>ammonium transmembrane transport</t>
  </si>
  <si>
    <t>GO:0102682</t>
  </si>
  <si>
    <t>N6-(Delta2-isopentenyl)-adenosine 5'-monophosphate phosphoribohydrolase activity</t>
  </si>
  <si>
    <t>J2O13_07G015177;J2O13_08G018229</t>
  </si>
  <si>
    <t>GO:2000023</t>
  </si>
  <si>
    <t>regulation of lateral root development</t>
  </si>
  <si>
    <t>GO:0004518</t>
  </si>
  <si>
    <t>nuclease activity</t>
  </si>
  <si>
    <t>J2O13_03G005536;J2O13_03G005737;J2O13_03G006198</t>
  </si>
  <si>
    <t>GO:0005764</t>
  </si>
  <si>
    <t>lysosome</t>
  </si>
  <si>
    <t>J2O13_05G010643;J2O13_08G019059;J2O13_10G023650</t>
  </si>
  <si>
    <t>GO:0010193</t>
  </si>
  <si>
    <t>response to ozone</t>
  </si>
  <si>
    <t>J2O13_01G001521;J2O13_02G005061;J2O13_09G019871</t>
  </si>
  <si>
    <t>GO:0010476</t>
  </si>
  <si>
    <t>gibberellin mediated signaling pathway</t>
  </si>
  <si>
    <t>J2O13_01G000909;J2O13_02G004027;J2O13_07G016689</t>
  </si>
  <si>
    <t>GO:0034765</t>
  </si>
  <si>
    <t>regulation of ion transmembrane transport</t>
  </si>
  <si>
    <t>J2O13_05G010824;J2O13_09G021942;J2O13_09G021943</t>
  </si>
  <si>
    <t>GO:0051260</t>
  </si>
  <si>
    <t>protein homooligomerization</t>
  </si>
  <si>
    <t>J2O13_02G003969;J2O13_03G006290;J2O13_04G007973</t>
  </si>
  <si>
    <t>GO:1901002</t>
  </si>
  <si>
    <t>positive regulation of response to salt stress</t>
  </si>
  <si>
    <t>J2O13_01G000654;J2O13_01G001275;J2O13_09G019765</t>
  </si>
  <si>
    <t>GO:2000067</t>
  </si>
  <si>
    <t>regulation of root morphogenesis</t>
  </si>
  <si>
    <t>J2O13_01G000125;J2O13_04G008915;J2O13_07G015338</t>
  </si>
  <si>
    <t>GO:0042802</t>
  </si>
  <si>
    <t>identical protein binding</t>
  </si>
  <si>
    <t>J2O13_01G001648;J2O13_01G001649;J2O13_01G001650;J2O13_02G003749;J2O13_02G004623;J2O13_02G004848;J2O13_03G005661;J2O13_03G005700;J2O13_04G007649;J2O13_04G008937;J2O13_05G012725;J2O13_06G012902;J2O13_06G013460;J2O13_06G013773;J2O13_07G016481;J2O13_07G016672;J2O13_08G017489;J2O13_08G017490;J2O13_10G022821;J2O13_10G023417</t>
  </si>
  <si>
    <t>GO:0009926</t>
  </si>
  <si>
    <t>auxin polar transport</t>
  </si>
  <si>
    <t>J2O13_02G003851;J2O13_02G003959;J2O13_06G013156;J2O13_07G016684;J2O13_07G016685</t>
  </si>
  <si>
    <t>GO:0006629</t>
  </si>
  <si>
    <t>lipid metabolic process</t>
  </si>
  <si>
    <t>J2O13_02G004623;J2O13_04G007351;J2O13_06G012806;J2O13_06G013164;J2O13_08G017468;J2O13_08G018567</t>
  </si>
  <si>
    <t>GO:0050829</t>
  </si>
  <si>
    <t>defense response to Gram-negative bacterium</t>
  </si>
  <si>
    <t>J2O13_03G005422;J2O13_03G005856;J2O13_09G020874;J2O13_10G024333</t>
  </si>
  <si>
    <t>GO:0000166</t>
  </si>
  <si>
    <t>nucleotide binding</t>
  </si>
  <si>
    <t>J2O13_01G000783;J2O13_01G002824;J2O13_02G004337;J2O13_03G006386;J2O13_04G008903;J2O13_07G017020;J2O13_09G019859;J2O13_09G020609</t>
  </si>
  <si>
    <t>GO:0009624</t>
  </si>
  <si>
    <t>response to nematode</t>
  </si>
  <si>
    <t>J2O13_01G000684;J2O13_01G001243;J2O13_05G012010;J2O13_08G018790;J2O13_08G019525;J2O13_09G020843;J2O13_09G020951;J2O13_10G024157</t>
  </si>
  <si>
    <t>GO:0010087</t>
  </si>
  <si>
    <t>phloem or xylem histogenesis</t>
  </si>
  <si>
    <t>J2O13_04G007161;J2O13_04G007598;J2O13_04G007951;J2O13_05G010540;J2O13_05G012010;J2O13_06G013156;J2O13_09G021750</t>
  </si>
  <si>
    <t>GO:0005384</t>
  </si>
  <si>
    <t>manganese ion transmembrane transporter activity</t>
  </si>
  <si>
    <t>GO:0043424</t>
  </si>
  <si>
    <t>protein histidine kinase binding</t>
  </si>
  <si>
    <t>J2O13_05G011592;J2O13_09G020872;J2O13_10G024265</t>
  </si>
  <si>
    <t>GO:0048511</t>
  </si>
  <si>
    <t>rhythmic process</t>
  </si>
  <si>
    <t>J2O13_02G003855;J2O13_03G005709;J2O13_10G022125</t>
  </si>
  <si>
    <t>GO:0140664</t>
  </si>
  <si>
    <t>ATP-dependent DNA damage sensor activity</t>
  </si>
  <si>
    <t>J2O13_01G000420;J2O13_04G009073;J2O13_05G012045</t>
  </si>
  <si>
    <t>GO:0008408</t>
  </si>
  <si>
    <t>3'-5' exonuclease activity</t>
  </si>
  <si>
    <t>J2O13_05G009516;J2O13_07G014936</t>
  </si>
  <si>
    <t>GO:0009574</t>
  </si>
  <si>
    <t>preprophase band</t>
  </si>
  <si>
    <t>J2O13_04G008594;J2O13_09G020843</t>
  </si>
  <si>
    <t>GO:0009938</t>
  </si>
  <si>
    <t>negative regulation of gibberellic acid mediated signaling pathway</t>
  </si>
  <si>
    <t>J2O13_07G014939;J2O13_10G023687</t>
  </si>
  <si>
    <t>GO:0010268</t>
  </si>
  <si>
    <t>brassinosteroid homeostasis</t>
  </si>
  <si>
    <t>J2O13_02G004700;J2O13_07G016603</t>
  </si>
  <si>
    <t>GO:0010380</t>
  </si>
  <si>
    <t>regulation of chlorophyll biosynthetic process</t>
  </si>
  <si>
    <t>GO:0015189</t>
  </si>
  <si>
    <t>L-lysine transmembrane transporter activity</t>
  </si>
  <si>
    <t>J2O13_04G008894;J2O13_05G010546</t>
  </si>
  <si>
    <t>GO:0016135</t>
  </si>
  <si>
    <t>saponin biosynthetic process</t>
  </si>
  <si>
    <t>J2O13_03G005705;J2O13_04G008667</t>
  </si>
  <si>
    <t>GO:0016157</t>
  </si>
  <si>
    <t>sucrose synthase activity</t>
  </si>
  <si>
    <t>J2O13_01G001147;J2O13_03G005635</t>
  </si>
  <si>
    <t>GO:0016874</t>
  </si>
  <si>
    <t>ligase activity</t>
  </si>
  <si>
    <t>J2O13_01G001581;J2O13_05G012513</t>
  </si>
  <si>
    <t>GO:0030983</t>
  </si>
  <si>
    <t>mismatched DNA binding</t>
  </si>
  <si>
    <t>J2O13_01G000420;J2O13_05G012045</t>
  </si>
  <si>
    <t>GO:0046527</t>
  </si>
  <si>
    <t>glucosyltransferase activity</t>
  </si>
  <si>
    <t>J2O13_01G001169;J2O13_09G020960</t>
  </si>
  <si>
    <t>GO:0046898</t>
  </si>
  <si>
    <t>response to cycloheximide</t>
  </si>
  <si>
    <t>GO:0048441</t>
  </si>
  <si>
    <t>petal development</t>
  </si>
  <si>
    <t>J2O13_07G016603;J2O13_09G019559</t>
  </si>
  <si>
    <t>GO:0050790</t>
  </si>
  <si>
    <t>regulation of catalytic activity</t>
  </si>
  <si>
    <t>J2O13_05G011399;J2O13_09G019564</t>
  </si>
  <si>
    <t>GO:0102373</t>
  </si>
  <si>
    <t>uvaol dehydrogenase activity</t>
  </si>
  <si>
    <t>J2O13_02G003029;J2O13_04G008667</t>
  </si>
  <si>
    <t>GO:0102374</t>
  </si>
  <si>
    <t>ursolic aldehyde 28-monooxygenase activity</t>
  </si>
  <si>
    <t>GO:0001666</t>
  </si>
  <si>
    <t>response to hypoxia</t>
  </si>
  <si>
    <t>J2O13_03G005635;J2O13_09G020874;J2O13_09G020951;J2O13_10G024157</t>
  </si>
  <si>
    <t>GO:0006816</t>
  </si>
  <si>
    <t>calcium ion transport</t>
  </si>
  <si>
    <t>J2O13_09G020627;J2O13_09G021710;J2O13_09G021942;J2O13_09G021943</t>
  </si>
  <si>
    <t>GO:0009965</t>
  </si>
  <si>
    <t>leaf morphogenesis</t>
  </si>
  <si>
    <t>J2O13_04G008448;J2O13_08G019173;J2O13_09G021677;J2O13_10G022072;J2O13_10G022266;J2O13_10G023417</t>
  </si>
  <si>
    <t>GO:0008360</t>
  </si>
  <si>
    <t>regulation of cell shape</t>
  </si>
  <si>
    <t>J2O13_01G002468;J2O13_03G005911;J2O13_09G020960</t>
  </si>
  <si>
    <t>GO:0009635</t>
  </si>
  <si>
    <t>response to herbicide</t>
  </si>
  <si>
    <t>J2O13_03G006121;J2O13_05G011208;J2O13_10G023731</t>
  </si>
  <si>
    <t>GO:0015996</t>
  </si>
  <si>
    <t>chlorophyll catabolic process</t>
  </si>
  <si>
    <t>J2O13_01G000878;J2O13_01G000879;J2O13_05G010340</t>
  </si>
  <si>
    <t>GO:0080142</t>
  </si>
  <si>
    <t>regulation of salicylic acid biosynthetic process</t>
  </si>
  <si>
    <t>J2O13_01G001585;J2O13_09G020874;J2O13_10G024399</t>
  </si>
  <si>
    <t>GO:0120251</t>
  </si>
  <si>
    <t>hydrocarbon biosynthetic process</t>
  </si>
  <si>
    <t>J2O13_02G003635;J2O13_04G007116;J2O13_04G007136</t>
  </si>
  <si>
    <t>GO:1902290</t>
  </si>
  <si>
    <t>positive regulation of defense response to oomycetes</t>
  </si>
  <si>
    <t>J2O13_04G008167;J2O13_05G012455;J2O13_07G017130</t>
  </si>
  <si>
    <t>GO:0051082</t>
  </si>
  <si>
    <t>unfolded protein binding</t>
  </si>
  <si>
    <t>J2O13_01G002775;J2O13_01G002779;J2O13_02G003212;J2O13_02G004887;J2O13_03G005545;J2O13_03G005546;J2O13_07G015378;J2O13_07G015379;J2O13_07G016174;J2O13_07G017050;J2O13_10G024408</t>
  </si>
  <si>
    <t>GO:0010091</t>
  </si>
  <si>
    <t>trichome branching</t>
  </si>
  <si>
    <t>J2O13_01G001449;J2O13_04G008149;J2O13_05G010229;J2O13_05G011903</t>
  </si>
  <si>
    <t>J2O13_04G008278;J2O13_04G008294;J2O13_05G011725;J2O13_09G020026</t>
  </si>
  <si>
    <t>GO:0045261</t>
  </si>
  <si>
    <t>proton-transporting ATP synthase complex, catalytic core F(1)</t>
  </si>
  <si>
    <t>J2O13_06G014413;J2O13_08G018693;J2O13_08G018881;J2O13_08G018889</t>
  </si>
  <si>
    <t>GO:0002161</t>
  </si>
  <si>
    <t>aminoacyl-tRNA editing activity</t>
  </si>
  <si>
    <t>GO:0009423</t>
  </si>
  <si>
    <t>chorismate biosynthetic process</t>
  </si>
  <si>
    <t>J2O13_09G021356;J2O13_10G024253</t>
  </si>
  <si>
    <t>GO:0009698</t>
  </si>
  <si>
    <t>phenylpropanoid metabolic process</t>
  </si>
  <si>
    <t>J2O13_05G012160;J2O13_06G013144</t>
  </si>
  <si>
    <t>GO:0009831</t>
  </si>
  <si>
    <t>plant-type cell wall modification involved in multidimensional cell growth</t>
  </si>
  <si>
    <t>J2O13_09G019914;J2O13_10G024457</t>
  </si>
  <si>
    <t>GO:0009901</t>
  </si>
  <si>
    <t>anther dehiscence</t>
  </si>
  <si>
    <t>J2O13_06G012916;J2O13_08G018232</t>
  </si>
  <si>
    <t>GO:0010582</t>
  </si>
  <si>
    <t>floral meristem determinacy</t>
  </si>
  <si>
    <t>J2O13_05G011549;J2O13_10G022266</t>
  </si>
  <si>
    <t>GO:0046688</t>
  </si>
  <si>
    <t>response to copper ion</t>
  </si>
  <si>
    <t>J2O13_03G005840;J2O13_07G016666</t>
  </si>
  <si>
    <t>GO:0052324</t>
  </si>
  <si>
    <t>plant-type cell wall cellulose biosynthetic process</t>
  </si>
  <si>
    <t>J2O13_04G008248;J2O13_05G011762</t>
  </si>
  <si>
    <t>GO:1901703</t>
  </si>
  <si>
    <t>protein localization involved in auxin polar transport</t>
  </si>
  <si>
    <t>J2O13_01G001243;J2O13_10G023681</t>
  </si>
  <si>
    <t>GO:1902183</t>
  </si>
  <si>
    <t>regulation of shoot apical meristem development</t>
  </si>
  <si>
    <t>J2O13_06G013296;J2O13_10G024157</t>
  </si>
  <si>
    <t>GO:0005524</t>
  </si>
  <si>
    <t>ATP binding</t>
  </si>
  <si>
    <t>J2O13_01G000161;J2O13_01G000212;J2O13_01G000420;J2O13_01G000450;J2O13_01G000480;J2O13_01G000656;J2O13_01G000783;J2O13_01G000864;J2O13_01G001275;J2O13_01G001287;J2O13_01G001338;J2O13_01G001339;J2O13_01G001421;J2O13_01G001528;J2O13_01G001586;J2O13_01G001587;J2O13_01G001588;J2O13_01G001593;J2O13_01G001648;J2O13_01G001649;J2O13_01G001650;J2O13_01G002726;J2O13_01G002866;J2O13_02G002991;J2O13_02G003212;J2O13_02G003307;J2O13_02G003490;J2O13_02G003625;J2O13_02G003766;J2O13_02G004027;J2O13_02G004323;J2O13_02G004350;J2O13_02G004446;J2O13_02G004558;J2O13_02G004642;J2O13_02G004887;J2O13_02G004893;J2O13_02G004917;J2O13_02G004993;J2O13_03G005112;J2O13_03G005256;J2O13_03G005305;J2O13_03G005379;J2O13_03G005422;J2O13_03G005685;J2O13_03G005838;J2O13_03G005856;J2O13_03G006036;J2O13_03G006046;J2O13_03G006293;J2O13_03G006379;J2O13_04G007199;J2O13_04G007308;J2O13_04G007343;J2O13_04G007347;J2O13_04G007351;J2O13_04G007355;J2O13_04G007454;J2O13_04G007598;J2O13_04G007615;J2O13_04G007780;J2O13_04G007856;J2O13_04G007888;J2O13_04G007924;J2O13_04G008041;J2O13_04G008088;J2O13_04G008167;J2O13_04G008171;J2O13_04G008183;J2O13_04G008457;J2O13_04G008490;J2O13_04G008493;J2O13_04G008494;J2O13_04G008903;J2O13_04G008915;J2O13_04G008937;J2O13_04G009073;J2O13_04G009187;J2O13_05G009310;J2O13_05G009319;J2O13_05G009411;J2O13_05G009502;J2O13_05G009609;J2O13_05G009658;J2O13_05G010040;J2O13_05G010128;J2O13_05G010251;J2O13_05G010445;J2O13_05G010640;J2O13_05G010720;J2O13_05G010971;J2O13_05G011003;J2O13_05G011114;J2O13_05G011287;J2O13_05G011568;J2O13_05G011934;J2O13_05G012006;J2O13_05G012045;J2O13_05G012114;J2O13_05G012117;J2O13_05G012136;J2O13_05G012160;J2O13_05G012401;J2O13_05G012455;J2O13_05G012699;J2O13_05G012712;J2O13_05G012725;J2O13_05G012787;J2O13_06G013300;J2O13_06G013355;J2O13_06G013821;J2O13_06G013970;J2O13_06G014020;J2O13_06G014051;J2O13_06G014070;J2O13_06G014077;J2O13_06G014413;J2O13_06G014687;J2O13_06G014695;J2O13_06G014734;J2O13_06G014800;J2O13_06G014887;J2O13_07G015021;J2O13_07G015026;J2O13_07G015050;J2O13_07G015148;J2O13_07G015366;J2O13_07G015385;J2O13_07G015431;J2O13_07G015542;J2O13_07G015587;J2O13_07G015716;J2O13_07G016008;J2O13_07G016132;J2O13_07G016501;J2O13_07G016512;J2O13_07G016642;J2O13_07G016683;J2O13_07G016684;J2O13_07G016685;J2O13_07G016689;J2O13_07G016749;J2O13_07G016811;J2O13_07G016884;J2O13_07G017039;J2O13_07G017050;J2O13_07G017068;J2O13_07G017345;J2O13_08G017428;J2O13_08G017467;J2O13_08G017661;J2O13_08G017792;J2O13_08G017810;J2O13_08G017823;J2O13_08G017905;J2O13_08G017907;J2O13_08G018262;J2O13_08G018693;J2O13_08G018707;J2O13_08G018739;J2O13_08G018762;J2O13_08G018767;J2O13_08G018790;J2O13_08G018881;J2O13_08G018889;J2O13_08G019195;J2O13_08G019233;J2O13_08G019291;J2O13_08G019293;J2O13_08G019399;J2O13_08G019544;J2O13_09G019632;J2O13_09G019633;J2O13_09G019859;J2O13_09G019870;J2O13_09G019871;J2O13_09G020206;J2O13_09G020560;J2O13_09G020845;J2O13_09G021035;J2O13_09G021044;J2O13_09G021407;J2O13_09G021652;J2O13_09G021705;J2O13_09G021778;J2O13_09G021803;J2O13_09G021972;J2O13_09G022014;J2O13_10G022067;J2O13_10G022137;J2O13_10G022272;J2O13_10G022496;J2O13_10G022733;J2O13_10G022748;J2O13_10G022751;J2O13_10G022859;J2O13_10G023446;J2O13_10G023449;J2O13_10G023492;J2O13_10G023645;J2O13_10G023993;J2O13_10G024267;J2O13_10G024330;J2O13_10G024331;J2O13_10G024333;J2O13_10G024443;J2O13_10G024498;J2O13_UnG024632</t>
  </si>
  <si>
    <t>GO:0009813</t>
  </si>
  <si>
    <t>flavonoid biosynthetic process</t>
  </si>
  <si>
    <t>J2O13_01G002166;J2O13_03G005107;J2O13_05G009427;J2O13_05G011295;J2O13_06G013980</t>
  </si>
  <si>
    <t>GO:0042973</t>
  </si>
  <si>
    <t>glucan endo-1,3-beta-D-glucosidase activity</t>
  </si>
  <si>
    <t>J2O13_03G005835;J2O13_04G007281;J2O13_06G013791;J2O13_06G014575;J2O13_06G014718</t>
  </si>
  <si>
    <t>GO:0016324</t>
  </si>
  <si>
    <t>apical plasma membrane</t>
  </si>
  <si>
    <t>J2O13_07G016076;J2O13_07G016105;J2O13_10G023534</t>
  </si>
  <si>
    <t>GO:0042631</t>
  </si>
  <si>
    <t>cellular response to water deprivation</t>
  </si>
  <si>
    <t>J2O13_01G001587;J2O13_05G009999;J2O13_UnG024632</t>
  </si>
  <si>
    <t>GO:2000024</t>
  </si>
  <si>
    <t>regulation of leaf development</t>
  </si>
  <si>
    <t>J2O13_04G007178;J2O13_08G019173;J2O13_10G024157</t>
  </si>
  <si>
    <t>J2O13_01G001355;J2O13_07G016662;J2O13_07G017240;J2O13_10G023751</t>
  </si>
  <si>
    <t>GO:0048316</t>
  </si>
  <si>
    <t>seed development</t>
  </si>
  <si>
    <t>J2O13_02G004547;J2O13_04G007351;J2O13_05G009789;J2O13_05G011432;J2O13_08G017503;J2O13_10G022347</t>
  </si>
  <si>
    <t>GO:0010114</t>
  </si>
  <si>
    <t>response to red light</t>
  </si>
  <si>
    <t>J2O13_03G005840;J2O13_03G006121;J2O13_05G011011;J2O13_06G013534;J2O13_07G016666</t>
  </si>
  <si>
    <t>GO:0009788</t>
  </si>
  <si>
    <t>negative regulation of abscisic acid-activated signaling pathway</t>
  </si>
  <si>
    <t>J2O13_01G000480;J2O13_02G004064;J2O13_03G005209;J2O13_05G010445;J2O13_07G017008;J2O13_09G021147;J2O13_10G023687</t>
  </si>
  <si>
    <t>GO:0015297</t>
  </si>
  <si>
    <t>antiporter activity</t>
  </si>
  <si>
    <t>J2O13_02G004335;J2O13_03G005675;J2O13_05G010314;J2O13_05G011454;J2O13_06G014883;J2O13_09G021404;J2O13_10G022685;J2O13_10G023967;J2O13_10G023968;J2O13_UnG024722</t>
  </si>
  <si>
    <t>GO:0010218</t>
  </si>
  <si>
    <t>response to far red light</t>
  </si>
  <si>
    <t>J2O13_03G005840;J2O13_03G006121;J2O13_05G011011;J2O13_07G016666</t>
  </si>
  <si>
    <t>GO:0005381</t>
  </si>
  <si>
    <t>iron ion transmembrane transporter activity</t>
  </si>
  <si>
    <t>J2O13_05G011609;J2O13_09G020136</t>
  </si>
  <si>
    <t>GO:0006284</t>
  </si>
  <si>
    <t>base-excision repair</t>
  </si>
  <si>
    <t>J2O13_07G015053;J2O13_10G022578</t>
  </si>
  <si>
    <t>GO:0006401</t>
  </si>
  <si>
    <t>RNA catabolic process</t>
  </si>
  <si>
    <t>J2O13_01G000602;J2O13_05G009482</t>
  </si>
  <si>
    <t>GO:0008356</t>
  </si>
  <si>
    <t>asymmetric cell division</t>
  </si>
  <si>
    <t>J2O13_10G022127;J2O13_10G023417</t>
  </si>
  <si>
    <t>GO:0009636</t>
  </si>
  <si>
    <t>response to toxic substance</t>
  </si>
  <si>
    <t>GO:0010369</t>
  </si>
  <si>
    <t>chromocenter</t>
  </si>
  <si>
    <t>J2O13_02G005047;J2O13_10G024554</t>
  </si>
  <si>
    <t>GO:0016799</t>
  </si>
  <si>
    <t>hydrolase activity, hydrolyzing N-glycosyl compounds</t>
  </si>
  <si>
    <t>GO:0019199</t>
  </si>
  <si>
    <t>transmembrane receptor protein kinase activity</t>
  </si>
  <si>
    <t>J2O13_04G007454;J2O13_07G017068</t>
  </si>
  <si>
    <t>GO:0035198</t>
  </si>
  <si>
    <t>miRNA binding</t>
  </si>
  <si>
    <t>J2O13_05G009516;J2O13_06G013296</t>
  </si>
  <si>
    <t>GO:0048437</t>
  </si>
  <si>
    <t>floral organ development</t>
  </si>
  <si>
    <t>J2O13_04G007924;J2O13_04G008937</t>
  </si>
  <si>
    <t>GO:0048586</t>
  </si>
  <si>
    <t>regulation of long-day photoperiodism, flowering</t>
  </si>
  <si>
    <t>J2O13_02G003855;J2O13_07G016689</t>
  </si>
  <si>
    <t>GO:0051753</t>
  </si>
  <si>
    <t>mannan synthase activity</t>
  </si>
  <si>
    <t>J2O13_01G001169;J2O13_10G022282</t>
  </si>
  <si>
    <t>GO:0080044</t>
  </si>
  <si>
    <t>quercetin 7-O-glucosyltransferase activity</t>
  </si>
  <si>
    <t>J2O13_01G000759;J2O13_04G008278</t>
  </si>
  <si>
    <t>GO:1902600</t>
  </si>
  <si>
    <t>proton transmembrane transport</t>
  </si>
  <si>
    <t>GO:0051603</t>
  </si>
  <si>
    <t>proteolysis involved in protein catabolic process</t>
  </si>
  <si>
    <t>J2O13_05G010418;J2O13_05G010643;J2O13_08G019059</t>
  </si>
  <si>
    <t>GO:0016036</t>
  </si>
  <si>
    <t>cellular response to phosphate starvation</t>
  </si>
  <si>
    <t>J2O13_01G001574;J2O13_03G006089;J2O13_05G010897;J2O13_05G011592;J2O13_05G012792;J2O13_09G020557</t>
  </si>
  <si>
    <t>GO:0000038</t>
  </si>
  <si>
    <t>very long-chain fatty acid metabolic process</t>
  </si>
  <si>
    <t>GO:0000796</t>
  </si>
  <si>
    <t>condensin complex</t>
  </si>
  <si>
    <t>GO:0004359</t>
  </si>
  <si>
    <t>glutaminase activity</t>
  </si>
  <si>
    <t>GO:0004383</t>
  </si>
  <si>
    <t>guanylate cyclase activity</t>
  </si>
  <si>
    <t>GO:0004478</t>
  </si>
  <si>
    <t>methionine adenosyltransferase activity</t>
  </si>
  <si>
    <t>GO:0004617</t>
  </si>
  <si>
    <t>phosphoglycerate dehydrogenase activity</t>
  </si>
  <si>
    <t>GO:0004623</t>
  </si>
  <si>
    <t>phospholipase A2 activity</t>
  </si>
  <si>
    <t>GO:0005657</t>
  </si>
  <si>
    <t>replication fork</t>
  </si>
  <si>
    <t>GO:0005762</t>
  </si>
  <si>
    <t>mitochondrial large ribosomal subunit</t>
  </si>
  <si>
    <t>GO:0005775</t>
  </si>
  <si>
    <t>vacuolar lumen</t>
  </si>
  <si>
    <t>GO:0006013</t>
  </si>
  <si>
    <t>mannose metabolic process</t>
  </si>
  <si>
    <t>GO:0006081</t>
  </si>
  <si>
    <t>cellular aldehyde metabolic process</t>
  </si>
  <si>
    <t>GO:0006123</t>
  </si>
  <si>
    <t>mitochondrial electron transport, cytochrome c to oxygen</t>
  </si>
  <si>
    <t>GO:0006166</t>
  </si>
  <si>
    <t>purine ribonucleoside salvage</t>
  </si>
  <si>
    <t>GO:0006556</t>
  </si>
  <si>
    <t>S-adenosylmethionine biosynthetic process</t>
  </si>
  <si>
    <t>GO:0006598</t>
  </si>
  <si>
    <t>polyamine catabolic process</t>
  </si>
  <si>
    <t>GO:0008175</t>
  </si>
  <si>
    <t>tRNA methyltransferase activity</t>
  </si>
  <si>
    <t>GO:0008203</t>
  </si>
  <si>
    <t>cholesterol metabolic process</t>
  </si>
  <si>
    <t>GO:0008429</t>
  </si>
  <si>
    <t>phosphatidylethanolamine binding</t>
  </si>
  <si>
    <t>GO:0009052</t>
  </si>
  <si>
    <t>pentose-phosphate shunt, non-oxidative branch</t>
  </si>
  <si>
    <t>GO:0009295</t>
  </si>
  <si>
    <t>nucleoid</t>
  </si>
  <si>
    <t>GO:0009647</t>
  </si>
  <si>
    <t>skotomorphogenesis</t>
  </si>
  <si>
    <t>GO:0009855</t>
  </si>
  <si>
    <t>determination of bilateral symmetry</t>
  </si>
  <si>
    <t>GO:0009866</t>
  </si>
  <si>
    <t>induced systemic resistance, ethylene mediated signaling pathway</t>
  </si>
  <si>
    <t>GO:0009943</t>
  </si>
  <si>
    <t>adaxial/abaxial axis specification</t>
  </si>
  <si>
    <t>GO:0010032</t>
  </si>
  <si>
    <t>meiotic chromosome condensation</t>
  </si>
  <si>
    <t>GO:0010069</t>
  </si>
  <si>
    <t>zygote asymmetric cytokinesis in embryo sac</t>
  </si>
  <si>
    <t>GO:0010070</t>
  </si>
  <si>
    <t>zygote asymmetric cell division</t>
  </si>
  <si>
    <t>GO:0010071</t>
  </si>
  <si>
    <t>root meristem specification</t>
  </si>
  <si>
    <t>GO:0010106</t>
  </si>
  <si>
    <t>cellular response to iron ion starvation</t>
  </si>
  <si>
    <t>GO:0010136</t>
  </si>
  <si>
    <t>ureide catabolic process</t>
  </si>
  <si>
    <t>GO:0010424</t>
  </si>
  <si>
    <t>DNA methylation on cytosine within a CG sequence</t>
  </si>
  <si>
    <t>GO:0015172</t>
  </si>
  <si>
    <t>acidic amino acid transmembrane transporter activity</t>
  </si>
  <si>
    <t>GO:0015248</t>
  </si>
  <si>
    <t>sterol transporter activity</t>
  </si>
  <si>
    <t>GO:0016161</t>
  </si>
  <si>
    <t>beta-amylase activity</t>
  </si>
  <si>
    <t>GO:0016207</t>
  </si>
  <si>
    <t>4-coumarate-CoA ligase activity</t>
  </si>
  <si>
    <t>GO:0016540</t>
  </si>
  <si>
    <t>protein autoprocessing</t>
  </si>
  <si>
    <t>GO:0016847</t>
  </si>
  <si>
    <t>1-aminocyclopropane-1-carboxylate synthase activity</t>
  </si>
  <si>
    <t>GO:0030665</t>
  </si>
  <si>
    <t>clathrin-coated vesicle membrane</t>
  </si>
  <si>
    <t>GO:0031519</t>
  </si>
  <si>
    <t>PcG protein complex</t>
  </si>
  <si>
    <t>GO:0033184</t>
  </si>
  <si>
    <t>positive regulation of histone ubiquitination</t>
  </si>
  <si>
    <t>GO:0033897</t>
  </si>
  <si>
    <t>ribonuclease T2 activity</t>
  </si>
  <si>
    <t>GO:0035627</t>
  </si>
  <si>
    <t>ceramide transport</t>
  </si>
  <si>
    <t>GO:0035987</t>
  </si>
  <si>
    <t>endodermal cell differentiation</t>
  </si>
  <si>
    <t>GO:0042409</t>
  </si>
  <si>
    <t>caffeoyl-CoA O-methyltransferase activity</t>
  </si>
  <si>
    <t>GO:0042500</t>
  </si>
  <si>
    <t>aspartic endopeptidase activity, intramembrane cleaving</t>
  </si>
  <si>
    <t>GO:0042547</t>
  </si>
  <si>
    <t>cell wall modification involved in multidimensional cell growth</t>
  </si>
  <si>
    <t>GO:0042807</t>
  </si>
  <si>
    <t>central vacuole</t>
  </si>
  <si>
    <t>GO:0046208</t>
  </si>
  <si>
    <t>spermine catabolic process</t>
  </si>
  <si>
    <t>GO:0046785</t>
  </si>
  <si>
    <t>microtubule polymerization</t>
  </si>
  <si>
    <t>GO:0047893</t>
  </si>
  <si>
    <t>flavonol 3-O-glucosyltransferase activity</t>
  </si>
  <si>
    <t>GO:0051020</t>
  </si>
  <si>
    <t>GTPase binding</t>
  </si>
  <si>
    <t>GO:0051096</t>
  </si>
  <si>
    <t>positive regulation of helicase activity</t>
  </si>
  <si>
    <t>GO:0051740</t>
  </si>
  <si>
    <t>ethylene binding</t>
  </si>
  <si>
    <t>GO:0051754</t>
  </si>
  <si>
    <t>meiotic sister chromatid cohesion, centromeric</t>
  </si>
  <si>
    <t>GO:0051782</t>
  </si>
  <si>
    <t>negative regulation of cell division</t>
  </si>
  <si>
    <t>GO:0070734</t>
  </si>
  <si>
    <t>histone H3-K27 methylation</t>
  </si>
  <si>
    <t>GO:0071260</t>
  </si>
  <si>
    <t>cellular response to mechanical stimulus</t>
  </si>
  <si>
    <t>GO:0071281</t>
  </si>
  <si>
    <t>cellular response to iron ion</t>
  </si>
  <si>
    <t>GO:0080133</t>
  </si>
  <si>
    <t>midchain alkane hydroxylase activity</t>
  </si>
  <si>
    <t>GO:0090617</t>
  </si>
  <si>
    <t>mitochondrial mRNA 5'-end processing</t>
  </si>
  <si>
    <t>GO:0098553</t>
  </si>
  <si>
    <t>lumenal side of endoplasmic reticulum membrane</t>
  </si>
  <si>
    <t>GO:0102360</t>
  </si>
  <si>
    <t>daphnetin 3-O-glucosyltransferase activity</t>
  </si>
  <si>
    <t>GO:0102425</t>
  </si>
  <si>
    <t>myricetin 3-O-glucosyltransferase activity</t>
  </si>
  <si>
    <t>GO:0106167</t>
  </si>
  <si>
    <t>extracellular ATP signaling</t>
  </si>
  <si>
    <t>GO:1901333</t>
  </si>
  <si>
    <t>positive regulation of lateral root development</t>
  </si>
  <si>
    <t>GO:1902025</t>
  </si>
  <si>
    <t>nitrate import</t>
  </si>
  <si>
    <t>GO:1902387</t>
  </si>
  <si>
    <t>ceramide 1-phosphate binding</t>
  </si>
  <si>
    <t>GO:1902388</t>
  </si>
  <si>
    <t>ceramide 1-phosphate transfer activity</t>
  </si>
  <si>
    <t>GO:0031966</t>
  </si>
  <si>
    <t>mitochondrial membrane</t>
  </si>
  <si>
    <t>J2O13_02G005036;J2O13_04G008041;J2O13_04G008171;J2O13_04G009251;J2O13_05G009609;J2O13_05G012447</t>
  </si>
  <si>
    <t>GO:0005788</t>
  </si>
  <si>
    <t>endoplasmic reticulum lumen</t>
  </si>
  <si>
    <t>J2O13_01G000755;J2O13_02G004887;J2O13_08G018961;J2O13_10G024408</t>
  </si>
  <si>
    <t>GO:0010305</t>
  </si>
  <si>
    <t>leaf vascular tissue pattern formation</t>
  </si>
  <si>
    <t>J2O13_02G004848;J2O13_04G007178;J2O13_05G009291;J2O13_05G011568</t>
  </si>
  <si>
    <t>J2O13_04G007210;J2O13_04G008279;J2O13_04G008294;J2O13_08G019314;J2O13_09G021432;J2O13_10G022246;J2O13_10G023098</t>
  </si>
  <si>
    <t>GO:0004709</t>
  </si>
  <si>
    <t>MAP kinase kinase kinase activity</t>
  </si>
  <si>
    <t>GO:0010286</t>
  </si>
  <si>
    <t>heat acclimation</t>
  </si>
  <si>
    <t>J2O13_05G009425;J2O13_07G015378;J2O13_07G015379</t>
  </si>
  <si>
    <t>GO:0032991</t>
  </si>
  <si>
    <t>protein-containing complex</t>
  </si>
  <si>
    <t>J2O13_02G005048;J2O13_07G015196;J2O13_10G022141</t>
  </si>
  <si>
    <t>GO:0045330</t>
  </si>
  <si>
    <t>aspartyl esterase activity</t>
  </si>
  <si>
    <t>J2O13_01G001144;J2O13_03G005621;J2O13_03G005622;J2O13_04G007652;J2O13_06G013941</t>
  </si>
  <si>
    <t>GO:0048046</t>
  </si>
  <si>
    <t>apoplast</t>
  </si>
  <si>
    <t>J2O13_01G000923;J2O13_01G001119;J2O13_01G001890;J2O13_01G002859;J2O13_02G003801;J2O13_02G004265;J2O13_02G004268;J2O13_02G004337;J2O13_02G004577;J2O13_02G004642;J2O13_04G007690;J2O13_04G007969;J2O13_04G008266;J2O13_04G008432;J2O13_05G009925;J2O13_05G010151;J2O13_05G010707;J2O13_05G010745;J2O13_05G010952;J2O13_05G012123;J2O13_05G012497;J2O13_05G012792;J2O13_06G013200;J2O13_06G013205;J2O13_07G015114;J2O13_07G015621;J2O13_07G016295;J2O13_07G016652;J2O13_09G020882;J2O13_09G021646;J2O13_10G022917;J2O13_10G023993</t>
  </si>
  <si>
    <t>GO:0000155</t>
  </si>
  <si>
    <t>phosphorelay sensor kinase activity</t>
  </si>
  <si>
    <t>J2O13_05G011592;J2O13_06G013355</t>
  </si>
  <si>
    <t>GO:0007264</t>
  </si>
  <si>
    <t>small GTPase mediated signal transduction</t>
  </si>
  <si>
    <t>J2O13_01G002468;J2O13_03G005911</t>
  </si>
  <si>
    <t>GO:0008146</t>
  </si>
  <si>
    <t>sulfotransferase activity</t>
  </si>
  <si>
    <t>J2O13_04G008256;J2O13_07G016364</t>
  </si>
  <si>
    <t>GO:0009750</t>
  </si>
  <si>
    <t>response to fructose</t>
  </si>
  <si>
    <t>J2O13_02G003307;J2O13_05G010643</t>
  </si>
  <si>
    <t>GO:0010017</t>
  </si>
  <si>
    <t>red or far-red light signaling pathway</t>
  </si>
  <si>
    <t>J2O13_05G009444;J2O13_06G014055</t>
  </si>
  <si>
    <t>GO:0010026</t>
  </si>
  <si>
    <t>trichome differentiation</t>
  </si>
  <si>
    <t>J2O13_04G008475;J2O13_05G010229</t>
  </si>
  <si>
    <t>GO:0055075</t>
  </si>
  <si>
    <t>potassium ion homeostasis</t>
  </si>
  <si>
    <t>J2O13_01G001421;J2O13_04G008915</t>
  </si>
  <si>
    <t>GO:0080043</t>
  </si>
  <si>
    <t>quercetin 3-O-glucosyltransferase activity</t>
  </si>
  <si>
    <t>GO:0080115</t>
  </si>
  <si>
    <t>myosin XI tail binding</t>
  </si>
  <si>
    <t>J2O13_05G012300;J2O13_09G020165</t>
  </si>
  <si>
    <t>GO:0016125</t>
  </si>
  <si>
    <t>sterol metabolic process</t>
  </si>
  <si>
    <t>J2O13_02G003029;J2O13_04G008667;J2O13_07G016603;J2O13_08G017454</t>
  </si>
  <si>
    <t>GO:0071555</t>
  </si>
  <si>
    <t>cell wall organization</t>
  </si>
  <si>
    <t>J2O13_01G001146;J2O13_01G001148;J2O13_01G001169;J2O13_02G003613;J2O13_02G003749;J2O13_02G004350;J2O13_02G004804;J2O13_03G005333;J2O13_03G005835;J2O13_04G008432;J2O13_04G008915;J2O13_05G009925;J2O13_05G010090;J2O13_05G012661;J2O13_05G012701;J2O13_06G013274;J2O13_07G015114;J2O13_07G016076;J2O13_07G016877;J2O13_07G017047;J2O13_09G019561;J2O13_09G020960;J2O13_09G021961;J2O13_10G022282;J2O13_10G022917</t>
  </si>
  <si>
    <t>GO:0030599</t>
  </si>
  <si>
    <t>pectinesterase activity</t>
  </si>
  <si>
    <t>GO:0004565</t>
  </si>
  <si>
    <t>beta-galactosidase activity</t>
  </si>
  <si>
    <t>J2O13_03G005747;J2O13_08G018381;J2O13_09G020882</t>
  </si>
  <si>
    <t>GO:0000293</t>
  </si>
  <si>
    <t>ferric-chelate reductase activity</t>
  </si>
  <si>
    <t>J2O13_01G000336;J2O13_10G024579</t>
  </si>
  <si>
    <t>GO:0010315</t>
  </si>
  <si>
    <t>auxin export across the plasma membrane</t>
  </si>
  <si>
    <t>J2O13_02G003959;J2O13_02G004804</t>
  </si>
  <si>
    <t>GO:0010466</t>
  </si>
  <si>
    <t>negative regulation of peptidase activity</t>
  </si>
  <si>
    <t>GO:0010942</t>
  </si>
  <si>
    <t>positive regulation of cell death</t>
  </si>
  <si>
    <t>J2O13_04G007856;J2O13_09G020874</t>
  </si>
  <si>
    <t>GO:0016024</t>
  </si>
  <si>
    <t>CDP-diacylglycerol biosynthetic process</t>
  </si>
  <si>
    <t>GO:0043086</t>
  </si>
  <si>
    <t>negative regulation of catalytic activity</t>
  </si>
  <si>
    <t>J2O13_01G001119;J2O13_05G010952</t>
  </si>
  <si>
    <t>GO:1900055</t>
  </si>
  <si>
    <t>regulation of leaf senescence</t>
  </si>
  <si>
    <t>J2O13_09G021677;J2O13_10G022496</t>
  </si>
  <si>
    <t>GO:1905392</t>
  </si>
  <si>
    <t>plant organ morphogenesis</t>
  </si>
  <si>
    <t>J2O13_01G002193;J2O13_07G015338</t>
  </si>
  <si>
    <t>GO:0009909</t>
  </si>
  <si>
    <t>regulation of flower development</t>
  </si>
  <si>
    <t>J2O13_04G008448;J2O13_05G009444;J2O13_05G012466;J2O13_05G012599;J2O13_06G014055;J2O13_08G018843;J2O13_09G020951;J2O13_09G021677;J2O13_10G024157</t>
  </si>
  <si>
    <t>GO:0000774</t>
  </si>
  <si>
    <t>adenyl-nucleotide exchange factor activity</t>
  </si>
  <si>
    <t>GO:0004040</t>
  </si>
  <si>
    <t>amidase activity</t>
  </si>
  <si>
    <t>GO:0004564</t>
  </si>
  <si>
    <t>beta-fructofuranosidase activity</t>
  </si>
  <si>
    <t>GO:0005347</t>
  </si>
  <si>
    <t>ATP transmembrane transporter activity</t>
  </si>
  <si>
    <t>GO:0005366</t>
  </si>
  <si>
    <t>myo-inositol:proton symporter activity</t>
  </si>
  <si>
    <t>GO:0005375</t>
  </si>
  <si>
    <t>copper ion transmembrane transporter activity</t>
  </si>
  <si>
    <t>GO:0005740</t>
  </si>
  <si>
    <t>mitochondrial envelope</t>
  </si>
  <si>
    <t>GO:0006116</t>
  </si>
  <si>
    <t>NADH oxidation</t>
  </si>
  <si>
    <t>GO:0006145</t>
  </si>
  <si>
    <t>purine nucleobase catabolic process</t>
  </si>
  <si>
    <t>GO:0006264</t>
  </si>
  <si>
    <t>mitochondrial DNA replication</t>
  </si>
  <si>
    <t>GO:0006518</t>
  </si>
  <si>
    <t>peptide metabolic process</t>
  </si>
  <si>
    <t>GO:0006596</t>
  </si>
  <si>
    <t>polyamine biosynthetic process</t>
  </si>
  <si>
    <t>GO:0007010</t>
  </si>
  <si>
    <t>cytoskeleton organization</t>
  </si>
  <si>
    <t>GO:0008442</t>
  </si>
  <si>
    <t>3-hydroxyisobutyrate dehydrogenase activity</t>
  </si>
  <si>
    <t>GO:0008964</t>
  </si>
  <si>
    <t>phosphoenolpyruvate carboxylase activity</t>
  </si>
  <si>
    <t>GO:0009088</t>
  </si>
  <si>
    <t>threonine biosynthetic process</t>
  </si>
  <si>
    <t>GO:0009533</t>
  </si>
  <si>
    <t>chloroplast stromal thylakoid</t>
  </si>
  <si>
    <t>GO:0009643</t>
  </si>
  <si>
    <t>photosynthetic acclimation</t>
  </si>
  <si>
    <t>GO:0010168</t>
  </si>
  <si>
    <t>ER body</t>
  </si>
  <si>
    <t>GO:0010235</t>
  </si>
  <si>
    <t>guard mother cell cytokinesis</t>
  </si>
  <si>
    <t>GO:0010262</t>
  </si>
  <si>
    <t>somatic embryogenesis</t>
  </si>
  <si>
    <t>GO:0010376</t>
  </si>
  <si>
    <t>stomatal complex formation</t>
  </si>
  <si>
    <t>GO:0010428</t>
  </si>
  <si>
    <t>methyl-CpNpG binding</t>
  </si>
  <si>
    <t>GO:0010429</t>
  </si>
  <si>
    <t>methyl-CpNpN binding</t>
  </si>
  <si>
    <t>GO:0010731</t>
  </si>
  <si>
    <t>protein glutathionylation</t>
  </si>
  <si>
    <t>GO:0010997</t>
  </si>
  <si>
    <t>anaphase-promoting complex binding</t>
  </si>
  <si>
    <t>GO:0012511</t>
  </si>
  <si>
    <t>monolayer-surrounded lipid storage body</t>
  </si>
  <si>
    <t>GO:0015085</t>
  </si>
  <si>
    <t>calcium ion transmembrane transporter activity</t>
  </si>
  <si>
    <t>GO:0015204</t>
  </si>
  <si>
    <t>urea transmembrane transporter activity</t>
  </si>
  <si>
    <t>GO:0015798</t>
  </si>
  <si>
    <t>myo-inositol transport</t>
  </si>
  <si>
    <t>GO:0017022</t>
  </si>
  <si>
    <t>myosin binding</t>
  </si>
  <si>
    <t>GO:0019632</t>
  </si>
  <si>
    <t>shikimate metabolic process</t>
  </si>
  <si>
    <t>GO:0022622</t>
  </si>
  <si>
    <t>root system development</t>
  </si>
  <si>
    <t>GO:0030139</t>
  </si>
  <si>
    <t>endocytic vesicle</t>
  </si>
  <si>
    <t>GO:0030875</t>
  </si>
  <si>
    <t>rDNA protrusion</t>
  </si>
  <si>
    <t>GO:0031176</t>
  </si>
  <si>
    <t>endo-1,4-beta-xylanase activity</t>
  </si>
  <si>
    <t>GO:0031542</t>
  </si>
  <si>
    <t>positive regulation of anthocyanin biosynthetic process</t>
  </si>
  <si>
    <t>GO:0035619</t>
  </si>
  <si>
    <t>root hair tip</t>
  </si>
  <si>
    <t>GO:0042149</t>
  </si>
  <si>
    <t>cellular response to glucose starvation</t>
  </si>
  <si>
    <t>GO:0043547</t>
  </si>
  <si>
    <t>positive regulation of GTPase activity</t>
  </si>
  <si>
    <t>GO:0043667</t>
  </si>
  <si>
    <t>pollen wall</t>
  </si>
  <si>
    <t>GO:0043864</t>
  </si>
  <si>
    <t>indoleacetamide hydrolase activity</t>
  </si>
  <si>
    <t>GO:0044238</t>
  </si>
  <si>
    <t>primary metabolic process</t>
  </si>
  <si>
    <t>GO:0046592</t>
  </si>
  <si>
    <t>polyamine oxidase activity</t>
  </si>
  <si>
    <t>GO:0050593</t>
  </si>
  <si>
    <t>N-methylcoclaurine 3'-monooxygenase activity</t>
  </si>
  <si>
    <t>GO:0051231</t>
  </si>
  <si>
    <t>spindle elongation</t>
  </si>
  <si>
    <t>GO:0052325</t>
  </si>
  <si>
    <t>cell wall pectin biosynthetic process</t>
  </si>
  <si>
    <t>GO:0060966</t>
  </si>
  <si>
    <t>regulation of gene silencing by RNA</t>
  </si>
  <si>
    <t>GO:0080006</t>
  </si>
  <si>
    <t>internode patterning</t>
  </si>
  <si>
    <t>GO:0080168</t>
  </si>
  <si>
    <t>abscisic acid transport</t>
  </si>
  <si>
    <t>GO:0090378</t>
  </si>
  <si>
    <t>seed trichome elongation</t>
  </si>
  <si>
    <t>GO:0120009</t>
  </si>
  <si>
    <t>intermembrane lipid transfer</t>
  </si>
  <si>
    <t>GO:0140078</t>
  </si>
  <si>
    <t>class I DNA-(apurinic or apyrimidinic site) endonuclease activity</t>
  </si>
  <si>
    <t>GO:0140618</t>
  </si>
  <si>
    <t>ferric-chelate reductase (NADH) activity</t>
  </si>
  <si>
    <t>GO:1901332</t>
  </si>
  <si>
    <t>negative regulation of lateral root development</t>
  </si>
  <si>
    <t>GO:1901959</t>
  </si>
  <si>
    <t>positive regulation of cutin biosynthetic process</t>
  </si>
  <si>
    <t>GO:1902065</t>
  </si>
  <si>
    <t>response to L-glutamate</t>
  </si>
  <si>
    <t>GO:1905157</t>
  </si>
  <si>
    <t>positive regulation of photosynthesis</t>
  </si>
  <si>
    <t>GO:1905786</t>
  </si>
  <si>
    <t>positive regulation of anaphase-promoting complex-dependent catabolic process</t>
  </si>
  <si>
    <t>GO:1990757</t>
  </si>
  <si>
    <t>ubiquitin ligase activator activity</t>
  </si>
  <si>
    <t>GO:1990937</t>
  </si>
  <si>
    <t>xylan acetylation</t>
  </si>
  <si>
    <t>GO:0004714</t>
  </si>
  <si>
    <t>transmembrane receptor protein tyrosine kinase activity</t>
  </si>
  <si>
    <t>J2O13_02G003766;J2O13_03G005856;J2O13_04G007856</t>
  </si>
  <si>
    <t>GO:0006635</t>
  </si>
  <si>
    <t>fatty acid beta-oxidation</t>
  </si>
  <si>
    <t>J2O13_03G005917;J2O13_08G019178;J2O13_09G020482</t>
  </si>
  <si>
    <t>GO:0009556</t>
  </si>
  <si>
    <t>microsporogenesis</t>
  </si>
  <si>
    <t>J2O13_04G007454;J2O13_05G010962;J2O13_09G020960</t>
  </si>
  <si>
    <t>GO:0009863</t>
  </si>
  <si>
    <t>salicylic acid mediated signaling pathway</t>
  </si>
  <si>
    <t>J2O13_05G010574;J2O13_05G012725;J2O13_09G021883</t>
  </si>
  <si>
    <t>GO:0017148</t>
  </si>
  <si>
    <t>negative regulation of translation</t>
  </si>
  <si>
    <t>GO:0000079</t>
  </si>
  <si>
    <t>regulation of cyclin-dependent protein serine/threonine kinase activity</t>
  </si>
  <si>
    <t>J2O13_02G004547;J2O13_08G017503;J2O13_10G023443;J2O13_10G024312</t>
  </si>
  <si>
    <t>GO:0098542</t>
  </si>
  <si>
    <t>defense response to other organism</t>
  </si>
  <si>
    <t>J2O13_06G014883;J2O13_09G020121;J2O13_09G020122;J2O13_10G024399</t>
  </si>
  <si>
    <t>GO:0010078</t>
  </si>
  <si>
    <t>maintenance of root meristem identity</t>
  </si>
  <si>
    <t>J2O13_01G000129;J2O13_03G006208;J2O13_04G008937;J2O13_05G009760;J2O13_05G010023</t>
  </si>
  <si>
    <t>GO:0009867</t>
  </si>
  <si>
    <t>jasmonic acid mediated signaling pathway</t>
  </si>
  <si>
    <t>J2O13_01G002193;J2O13_02G003821;J2O13_03G005661;J2O13_05G010229;J2O13_05G010574;J2O13_09G021098;J2O13_09G021883</t>
  </si>
  <si>
    <t>GO:0006457</t>
  </si>
  <si>
    <t>protein folding</t>
  </si>
  <si>
    <t>J2O13_01G002775;J2O13_01G002779;J2O13_02G003212;J2O13_03G005545;J2O13_03G005546;J2O13_07G015378;J2O13_07G015379;J2O13_07G016174;J2O13_08G018961;J2O13_10G024408</t>
  </si>
  <si>
    <t>GO:0000776</t>
  </si>
  <si>
    <t>kinetochore</t>
  </si>
  <si>
    <t>J2O13_02G005047;J2O13_07G015870</t>
  </si>
  <si>
    <t>GO:0004725</t>
  </si>
  <si>
    <t>protein tyrosine phosphatase activity</t>
  </si>
  <si>
    <t>J2O13_04G007698;J2O13_09G019817</t>
  </si>
  <si>
    <t>GO:0005905</t>
  </si>
  <si>
    <t>clathrin-coated pit</t>
  </si>
  <si>
    <t>J2O13_02G004775;J2O13_03G006383</t>
  </si>
  <si>
    <t>GO:0006574</t>
  </si>
  <si>
    <t>valine catabolic process</t>
  </si>
  <si>
    <t>J2O13_03G006707;J2O13_04G008587</t>
  </si>
  <si>
    <t>GO:0009395</t>
  </si>
  <si>
    <t>phospholipid catabolic process</t>
  </si>
  <si>
    <t>J2O13_01G002539;J2O13_05G010334</t>
  </si>
  <si>
    <t>GO:0010030</t>
  </si>
  <si>
    <t>positive regulation of seed germination</t>
  </si>
  <si>
    <t>J2O13_01G001457;J2O13_05G009458</t>
  </si>
  <si>
    <t>GO:0010385</t>
  </si>
  <si>
    <t>double-stranded methylated DNA binding</t>
  </si>
  <si>
    <t>J2O13_03G006640;J2O13_10G024554</t>
  </si>
  <si>
    <t>GO:0016132</t>
  </si>
  <si>
    <t>brassinosteroid biosynthetic process</t>
  </si>
  <si>
    <t>J2O13_05G011275;J2O13_07G016603</t>
  </si>
  <si>
    <t>GO:0030552</t>
  </si>
  <si>
    <t>cAMP binding</t>
  </si>
  <si>
    <t>GO:0030553</t>
  </si>
  <si>
    <t>cGMP binding</t>
  </si>
  <si>
    <t>GO:0031349</t>
  </si>
  <si>
    <t>positive regulation of defense response</t>
  </si>
  <si>
    <t>J2O13_04G007856;J2O13_07G015050</t>
  </si>
  <si>
    <t>GO:0048443</t>
  </si>
  <si>
    <t>stamen development</t>
  </si>
  <si>
    <t>J2O13_04G008448;J2O13_07G016603</t>
  </si>
  <si>
    <t>GO:0048608</t>
  </si>
  <si>
    <t>reproductive structure development</t>
  </si>
  <si>
    <t>J2O13_07G015366;J2O13_10G024386</t>
  </si>
  <si>
    <t>GO:1901001</t>
  </si>
  <si>
    <t>negative regulation of response to salt stress</t>
  </si>
  <si>
    <t>J2O13_01G002726;J2O13_07G014953</t>
  </si>
  <si>
    <t>GO:2000032</t>
  </si>
  <si>
    <t>regulation of secondary shoot formation</t>
  </si>
  <si>
    <t>J2O13_01G000421;J2O13_05G011119</t>
  </si>
  <si>
    <t>GO:0005777</t>
  </si>
  <si>
    <t>peroxisome</t>
  </si>
  <si>
    <t>J2O13_02G003491;J2O13_02G004623;J2O13_03G005305;J2O13_03G005700;J2O13_03G005917;J2O13_04G007856;J2O13_04G008587;J2O13_05G012160;J2O13_05G012513;J2O13_06G012979;J2O13_08G019178;J2O13_09G019564;J2O13_09G020201;J2O13_09G020482;J2O13_09G022006;J2O13_10G022496</t>
  </si>
  <si>
    <t>GO:0071949</t>
  </si>
  <si>
    <t>FAD binding</t>
  </si>
  <si>
    <t>J2O13_03G005757;J2O13_04G008634;J2O13_04G009132;J2O13_08G018406;J2O13_09G020482;J2O13_09G021167</t>
  </si>
  <si>
    <t>GO:0000175</t>
  </si>
  <si>
    <t>3'-5'-exoribonuclease activity</t>
  </si>
  <si>
    <t>J2O13_05G009482;J2O13_05G009516;J2O13_09G020609</t>
  </si>
  <si>
    <t>GO:0009266</t>
  </si>
  <si>
    <t>response to temperature stimulus</t>
  </si>
  <si>
    <t>J2O13_03G006020;J2O13_10G024331;J2O13_10G024333</t>
  </si>
  <si>
    <t>GO:0051302</t>
  </si>
  <si>
    <t>regulation of cell division</t>
  </si>
  <si>
    <t>J2O13_04G008915;J2O13_07G015338;J2O13_10G022127</t>
  </si>
  <si>
    <t>GO:0080147</t>
  </si>
  <si>
    <t>root hair cell development</t>
  </si>
  <si>
    <t>J2O13_06G012855;J2O13_07G016684;J2O13_07G016685</t>
  </si>
  <si>
    <t>GO:0048510</t>
  </si>
  <si>
    <t>regulation of timing of transition from vegetative to reproductive phase</t>
  </si>
  <si>
    <t>J2O13_02G003881;J2O13_05G010316;J2O13_06G012864;J2O13_10G022266</t>
  </si>
  <si>
    <t>GO:0007623</t>
  </si>
  <si>
    <t>circadian rhythm</t>
  </si>
  <si>
    <t>J2O13_01G000790;J2O13_03G006386;J2O13_05G010824;J2O13_05G011011;J2O13_05G012160;J2O13_06G012864;J2O13_07G017020;J2O13_10G024543;J2O13_10G024544</t>
  </si>
  <si>
    <t>GO:0004332</t>
  </si>
  <si>
    <t>fructose-bisphosphate aldolase activity</t>
  </si>
  <si>
    <t>GO:0004629</t>
  </si>
  <si>
    <t>phospholipase C activity</t>
  </si>
  <si>
    <t>GO:0005736</t>
  </si>
  <si>
    <t>RNA polymerase I complex</t>
  </si>
  <si>
    <t>GO:0005828</t>
  </si>
  <si>
    <t>kinetochore microtubule</t>
  </si>
  <si>
    <t>GO:0005930</t>
  </si>
  <si>
    <t>axoneme</t>
  </si>
  <si>
    <t>GO:0006536</t>
  </si>
  <si>
    <t>glutamate metabolic process</t>
  </si>
  <si>
    <t>GO:0006559</t>
  </si>
  <si>
    <t>L-phenylalanine catabolic process</t>
  </si>
  <si>
    <t>GO:0006694</t>
  </si>
  <si>
    <t>steroid biosynthetic process</t>
  </si>
  <si>
    <t>GO:0006857</t>
  </si>
  <si>
    <t>oligopeptide transport</t>
  </si>
  <si>
    <t>GO:0009435</t>
  </si>
  <si>
    <t>NAD biosynthetic process</t>
  </si>
  <si>
    <t>GO:0009823</t>
  </si>
  <si>
    <t>cytokinin catabolic process</t>
  </si>
  <si>
    <t>GO:0009824</t>
  </si>
  <si>
    <t>AMP dimethylallyltransferase activity</t>
  </si>
  <si>
    <t>GO:0009991</t>
  </si>
  <si>
    <t>response to extracellular stimulus</t>
  </si>
  <si>
    <t>GO:0010332</t>
  </si>
  <si>
    <t>response to gamma radiation</t>
  </si>
  <si>
    <t>GO:0010338</t>
  </si>
  <si>
    <t>leaf formation</t>
  </si>
  <si>
    <t>GO:0010393</t>
  </si>
  <si>
    <t>galacturonan metabolic process</t>
  </si>
  <si>
    <t>GO:0016151</t>
  </si>
  <si>
    <t>nickel cation binding</t>
  </si>
  <si>
    <t>GO:0016836</t>
  </si>
  <si>
    <t>hydro-lyase activity</t>
  </si>
  <si>
    <t>GO:0019104</t>
  </si>
  <si>
    <t>DNA N-glycosylase activity</t>
  </si>
  <si>
    <t>GO:0030015</t>
  </si>
  <si>
    <t>CCR4-NOT core complex</t>
  </si>
  <si>
    <t>GO:0030131</t>
  </si>
  <si>
    <t>clathrin adaptor complex</t>
  </si>
  <si>
    <t>GO:0030286</t>
  </si>
  <si>
    <t>dynein complex</t>
  </si>
  <si>
    <t>GO:0030865</t>
  </si>
  <si>
    <t>cortical cytoskeleton organization</t>
  </si>
  <si>
    <t>GO:0030976</t>
  </si>
  <si>
    <t>thiamine pyrophosphate binding</t>
  </si>
  <si>
    <t>GO:0031588</t>
  </si>
  <si>
    <t>nucleotide-activated protein kinase complex</t>
  </si>
  <si>
    <t>GO:0032956</t>
  </si>
  <si>
    <t>regulation of actin cytoskeleton organization</t>
  </si>
  <si>
    <t>GO:0033588</t>
  </si>
  <si>
    <t>elongator holoenzyme complex</t>
  </si>
  <si>
    <t>GO:0033907</t>
  </si>
  <si>
    <t>beta-D-fucosidase activity</t>
  </si>
  <si>
    <t>GO:0034389</t>
  </si>
  <si>
    <t>lipid droplet organization</t>
  </si>
  <si>
    <t>GO:0034504</t>
  </si>
  <si>
    <t>protein localization to nucleus</t>
  </si>
  <si>
    <t>GO:0035304</t>
  </si>
  <si>
    <t>regulation of protein dephosphorylation</t>
  </si>
  <si>
    <t>GO:0035514</t>
  </si>
  <si>
    <t>DNA demethylase activity</t>
  </si>
  <si>
    <t>GO:0042548</t>
  </si>
  <si>
    <t>regulation of photosynthesis, light reaction</t>
  </si>
  <si>
    <t>GO:0042645</t>
  </si>
  <si>
    <t>mitochondrial nucleoid</t>
  </si>
  <si>
    <t>GO:0043295</t>
  </si>
  <si>
    <t>glutathione binding</t>
  </si>
  <si>
    <t>GO:0044209</t>
  </si>
  <si>
    <t>AMP salvage</t>
  </si>
  <si>
    <t>GO:0044458</t>
  </si>
  <si>
    <t>motile cilium assembly</t>
  </si>
  <si>
    <t>GO:0045128</t>
  </si>
  <si>
    <t>negative regulation of reciprocal meiotic recombination</t>
  </si>
  <si>
    <t>GO:0045487</t>
  </si>
  <si>
    <t>gibberellin catabolic process</t>
  </si>
  <si>
    <t>GO:0047911</t>
  </si>
  <si>
    <t>galacturan 1,4-alpha-galacturonidase activity</t>
  </si>
  <si>
    <t>GO:0048830</t>
  </si>
  <si>
    <t>adventitious root development</t>
  </si>
  <si>
    <t>GO:0052634</t>
  </si>
  <si>
    <t>C-19 gibberellin 2-beta-dioxygenase activity</t>
  </si>
  <si>
    <t>GO:0071038</t>
  </si>
  <si>
    <t>nuclear polyadenylation-dependent tRNA catabolic process</t>
  </si>
  <si>
    <t>GO:0090059</t>
  </si>
  <si>
    <t>protoxylem development</t>
  </si>
  <si>
    <t>GO:0097014</t>
  </si>
  <si>
    <t>ciliary plasm</t>
  </si>
  <si>
    <t>GO:0098532</t>
  </si>
  <si>
    <t>histone H3-K27 trimethylation</t>
  </si>
  <si>
    <t>GO:0098554</t>
  </si>
  <si>
    <t>cytoplasmic side of endoplasmic reticulum membrane</t>
  </si>
  <si>
    <t>GO:1901348</t>
  </si>
  <si>
    <t>positive regulation of secondary cell wall biogenesis</t>
  </si>
  <si>
    <t>GO:0009686</t>
  </si>
  <si>
    <t>gibberellin biosynthetic process</t>
  </si>
  <si>
    <t>J2O13_01G001574;J2O13_03G006387;J2O13_07G016832</t>
  </si>
  <si>
    <t>GO:0016405</t>
  </si>
  <si>
    <t>CoA-ligase activity</t>
  </si>
  <si>
    <t>J2O13_05G010251;J2O13_05G012114;J2O13_05G012160</t>
  </si>
  <si>
    <t>GO:0044772</t>
  </si>
  <si>
    <t>mitotic cell cycle phase transition</t>
  </si>
  <si>
    <t>J2O13_02G004547;J2O13_08G017503;J2O13_10G023443</t>
  </si>
  <si>
    <t>GO:0050826</t>
  </si>
  <si>
    <t>response to freezing</t>
  </si>
  <si>
    <t>J2O13_01G000161;J2O13_07G017130;J2O13_10G022137</t>
  </si>
  <si>
    <t>GO:0008327</t>
  </si>
  <si>
    <t>methyl-CpG binding</t>
  </si>
  <si>
    <t>J2O13_04G007448;J2O13_10G024554</t>
  </si>
  <si>
    <t>GO:0010540</t>
  </si>
  <si>
    <t>basipetal auxin transport</t>
  </si>
  <si>
    <t>J2O13_02G003959;J2O13_05G011208</t>
  </si>
  <si>
    <t>GO:0016682</t>
  </si>
  <si>
    <t>oxidoreductase activity, acting on diphenols and related substances as donors, oxygen as acceptor</t>
  </si>
  <si>
    <t>J2O13_05G010897;J2O13_06G014735</t>
  </si>
  <si>
    <t>GO:0030422</t>
  </si>
  <si>
    <t>siRNA processing</t>
  </si>
  <si>
    <t>J2O13_03G005867;J2O13_09G020528</t>
  </si>
  <si>
    <t>GO:0035673</t>
  </si>
  <si>
    <t>oligopeptide transmembrane transporter activity</t>
  </si>
  <si>
    <t>J2O13_05G012113;J2O13_06G013439</t>
  </si>
  <si>
    <t>GO:0009742</t>
  </si>
  <si>
    <t>brassinosteroid mediated signaling pathway</t>
  </si>
  <si>
    <t>J2O13_01G000480;J2O13_01G000790;J2O13_03G006411;J2O13_05G010724;J2O13_05G011568;J2O13_06G013164</t>
  </si>
  <si>
    <t>GO:0009741</t>
  </si>
  <si>
    <t>response to brassinosteroid</t>
  </si>
  <si>
    <t>J2O13_01G000480;J2O13_02G003749;J2O13_02G004700;J2O13_06G013164</t>
  </si>
  <si>
    <t>GO:0010073</t>
  </si>
  <si>
    <t>meristem maintenance</t>
  </si>
  <si>
    <t>J2O13_05G010897;J2O13_07G015408;J2O13_10G024157</t>
  </si>
  <si>
    <t>GO:0010154</t>
  </si>
  <si>
    <t>fruit development</t>
  </si>
  <si>
    <t>J2O13_01G002193;J2O13_04G008041;J2O13_05G009609</t>
  </si>
  <si>
    <t>GO:0006869</t>
  </si>
  <si>
    <t>lipid transport</t>
  </si>
  <si>
    <t>J2O13_01G001591;J2O13_03G006809;J2O13_04G008088;J2O13_07G015621;J2O13_09G019681;J2O13_10G023736</t>
  </si>
  <si>
    <t>GO:0016787</t>
  </si>
  <si>
    <t>hydrolase activity</t>
  </si>
  <si>
    <t>J2O13_01G000755;J2O13_01G000909;J2O13_02G004027;J2O13_03G005379;J2O13_04G008451;J2O13_05G010193;J2O13_05G011642;J2O13_05G012701;J2O13_06G013142;J2O13_07G017108;J2O13_08G017428;J2O13_08G019395;J2O13_10G024564</t>
  </si>
  <si>
    <t>GO:0003714</t>
  </si>
  <si>
    <t>transcription corepressor activity</t>
  </si>
  <si>
    <t>J2O13_03G005549;J2O13_09G020951</t>
  </si>
  <si>
    <t>GO:0005179</t>
  </si>
  <si>
    <t>hormone activity</t>
  </si>
  <si>
    <t>J2O13_02G004577;J2O13_05G010707</t>
  </si>
  <si>
    <t>GO:0005315</t>
  </si>
  <si>
    <t>inorganic phosphate transmembrane transporter activity</t>
  </si>
  <si>
    <t>J2O13_06G013385;J2O13_09G019954</t>
  </si>
  <si>
    <t>GO:0006541</t>
  </si>
  <si>
    <t>glutamine metabolic process</t>
  </si>
  <si>
    <t>J2O13_02G003307;J2O13_05G011119</t>
  </si>
  <si>
    <t>GO:0008236</t>
  </si>
  <si>
    <t>serine-type peptidase activity</t>
  </si>
  <si>
    <t>J2O13_05G010099;J2O13_05G011964</t>
  </si>
  <si>
    <t>GO:0008237</t>
  </si>
  <si>
    <t>metallopeptidase activity</t>
  </si>
  <si>
    <t>J2O13_08G017532;J2O13_08G017651</t>
  </si>
  <si>
    <t>GO:0009691</t>
  </si>
  <si>
    <t>cytokinin biosynthetic process</t>
  </si>
  <si>
    <t>GO:0010143</t>
  </si>
  <si>
    <t>cutin biosynthetic process</t>
  </si>
  <si>
    <t>GO:0009736</t>
  </si>
  <si>
    <t>cytokinin-activated signaling pathway</t>
  </si>
  <si>
    <t>J2O13_02G004078;J2O13_02G004218;J2O13_04G007338;J2O13_04G008475;J2O13_05G011592;J2O13_10G024265</t>
  </si>
  <si>
    <t>GO:0048367</t>
  </si>
  <si>
    <t>shoot system development</t>
  </si>
  <si>
    <t>J2O13_01G001169;J2O13_03G005322;J2O13_07G016095;J2O13_08G018145;J2O13_08G019248;J2O13_10G024386</t>
  </si>
  <si>
    <t>GO:0016301</t>
  </si>
  <si>
    <t>kinase activity</t>
  </si>
  <si>
    <t>J2O13_01G001648;J2O13_01G001649;J2O13_01G001650;J2O13_04G007351;J2O13_04G007698;J2O13_05G012401;J2O13_07G015021;J2O13_09G019871;J2O13_09G020845;J2O13_10G024331</t>
  </si>
  <si>
    <t>GO:0000289</t>
  </si>
  <si>
    <t>nuclear-transcribed mRNA poly(A) tail shortening</t>
  </si>
  <si>
    <t>GO:0000467</t>
  </si>
  <si>
    <t>exonucleolytic trimming to generate mature 3'-end of 5.8S rRNA from tricistronic rRNA transcript (SSU-rRNA, 5.8S rRNA, LSU-rRNA)</t>
  </si>
  <si>
    <t>GO:0004016</t>
  </si>
  <si>
    <t>adenylate cyclase activity</t>
  </si>
  <si>
    <t>GO:0005247</t>
  </si>
  <si>
    <t>voltage-gated chloride channel activity</t>
  </si>
  <si>
    <t>GO:0005763</t>
  </si>
  <si>
    <t>mitochondrial small ribosomal subunit</t>
  </si>
  <si>
    <t>GO:0005875</t>
  </si>
  <si>
    <t>microtubule associated complex</t>
  </si>
  <si>
    <t>GO:0006098</t>
  </si>
  <si>
    <t>pentose-phosphate shunt</t>
  </si>
  <si>
    <t>GO:0006312</t>
  </si>
  <si>
    <t>mitotic recombination</t>
  </si>
  <si>
    <t>GO:0008081</t>
  </si>
  <si>
    <t>phosphoric diester hydrolase activity</t>
  </si>
  <si>
    <t>GO:0008157</t>
  </si>
  <si>
    <t>protein phosphatase 1 binding</t>
  </si>
  <si>
    <t>GO:0008420</t>
  </si>
  <si>
    <t>RNA polymerase II CTD heptapeptide repeat phosphatase activity</t>
  </si>
  <si>
    <t>GO:0009062</t>
  </si>
  <si>
    <t>fatty acid catabolic process</t>
  </si>
  <si>
    <t>GO:0009094</t>
  </si>
  <si>
    <t>L-phenylalanine biosynthetic process</t>
  </si>
  <si>
    <t>GO:0009616</t>
  </si>
  <si>
    <t>RNAi-mediated antiviral immune response</t>
  </si>
  <si>
    <t>GO:0009687</t>
  </si>
  <si>
    <t>abscisic acid metabolic process</t>
  </si>
  <si>
    <t>GO:0009939</t>
  </si>
  <si>
    <t>positive regulation of gibberellic acid mediated signaling pathway</t>
  </si>
  <si>
    <t>GO:0010199</t>
  </si>
  <si>
    <t>organ boundary specification between lateral organs and the meristem</t>
  </si>
  <si>
    <t>GO:0010222</t>
  </si>
  <si>
    <t>stem vascular tissue pattern formation</t>
  </si>
  <si>
    <t>GO:0010282</t>
  </si>
  <si>
    <t>senescence-associated vacuole</t>
  </si>
  <si>
    <t>GO:0010295</t>
  </si>
  <si>
    <t>(+)-abscisic acid 8'-hydroxylase activity</t>
  </si>
  <si>
    <t>GO:0010405</t>
  </si>
  <si>
    <t>arabinogalactan protein metabolic process</t>
  </si>
  <si>
    <t>GO:0010601</t>
  </si>
  <si>
    <t>positive regulation of auxin biosynthetic process</t>
  </si>
  <si>
    <t>GO:0010941</t>
  </si>
  <si>
    <t>regulation of cell death</t>
  </si>
  <si>
    <t>GO:0015369</t>
  </si>
  <si>
    <t>calcium:proton antiporter activity</t>
  </si>
  <si>
    <t>GO:0015846</t>
  </si>
  <si>
    <t>polyamine transport</t>
  </si>
  <si>
    <t>GO:0016846</t>
  </si>
  <si>
    <t>carbon-sulfur lyase activity</t>
  </si>
  <si>
    <t>GO:0018258</t>
  </si>
  <si>
    <t>protein O-linked glycosylation via hydroxyproline</t>
  </si>
  <si>
    <t>GO:0019139</t>
  </si>
  <si>
    <t>cytokinin dehydrogenase activity</t>
  </si>
  <si>
    <t>GO:0030159</t>
  </si>
  <si>
    <t>signaling receptor complex adaptor activity</t>
  </si>
  <si>
    <t>GO:0030388</t>
  </si>
  <si>
    <t>fructose 1,6-bisphosphate metabolic process</t>
  </si>
  <si>
    <t>GO:0031514</t>
  </si>
  <si>
    <t>motile cilium</t>
  </si>
  <si>
    <t>GO:0042646</t>
  </si>
  <si>
    <t>plastid nucleoid</t>
  </si>
  <si>
    <t>GO:0042938</t>
  </si>
  <si>
    <t>dipeptide transport</t>
  </si>
  <si>
    <t>GO:0042939</t>
  </si>
  <si>
    <t>tripeptide transport</t>
  </si>
  <si>
    <t>GO:0043495</t>
  </si>
  <si>
    <t>protein-membrane adaptor activity</t>
  </si>
  <si>
    <t>GO:0043680</t>
  </si>
  <si>
    <t>filiform apparatus</t>
  </si>
  <si>
    <t>GO:0043759</t>
  </si>
  <si>
    <t>methylbutanoate-CoA ligase activity</t>
  </si>
  <si>
    <t>GO:0045088</t>
  </si>
  <si>
    <t>regulation of innate immune response</t>
  </si>
  <si>
    <t>GO:0048444</t>
  </si>
  <si>
    <t>floral organ morphogenesis</t>
  </si>
  <si>
    <t>GO:0048509</t>
  </si>
  <si>
    <t>regulation of meristem development</t>
  </si>
  <si>
    <t>GO:0048731</t>
  </si>
  <si>
    <t>system development</t>
  </si>
  <si>
    <t>GO:0050218</t>
  </si>
  <si>
    <t>propionate-CoA ligase activity</t>
  </si>
  <si>
    <t>GO:0051262</t>
  </si>
  <si>
    <t>protein tetramerization</t>
  </si>
  <si>
    <t>GO:0052739</t>
  </si>
  <si>
    <t>phosphatidylserine 1-acylhydrolase activity</t>
  </si>
  <si>
    <t>GO:0052740</t>
  </si>
  <si>
    <t>1-acyl-2-lysophosphatidylserine acylhydrolase activity</t>
  </si>
  <si>
    <t>GO:0062034</t>
  </si>
  <si>
    <t>L-pipecolic acid biosynthetic process</t>
  </si>
  <si>
    <t>GO:0070940</t>
  </si>
  <si>
    <t>dephosphorylation of RNA polymerase II C-terminal domain</t>
  </si>
  <si>
    <t>GO:0071051</t>
  </si>
  <si>
    <t>polyadenylation-dependent snoRNA 3'-end processing</t>
  </si>
  <si>
    <t>GO:0071249</t>
  </si>
  <si>
    <t>cellular response to nitrate</t>
  </si>
  <si>
    <t>GO:0071333</t>
  </si>
  <si>
    <t>cellular response to glucose stimulus</t>
  </si>
  <si>
    <t>GO:0080046</t>
  </si>
  <si>
    <t>quercetin 4'-O-glucosyltransferase activity</t>
  </si>
  <si>
    <t>GO:0080086</t>
  </si>
  <si>
    <t>stamen filament development</t>
  </si>
  <si>
    <t>GO:0090698</t>
  </si>
  <si>
    <t>post-embryonic plant morphogenesis</t>
  </si>
  <si>
    <t>GO:0140326</t>
  </si>
  <si>
    <t>ATPase-coupled intramembrane lipid transporter activity</t>
  </si>
  <si>
    <t>GO:1901149</t>
  </si>
  <si>
    <t>salicylic acid binding</t>
  </si>
  <si>
    <t>GO:1902326</t>
  </si>
  <si>
    <t>positive regulation of chlorophyll biosynthetic process</t>
  </si>
  <si>
    <t>GO:1990714</t>
  </si>
  <si>
    <t>hydroxyproline O-galactosyltransferase activity</t>
  </si>
  <si>
    <t>GO:0001653</t>
  </si>
  <si>
    <t>peptide receptor activity</t>
  </si>
  <si>
    <t>J2O13_04G008937;J2O13_06G014887;J2O13_08G017823</t>
  </si>
  <si>
    <t>GO:0009615</t>
  </si>
  <si>
    <t>response to virus</t>
  </si>
  <si>
    <t>J2O13_05G012510;J2O13_07G017130;J2O13_10G023417</t>
  </si>
  <si>
    <t>GO:0009755</t>
  </si>
  <si>
    <t>hormone-mediated signaling pathway</t>
  </si>
  <si>
    <t>J2O13_04G007924;J2O13_04G008937;J2O13_05G011568</t>
  </si>
  <si>
    <t>GO:0010197</t>
  </si>
  <si>
    <t>polar nucleus fusion</t>
  </si>
  <si>
    <t>GO:0048653</t>
  </si>
  <si>
    <t>anther development</t>
  </si>
  <si>
    <t>J2O13_01G001485;J2O13_04G007747;J2O13_04G008448</t>
  </si>
  <si>
    <t>GO:0048825</t>
  </si>
  <si>
    <t>cotyledon development</t>
  </si>
  <si>
    <t>J2O13_03G006046;J2O13_07G016684;J2O13_07G016685</t>
  </si>
  <si>
    <t>GO:0009416</t>
  </si>
  <si>
    <t>response to light stimulus</t>
  </si>
  <si>
    <t>J2O13_01G000648;J2O13_01G001457;J2O13_02G004218;J2O13_03G005840;J2O13_04G007519;J2O13_04G008583;J2O13_05G010622;J2O13_05G012032;J2O13_07G015344;J2O13_07G016666;J2O13_07G017130;J2O13_09G020385;J2O13_09G020872</t>
  </si>
  <si>
    <t>GO:0016602</t>
  </si>
  <si>
    <t>CCAAT-binding factor complex</t>
  </si>
  <si>
    <t>J2O13_01G002632;J2O13_06G013698</t>
  </si>
  <si>
    <t>GO:0032875</t>
  </si>
  <si>
    <t>regulation of DNA endoreduplication</t>
  </si>
  <si>
    <t>J2O13_01G000654;J2O13_01G001322</t>
  </si>
  <si>
    <t>GO:0055046</t>
  </si>
  <si>
    <t>microgametogenesis</t>
  </si>
  <si>
    <t>J2O13_07G015555;J2O13_08G017660</t>
  </si>
  <si>
    <t>GO:0017018</t>
  </si>
  <si>
    <t>myosin phosphatase activity</t>
  </si>
  <si>
    <t>J2O13_02G003600;J2O13_02G005010;J2O13_03G005863;J2O13_04G007516;J2O13_04G007698;J2O13_05G011392;J2O13_05G011592;J2O13_05G012480;J2O13_10G022084</t>
  </si>
  <si>
    <t>GO:0009640</t>
  </si>
  <si>
    <t>photomorphogenesis</t>
  </si>
  <si>
    <t>J2O13_03G005379;J2O13_05G009444;J2O13_06G014055;J2O13_07G017008;J2O13_07G017249</t>
  </si>
  <si>
    <t>GO:0000160</t>
  </si>
  <si>
    <t>phosphorelay signal transduction system</t>
  </si>
  <si>
    <t>J2O13_02G004078;J2O13_05G011592;J2O13_10G024265</t>
  </si>
  <si>
    <t>GO:2000377</t>
  </si>
  <si>
    <t>regulation of reactive oxygen species metabolic process</t>
  </si>
  <si>
    <t>J2O13_01G000129;J2O13_03G006208;J2O13_05G009760</t>
  </si>
  <si>
    <t>GO:0000307</t>
  </si>
  <si>
    <t>cyclin-dependent protein kinase holoenzyme complex</t>
  </si>
  <si>
    <t>J2O13_02G004547;J2O13_04G008167;J2O13_08G017503;J2O13_10G023443</t>
  </si>
  <si>
    <t>GO:0019900</t>
  </si>
  <si>
    <t>kinase binding</t>
  </si>
  <si>
    <t>J2O13_02G004064;J2O13_05G009993;J2O13_08G018567;J2O13_10G023794</t>
  </si>
  <si>
    <t>GO:0042910</t>
  </si>
  <si>
    <t>xenobiotic transmembrane transporter activity</t>
  </si>
  <si>
    <t>J2O13_05G010314;J2O13_05G011454;J2O13_06G014883;J2O13_10G022685</t>
  </si>
  <si>
    <t>J2O13_02G004265;J2O13_02G004268;J2O13_05G009971;J2O13_05G010622;J2O13_05G010643;J2O13_07G016457;J2O13_07G017262;J2O13_08G019059;J2O13_09G021748;J2O13_09G021793</t>
  </si>
  <si>
    <t>GO:0009834</t>
  </si>
  <si>
    <t>plant-type secondary cell wall biogenesis</t>
  </si>
  <si>
    <t>J2O13_02G004804;J2O13_04G008248;J2O13_05G011762;J2O13_08G017494;J2O13_10G022272</t>
  </si>
  <si>
    <t>GO:0042546</t>
  </si>
  <si>
    <t>cell wall biogenesis</t>
  </si>
  <si>
    <t>J2O13_01G001169;J2O13_01G001890;J2O13_05G009925;J2O13_05G011287;J2O13_07G015114</t>
  </si>
  <si>
    <t>GO:0006811</t>
  </si>
  <si>
    <t>ion transport</t>
  </si>
  <si>
    <t>J2O13_02G004349;J2O13_UnG024632</t>
  </si>
  <si>
    <t>GO:0008066</t>
  </si>
  <si>
    <t>glutamate receptor activity</t>
  </si>
  <si>
    <t>J2O13_09G020627;J2O13_09G021710</t>
  </si>
  <si>
    <t>GO:0015276</t>
  </si>
  <si>
    <t>ligand-gated ion channel activity</t>
  </si>
  <si>
    <t>GO:0019432</t>
  </si>
  <si>
    <t>triglyceride biosynthetic process</t>
  </si>
  <si>
    <t>J2O13_01G001512;J2O13_08G018567</t>
  </si>
  <si>
    <t>GO:0000148</t>
  </si>
  <si>
    <t>1,3-beta-D-glucan synthase complex</t>
  </si>
  <si>
    <t>GO:0000963</t>
  </si>
  <si>
    <t>mitochondrial RNA processing</t>
  </si>
  <si>
    <t>GO:0001708</t>
  </si>
  <si>
    <t>cell fate specification</t>
  </si>
  <si>
    <t>GO:0003843</t>
  </si>
  <si>
    <t>1,3-beta-D-glucan synthase activity</t>
  </si>
  <si>
    <t>GO:0003860</t>
  </si>
  <si>
    <t>3-hydroxyisobutyryl-CoA hydrolase activity</t>
  </si>
  <si>
    <t>GO:0003906</t>
  </si>
  <si>
    <t>DNA-(apurinic or apyrimidinic site) endonuclease activity</t>
  </si>
  <si>
    <t>GO:0004033</t>
  </si>
  <si>
    <t>aldo-keto reductase (NADP) activity</t>
  </si>
  <si>
    <t>GO:0004124</t>
  </si>
  <si>
    <t>cysteine synthase activity</t>
  </si>
  <si>
    <t>GO:0004527</t>
  </si>
  <si>
    <t>exonuclease activity</t>
  </si>
  <si>
    <t>GO:0004575</t>
  </si>
  <si>
    <t>sucrose alpha-glucosidase activity</t>
  </si>
  <si>
    <t>GO:0005666</t>
  </si>
  <si>
    <t>RNA polymerase III complex</t>
  </si>
  <si>
    <t>GO:0005832</t>
  </si>
  <si>
    <t>chaperonin-containing T-complex</t>
  </si>
  <si>
    <t>GO:0006075</t>
  </si>
  <si>
    <t>(1-&gt;3)-beta-D-glucan biosynthetic process</t>
  </si>
  <si>
    <t>GO:0006656</t>
  </si>
  <si>
    <t>phosphatidylcholine biosynthetic process</t>
  </si>
  <si>
    <t>GO:0006878</t>
  </si>
  <si>
    <t>cellular copper ion homeostasis</t>
  </si>
  <si>
    <t>GO:0007004</t>
  </si>
  <si>
    <t>telomere maintenance via telomerase</t>
  </si>
  <si>
    <t>GO:0007094</t>
  </si>
  <si>
    <t>mitotic spindle assembly checkpoint signaling</t>
  </si>
  <si>
    <t>GO:0007129</t>
  </si>
  <si>
    <t>homologous chromosome pairing at meiosis</t>
  </si>
  <si>
    <t>GO:0008131</t>
  </si>
  <si>
    <t>primary amine oxidase activity</t>
  </si>
  <si>
    <t>GO:0008199</t>
  </si>
  <si>
    <t>ferric iron binding</t>
  </si>
  <si>
    <t>GO:0009807</t>
  </si>
  <si>
    <t>lignan biosynthetic process</t>
  </si>
  <si>
    <t>GO:0010093</t>
  </si>
  <si>
    <t>specification of floral organ identity</t>
  </si>
  <si>
    <t>GO:0010117</t>
  </si>
  <si>
    <t>photoprotection</t>
  </si>
  <si>
    <t>GO:0010581</t>
  </si>
  <si>
    <t>regulation of starch biosynthetic process</t>
  </si>
  <si>
    <t>GO:0015746</t>
  </si>
  <si>
    <t>citrate transport</t>
  </si>
  <si>
    <t>GO:0015749</t>
  </si>
  <si>
    <t>monosaccharide transmembrane transport</t>
  </si>
  <si>
    <t>GO:0015977</t>
  </si>
  <si>
    <t>carbon fixation</t>
  </si>
  <si>
    <t>GO:0016174</t>
  </si>
  <si>
    <t>NAD(P)H oxidase H2O2-forming activity</t>
  </si>
  <si>
    <t>GO:0016984</t>
  </si>
  <si>
    <t>ribulose-bisphosphate carboxylase activity</t>
  </si>
  <si>
    <t>GO:0019761</t>
  </si>
  <si>
    <t>glucosinolate biosynthetic process</t>
  </si>
  <si>
    <t>GO:0019852</t>
  </si>
  <si>
    <t>L-ascorbic acid metabolic process</t>
  </si>
  <si>
    <t>GO:0030488</t>
  </si>
  <si>
    <t>tRNA methylation</t>
  </si>
  <si>
    <t>GO:0031012</t>
  </si>
  <si>
    <t>extracellular matrix</t>
  </si>
  <si>
    <t>GO:0031087</t>
  </si>
  <si>
    <t>deadenylation-independent decapping of nuclear-transcribed mRNA</t>
  </si>
  <si>
    <t>GO:0032940</t>
  </si>
  <si>
    <t>secretion by cell</t>
  </si>
  <si>
    <t>GO:0033926</t>
  </si>
  <si>
    <t>glycopeptide alpha-N-acetylgalactosaminidase activity</t>
  </si>
  <si>
    <t>GO:0034399</t>
  </si>
  <si>
    <t>nuclear periphery</t>
  </si>
  <si>
    <t>GO:0042372</t>
  </si>
  <si>
    <t>phylloquinone biosynthetic process</t>
  </si>
  <si>
    <t>GO:0042995</t>
  </si>
  <si>
    <t>cell projection</t>
  </si>
  <si>
    <t>GO:0043928</t>
  </si>
  <si>
    <t>exonucleolytic catabolism of deadenylated mRNA</t>
  </si>
  <si>
    <t>GO:0045332</t>
  </si>
  <si>
    <t>phospholipid translocation</t>
  </si>
  <si>
    <t>GO:0045335</t>
  </si>
  <si>
    <t>phagocytic vesicle</t>
  </si>
  <si>
    <t>GO:0046246</t>
  </si>
  <si>
    <t>terpene biosynthetic process</t>
  </si>
  <si>
    <t>GO:0046345</t>
  </si>
  <si>
    <t>abscisic acid catabolic process</t>
  </si>
  <si>
    <t>GO:0046512</t>
  </si>
  <si>
    <t>sphingosine biosynthetic process</t>
  </si>
  <si>
    <t>GO:0047760</t>
  </si>
  <si>
    <t>butyrate-CoA ligase activity</t>
  </si>
  <si>
    <t>GO:0048507</t>
  </si>
  <si>
    <t>meristem development</t>
  </si>
  <si>
    <t>GO:0050776</t>
  </si>
  <si>
    <t>regulation of immune response</t>
  </si>
  <si>
    <t>GO:0051512</t>
  </si>
  <si>
    <t>positive regulation of unidimensional cell growth</t>
  </si>
  <si>
    <t>GO:0051762</t>
  </si>
  <si>
    <t>sesquiterpene biosynthetic process</t>
  </si>
  <si>
    <t>GO:0052692</t>
  </si>
  <si>
    <t>raffinose alpha-galactosidase activity</t>
  </si>
  <si>
    <t>GO:0090404</t>
  </si>
  <si>
    <t>pollen tube tip</t>
  </si>
  <si>
    <t>GO:0140547</t>
  </si>
  <si>
    <t>acquisition of seed longevity</t>
  </si>
  <si>
    <t>GO:1990538</t>
  </si>
  <si>
    <t>xylan O-acetyltransferase activity</t>
  </si>
  <si>
    <t>GO:2000306</t>
  </si>
  <si>
    <t>positive regulation of photomorphogenesis</t>
  </si>
  <si>
    <t>GO:0000118</t>
  </si>
  <si>
    <t>histone deacetylase complex</t>
  </si>
  <si>
    <t>GO:0004197</t>
  </si>
  <si>
    <t>cysteine-type endopeptidase activity</t>
  </si>
  <si>
    <t>J2O13_03G006292;J2O13_05G010418;J2O13_05G010643;J2O13_08G019059</t>
  </si>
  <si>
    <t>GO:0004713</t>
  </si>
  <si>
    <t>protein tyrosine kinase activity</t>
  </si>
  <si>
    <t>J2O13_03G005838;J2O13_04G007856;J2O13_08G018762;J2O13_08G019233</t>
  </si>
  <si>
    <t>GO:0000981</t>
  </si>
  <si>
    <t>DNA-binding transcription factor activity, RNA polymerase II-specific</t>
  </si>
  <si>
    <t>J2O13_01G000654;J2O13_01G001434;J2O13_01G002257;J2O13_02G004427;J2O13_02G004636;J2O13_04G007505;J2O13_04G007514;J2O13_04G007971;J2O13_05G010526;J2O13_05G011748;J2O13_06G013698;J2O13_06G014725;J2O13_09G019667;J2O13_09G021463;J2O13_09G021822;J2O13_09G021933;J2O13_10G022266</t>
  </si>
  <si>
    <t>GO:0009723</t>
  </si>
  <si>
    <t>response to ethylene</t>
  </si>
  <si>
    <t>J2O13_01G000480;J2O13_01G002193;J2O13_02G004886;J2O13_03G005267;J2O13_05G011011;J2O13_05G012160;J2O13_05G012510;J2O13_05G012730;J2O13_06G013385;J2O13_06G014906;J2O13_09G020796;J2O13_10G024552</t>
  </si>
  <si>
    <t>GO:0007017</t>
  </si>
  <si>
    <t>microtubule-based process</t>
  </si>
  <si>
    <t>J2O13_03G005922;J2O13_06G014695;J2O13_10G023511</t>
  </si>
  <si>
    <t>GO:0140658</t>
  </si>
  <si>
    <t>ATP-dependent chromatin remodeler activity</t>
  </si>
  <si>
    <t>J2O13_04G008183;J2O13_05G012787;J2O13_10G024498</t>
  </si>
  <si>
    <t>GO:0009827</t>
  </si>
  <si>
    <t>plant-type cell wall modification</t>
  </si>
  <si>
    <t>J2O13_01G001119;J2O13_09G020882</t>
  </si>
  <si>
    <t>GO:0009851</t>
  </si>
  <si>
    <t>auxin biosynthetic process</t>
  </si>
  <si>
    <t>J2O13_02G004804;J2O13_07G017325</t>
  </si>
  <si>
    <t>GO:0010020</t>
  </si>
  <si>
    <t>chloroplast fission</t>
  </si>
  <si>
    <t>J2O13_02G004349;J2O13_03G005579</t>
  </si>
  <si>
    <t>GO:0015079</t>
  </si>
  <si>
    <t>potassium ion transmembrane transporter activity</t>
  </si>
  <si>
    <t>J2O13_04G008833;J2O13_05G011559</t>
  </si>
  <si>
    <t>GO:0045454</t>
  </si>
  <si>
    <t>cell redox homeostasis</t>
  </si>
  <si>
    <t>J2O13_04G008144;J2O13_05G011941</t>
  </si>
  <si>
    <t>GO:0051119</t>
  </si>
  <si>
    <t>sugar transmembrane transporter activity</t>
  </si>
  <si>
    <t>J2O13_02G003969;J2O13_04G007973</t>
  </si>
  <si>
    <t>GO:0055028</t>
  </si>
  <si>
    <t>cortical microtubule</t>
  </si>
  <si>
    <t>GO:0071230</t>
  </si>
  <si>
    <t>cellular response to amino acid stimulus</t>
  </si>
  <si>
    <t>GO:0009791</t>
  </si>
  <si>
    <t>post-embryonic development</t>
  </si>
  <si>
    <t>J2O13_01G000480;J2O13_03G006134;J2O13_03G007008;J2O13_07G015366;J2O13_10G022072;J2O13_10G024386</t>
  </si>
  <si>
    <t>GO:0000287</t>
  </si>
  <si>
    <t>magnesium ion binding</t>
  </si>
  <si>
    <t>J2O13_01G000996;J2O13_01G001592;J2O13_02G003635;J2O13_03G006387;J2O13_03G006883;J2O13_04G007116;J2O13_04G007136;J2O13_04G007351;J2O13_05G009428;J2O13_05G009502;J2O13_05G011370;J2O13_06G013773;J2O13_06G013989;J2O13_10G023263</t>
  </si>
  <si>
    <t>GO:0004559</t>
  </si>
  <si>
    <t>alpha-mannosidase activity</t>
  </si>
  <si>
    <t>GO:0005313</t>
  </si>
  <si>
    <t>L-glutamate transmembrane transporter activity</t>
  </si>
  <si>
    <t>GO:0006000</t>
  </si>
  <si>
    <t>fructose metabolic process</t>
  </si>
  <si>
    <t>GO:0006605</t>
  </si>
  <si>
    <t>protein targeting</t>
  </si>
  <si>
    <t>GO:0006621</t>
  </si>
  <si>
    <t>protein retention in ER lumen</t>
  </si>
  <si>
    <t>GO:0006644</t>
  </si>
  <si>
    <t>phospholipid metabolic process</t>
  </si>
  <si>
    <t>GO:0008865</t>
  </si>
  <si>
    <t>fructokinase activity</t>
  </si>
  <si>
    <t>GO:0008886</t>
  </si>
  <si>
    <t>glyceraldehyde-3-phosphate dehydrogenase (NADP+) (non-phosphorylating) activity</t>
  </si>
  <si>
    <t>GO:0009060</t>
  </si>
  <si>
    <t>aerobic respiration</t>
  </si>
  <si>
    <t>GO:0009089</t>
  </si>
  <si>
    <t>lysine biosynthetic process via diaminopimelate</t>
  </si>
  <si>
    <t>GO:0009099</t>
  </si>
  <si>
    <t>valine biosynthetic process</t>
  </si>
  <si>
    <t>GO:0010099</t>
  </si>
  <si>
    <t>regulation of photomorphogenesis</t>
  </si>
  <si>
    <t>GO:0010310</t>
  </si>
  <si>
    <t>regulation of hydrogen peroxide metabolic process</t>
  </si>
  <si>
    <t>GO:0010334</t>
  </si>
  <si>
    <t>sesquiterpene synthase activity</t>
  </si>
  <si>
    <t>GO:0010587</t>
  </si>
  <si>
    <t>miRNA catabolic process</t>
  </si>
  <si>
    <t>GO:0010608</t>
  </si>
  <si>
    <t>post-transcriptional regulation of gene expression</t>
  </si>
  <si>
    <t>GO:0010623</t>
  </si>
  <si>
    <t>programmed cell death involved in cell development</t>
  </si>
  <si>
    <t>GO:0015211</t>
  </si>
  <si>
    <t>purine nucleoside transmembrane transporter activity</t>
  </si>
  <si>
    <t>GO:0019863</t>
  </si>
  <si>
    <t>IgE binding</t>
  </si>
  <si>
    <t>GO:0030042</t>
  </si>
  <si>
    <t>actin filament depolymerization</t>
  </si>
  <si>
    <t>GO:0030104</t>
  </si>
  <si>
    <t>water homeostasis</t>
  </si>
  <si>
    <t>GO:0031507</t>
  </si>
  <si>
    <t>heterochromatin formation</t>
  </si>
  <si>
    <t>GO:0032776</t>
  </si>
  <si>
    <t>DNA methylation on cytosine</t>
  </si>
  <si>
    <t>GO:0035825</t>
  </si>
  <si>
    <t>homologous recombination</t>
  </si>
  <si>
    <t>GO:0042753</t>
  </si>
  <si>
    <t>positive regulation of circadian rhythm</t>
  </si>
  <si>
    <t>GO:0043972</t>
  </si>
  <si>
    <t>histone H3-K23 acetylation</t>
  </si>
  <si>
    <t>GO:0045839</t>
  </si>
  <si>
    <t>negative regulation of mitotic nuclear division</t>
  </si>
  <si>
    <t>GO:0046907</t>
  </si>
  <si>
    <t>intracellular transport</t>
  </si>
  <si>
    <t>GO:0048658</t>
  </si>
  <si>
    <t>anther wall tapetum development</t>
  </si>
  <si>
    <t>GO:0048768</t>
  </si>
  <si>
    <t>root hair cell tip growth</t>
  </si>
  <si>
    <t>GO:0050136</t>
  </si>
  <si>
    <t>NADH dehydrogenase (quinone) activity</t>
  </si>
  <si>
    <t>GO:0055088</t>
  </si>
  <si>
    <t>lipid homeostasis</t>
  </si>
  <si>
    <t>GO:0070180</t>
  </si>
  <si>
    <t>large ribosomal subunit rRNA binding</t>
  </si>
  <si>
    <t>GO:0071035</t>
  </si>
  <si>
    <t>nuclear polyadenylation-dependent rRNA catabolic process</t>
  </si>
  <si>
    <t>GO:1902182</t>
  </si>
  <si>
    <t>shoot apical meristem development</t>
  </si>
  <si>
    <t>GO:1990641</t>
  </si>
  <si>
    <t>response to iron ion starvation</t>
  </si>
  <si>
    <t>GO:0006813</t>
  </si>
  <si>
    <t>potassium ion transport</t>
  </si>
  <si>
    <t>J2O13_03G005675;J2O13_04G008833;J2O13_05G011559;J2O13_10G023967;J2O13_10G023968</t>
  </si>
  <si>
    <t>GO:0009646</t>
  </si>
  <si>
    <t>response to absence of light</t>
  </si>
  <si>
    <t>J2O13_02G003307;J2O13_05G011011;J2O13_09G020796</t>
  </si>
  <si>
    <t>GO:0035970</t>
  </si>
  <si>
    <t>peptidyl-threonine dephosphorylation</t>
  </si>
  <si>
    <t>J2O13_03G005863;J2O13_04G007516;J2O13_10G022084</t>
  </si>
  <si>
    <t>GO:0080092</t>
  </si>
  <si>
    <t>regulation of pollen tube growth</t>
  </si>
  <si>
    <t>J2O13_07G016105;J2O13_09G019908;J2O13_09G020960</t>
  </si>
  <si>
    <t>GO:0007049</t>
  </si>
  <si>
    <t>cell cycle</t>
  </si>
  <si>
    <t>J2O13_01G001322;J2O13_03G005379;J2O13_04G008594;J2O13_05G009695;J2O13_07G015338;J2O13_07G015587;J2O13_09G020847;J2O13_10G023681;J2O13_10G023794;J2O13_10G024312</t>
  </si>
  <si>
    <t>GO:0008757</t>
  </si>
  <si>
    <t>S-adenosylmethionine-dependent methyltransferase activity</t>
  </si>
  <si>
    <t>J2O13_01G001389;J2O13_06G013773</t>
  </si>
  <si>
    <t>GO:0009411</t>
  </si>
  <si>
    <t>response to UV</t>
  </si>
  <si>
    <t>J2O13_05G010151;J2O13_05G012725</t>
  </si>
  <si>
    <t>GO:0048868</t>
  </si>
  <si>
    <t>pollen tube development</t>
  </si>
  <si>
    <t>J2O13_05G009789;J2O13_05G011287</t>
  </si>
  <si>
    <t>GO:0071215</t>
  </si>
  <si>
    <t>cellular response to abscisic acid stimulus</t>
  </si>
  <si>
    <t>J2O13_01G001587;J2O13_08G019173</t>
  </si>
  <si>
    <t>GO:0045087</t>
  </si>
  <si>
    <t>innate immune response</t>
  </si>
  <si>
    <t>J2O13_02G004216;J2O13_05G010640;J2O13_08G017823;J2O13_08G019262;J2O13_09G021646;J2O13_09G021803</t>
  </si>
  <si>
    <t>GO:0006470</t>
  </si>
  <si>
    <t>protein dephosphorylation</t>
  </si>
  <si>
    <t>J2O13_02G003600;J2O13_02G005010;J2O13_04G007698;J2O13_05G012480;J2O13_09G019817</t>
  </si>
  <si>
    <t>GO:2000028</t>
  </si>
  <si>
    <t>regulation of photoperiodism, flowering</t>
  </si>
  <si>
    <t>J2O13_03G005840;J2O13_05G012599;J2O13_06G013866;J2O13_07G016666</t>
  </si>
  <si>
    <t>GO:0000325</t>
  </si>
  <si>
    <t>plant-type vacuole</t>
  </si>
  <si>
    <t>J2O13_01G000605;J2O13_01G000878;J2O13_01G002859;J2O13_02G003875;J2O13_02G003876;J2O13_02G004804;J2O13_02G004893;J2O13_03G005585;J2O13_03G006020;J2O13_04G007347;J2O13_04G007604;J2O13_04G007690;J2O13_04G007888;J2O13_04G008248;J2O13_05G009695;J2O13_05G011454;J2O13_05G011762;J2O13_05G011937;J2O13_05G012054;J2O13_06G013439;J2O13_07G016330;J2O13_07G016684;J2O13_07G016685;J2O13_07G017355;J2O13_08G018961;J2O13_09G020106;J2O13_09G020701;J2O13_09G021550;J2O13_09G021942;J2O13_09G021943;J2O13_10G023520;J2O13_10G023837;J2O13_10G023993</t>
  </si>
  <si>
    <t>GO:0005546</t>
  </si>
  <si>
    <t>phosphatidylinositol-4,5-bisphosphate binding</t>
  </si>
  <si>
    <t>J2O13_03G006383;J2O13_05G010334;J2O13_10G023340</t>
  </si>
  <si>
    <t>GO:0010311</t>
  </si>
  <si>
    <t>lateral root formation</t>
  </si>
  <si>
    <t>J2O13_03G005838;J2O13_03G007008;J2O13_06G013480</t>
  </si>
  <si>
    <t>GO:0043068</t>
  </si>
  <si>
    <t>positive regulation of programmed cell death</t>
  </si>
  <si>
    <t>J2O13_02G003634;J2O13_02G003697;J2O13_10G024233</t>
  </si>
  <si>
    <t>GO:0044030</t>
  </si>
  <si>
    <t>regulation of DNA methylation</t>
  </si>
  <si>
    <t>J2O13_03G006020;J2O13_03G006640;J2O13_05G012787</t>
  </si>
  <si>
    <t>GO:1990961</t>
  </si>
  <si>
    <t>xenobiotic detoxification by transmembrane export across the plasma membrane</t>
  </si>
  <si>
    <t>J2O13_05G010314;J2O13_05G011454;J2O13_06G014883</t>
  </si>
  <si>
    <t>GO:0000326</t>
  </si>
  <si>
    <t>protein storage vacuole</t>
  </si>
  <si>
    <t>GO:0003846</t>
  </si>
  <si>
    <t>2-acylglycerol O-acyltransferase activity</t>
  </si>
  <si>
    <t>GO:0004029</t>
  </si>
  <si>
    <t>aldehyde dehydrogenase (NAD+) activity</t>
  </si>
  <si>
    <t>GO:0004129</t>
  </si>
  <si>
    <t>cytochrome-c oxidase activity</t>
  </si>
  <si>
    <t>GO:0004525</t>
  </si>
  <si>
    <t>ribonuclease III activity</t>
  </si>
  <si>
    <t>GO:0004622</t>
  </si>
  <si>
    <t>lysophospholipase activity</t>
  </si>
  <si>
    <t>GO:0004673</t>
  </si>
  <si>
    <t>protein histidine kinase activity</t>
  </si>
  <si>
    <t>GO:0004743</t>
  </si>
  <si>
    <t>pyruvate kinase activity</t>
  </si>
  <si>
    <t>GO:0004860</t>
  </si>
  <si>
    <t>protein kinase inhibitor activity</t>
  </si>
  <si>
    <t>GO:0007052</t>
  </si>
  <si>
    <t>mitotic spindle organization</t>
  </si>
  <si>
    <t>GO:0009086</t>
  </si>
  <si>
    <t>methionine biosynthetic process</t>
  </si>
  <si>
    <t>GO:0009927</t>
  </si>
  <si>
    <t>histidine phosphotransfer kinase activity</t>
  </si>
  <si>
    <t>GO:0010216</t>
  </si>
  <si>
    <t>maintenance of DNA methylation</t>
  </si>
  <si>
    <t>GO:0010483</t>
  </si>
  <si>
    <t>pollen tube reception</t>
  </si>
  <si>
    <t>GO:0016712</t>
  </si>
  <si>
    <t>oxidoreductase activity, acting on paired donors, with incorporation or reduction of molecular oxygen, reduced flavin or flavoprotein as one donor, and incorporation of one atom of oxygen</t>
  </si>
  <si>
    <t>GO:0022900</t>
  </si>
  <si>
    <t>electron transport chain</t>
  </si>
  <si>
    <t>GO:0030687</t>
  </si>
  <si>
    <t>preribosome, large subunit precursor</t>
  </si>
  <si>
    <t>GO:0030955</t>
  </si>
  <si>
    <t>potassium ion binding</t>
  </si>
  <si>
    <t>GO:0034620</t>
  </si>
  <si>
    <t>cellular response to unfolded protein</t>
  </si>
  <si>
    <t>GO:0043878</t>
  </si>
  <si>
    <t>glyceraldehyde-3-phosphate dehydrogenase (NAD+) (non-phosphorylating) activity</t>
  </si>
  <si>
    <t>GO:0043971</t>
  </si>
  <si>
    <t>histone H3-K18 acetylation</t>
  </si>
  <si>
    <t>GO:0044154</t>
  </si>
  <si>
    <t>histone H3-K14 acetylation</t>
  </si>
  <si>
    <t>GO:0048831</t>
  </si>
  <si>
    <t>regulation of shoot system development</t>
  </si>
  <si>
    <t>GO:0051017</t>
  </si>
  <si>
    <t>actin filament bundle assembly</t>
  </si>
  <si>
    <t>GO:0080186</t>
  </si>
  <si>
    <t>developmental vegetative growth</t>
  </si>
  <si>
    <t>GO:0090430</t>
  </si>
  <si>
    <t>caffeoyl-CoA: alcohol caffeoyl transferase activity</t>
  </si>
  <si>
    <t>GO:1900994</t>
  </si>
  <si>
    <t>(-)-secologanin biosynthetic process</t>
  </si>
  <si>
    <t>GO:0001228</t>
  </si>
  <si>
    <t>DNA-binding transcription activator activity, RNA polymerase II-specific</t>
  </si>
  <si>
    <t>GO:0006730</t>
  </si>
  <si>
    <t>one-carbon metabolic process</t>
  </si>
  <si>
    <t>J2O13_01G001287;J2O13_10G022215</t>
  </si>
  <si>
    <t>GO:0006865</t>
  </si>
  <si>
    <t>amino acid transport</t>
  </si>
  <si>
    <t>J2O13_04G008894;J2O13_07G016280</t>
  </si>
  <si>
    <t>GO:0006890</t>
  </si>
  <si>
    <t>retrograde vesicle-mediated transport, Golgi to endoplasmic reticulum</t>
  </si>
  <si>
    <t>J2O13_09G021320;J2O13_09G021661</t>
  </si>
  <si>
    <t>GO:0007267</t>
  </si>
  <si>
    <t>cell-cell signaling</t>
  </si>
  <si>
    <t>J2O13_02G004577;J2O13_07G016589</t>
  </si>
  <si>
    <t>GO:0008483</t>
  </si>
  <si>
    <t>transaminase activity</t>
  </si>
  <si>
    <t>J2O13_02G004182;J2O13_07G015408</t>
  </si>
  <si>
    <t>GO:0010038</t>
  </si>
  <si>
    <t>response to metal ion</t>
  </si>
  <si>
    <t>J2O13_05G011011;J2O13_08G017877</t>
  </si>
  <si>
    <t>GO:0042651</t>
  </si>
  <si>
    <t>thylakoid membrane</t>
  </si>
  <si>
    <t>J2O13_01G000285;J2O13_04G007649</t>
  </si>
  <si>
    <t>GO:0046274</t>
  </si>
  <si>
    <t>lignin catabolic process</t>
  </si>
  <si>
    <t>J2O13_01G000923;J2O13_02G003801</t>
  </si>
  <si>
    <t>GO:0048229</t>
  </si>
  <si>
    <t>gametophyte development</t>
  </si>
  <si>
    <t>J2O13_01G002539;J2O13_04G007924</t>
  </si>
  <si>
    <t>GO:0052716</t>
  </si>
  <si>
    <t>hydroquinone:oxygen oxidoreductase activity</t>
  </si>
  <si>
    <t>GO:2000652</t>
  </si>
  <si>
    <t>regulation of secondary cell wall biogenesis</t>
  </si>
  <si>
    <t>J2O13_05G009993;J2O13_09G019765</t>
  </si>
  <si>
    <t>GO:0051301</t>
  </si>
  <si>
    <t>cell division</t>
  </si>
  <si>
    <t>J2O13_02G004547;J2O13_03G005379;J2O13_04G007598;J2O13_04G008594;J2O13_05G009695;J2O13_05G009796;J2O13_05G010962;J2O13_05G012010;J2O13_07G015338;J2O13_07G015587;J2O13_07G015870;J2O13_08G017503;J2O13_08G019173;J2O13_09G020847;J2O13_09G021544;J2O13_10G023443;J2O13_10G023681;J2O13_10G023794;J2O13_10G024312;J2O13_10G024554</t>
  </si>
  <si>
    <t>GO:0016538</t>
  </si>
  <si>
    <t>cyclin-dependent protein serine/threonine kinase regulator activity</t>
  </si>
  <si>
    <t>J2O13_01G002468;J2O13_07G016105;J2O13_08G019310;J2O13_10G023491</t>
  </si>
  <si>
    <t>GO:0019722</t>
  </si>
  <si>
    <t>calcium-mediated signaling</t>
  </si>
  <si>
    <t>J2O13_01G000862;J2O13_02G004577;J2O13_09G020627;J2O13_09G021710</t>
  </si>
  <si>
    <t>GO:0046777</t>
  </si>
  <si>
    <t>protein autophosphorylation</t>
  </si>
  <si>
    <t>J2O13_01G000161;J2O13_01G000480;J2O13_02G004917;J2O13_03G005856;J2O13_04G007454;J2O13_05G009319;J2O13_05G010720;J2O13_05G011114;J2O13_05G012117;J2O13_05G012401;J2O13_06G013821;J2O13_07G015050;J2O13_09G019871;J2O13_09G020560;J2O13_10G022137;J2O13_10G022496</t>
  </si>
  <si>
    <t>GO:0009561</t>
  </si>
  <si>
    <t>megagametogenesis</t>
  </si>
  <si>
    <t>GO:0015145</t>
  </si>
  <si>
    <t>monosaccharide transmembrane transporter activity</t>
  </si>
  <si>
    <t>J2O13_05G009464;J2O13_06G013255</t>
  </si>
  <si>
    <t>GO:0019253</t>
  </si>
  <si>
    <t>reductive pentose-phosphate cycle</t>
  </si>
  <si>
    <t>J2O13_02G005048;J2O13_03G006883</t>
  </si>
  <si>
    <t>GO:0051865</t>
  </si>
  <si>
    <t>protein autoubiquitination</t>
  </si>
  <si>
    <t>J2O13_03G005864;J2O13_10G022466</t>
  </si>
  <si>
    <t>GO:0071472</t>
  </si>
  <si>
    <t>cellular response to salt stress</t>
  </si>
  <si>
    <t>J2O13_02G004218;J2O13_07G014939</t>
  </si>
  <si>
    <t>GO:0004553</t>
  </si>
  <si>
    <t>hydrolase activity, hydrolyzing O-glycosyl compounds</t>
  </si>
  <si>
    <t>J2O13_01G001890;J2O13_04G008432;J2O13_05G009925;J2O13_07G015114;J2O13_10G022917</t>
  </si>
  <si>
    <t>GO:0010027</t>
  </si>
  <si>
    <t>thylakoid membrane organization</t>
  </si>
  <si>
    <t>J2O13_01G000285;J2O13_05G010755;J2O13_10G022087</t>
  </si>
  <si>
    <t>GO:0010183</t>
  </si>
  <si>
    <t>pollen tube guidance</t>
  </si>
  <si>
    <t>J2O13_07G016076;J2O13_08G017428;J2O13_09G019908</t>
  </si>
  <si>
    <t>GO:0051321</t>
  </si>
  <si>
    <t>meiotic cell cycle</t>
  </si>
  <si>
    <t>J2O13_02G003771;J2O13_07G015870;J2O13_07G016132</t>
  </si>
  <si>
    <t>GO:0000176</t>
  </si>
  <si>
    <t>nuclear exosome (RNase complex)</t>
  </si>
  <si>
    <t>GO:0000794</t>
  </si>
  <si>
    <t>condensed nuclear chromosome</t>
  </si>
  <si>
    <t>GO:0005545</t>
  </si>
  <si>
    <t>1-phosphatidylinositol binding</t>
  </si>
  <si>
    <t>GO:0005765</t>
  </si>
  <si>
    <t>lysosomal membrane</t>
  </si>
  <si>
    <t>GO:0005987</t>
  </si>
  <si>
    <t>sucrose catabolic process</t>
  </si>
  <si>
    <t>GO:0006012</t>
  </si>
  <si>
    <t>galactose metabolic process</t>
  </si>
  <si>
    <t>GO:0006298</t>
  </si>
  <si>
    <t>mismatch repair</t>
  </si>
  <si>
    <t>GO:0006535</t>
  </si>
  <si>
    <t>cysteine biosynthetic process from serine</t>
  </si>
  <si>
    <t>GO:0007064</t>
  </si>
  <si>
    <t>mitotic sister chromatid cohesion</t>
  </si>
  <si>
    <t>GO:0009097</t>
  </si>
  <si>
    <t>isoleucine biosynthetic process</t>
  </si>
  <si>
    <t>GO:0009759</t>
  </si>
  <si>
    <t>indole glucosinolate biosynthetic process</t>
  </si>
  <si>
    <t>GO:0009850</t>
  </si>
  <si>
    <t>auxin metabolic process</t>
  </si>
  <si>
    <t>GO:0010492</t>
  </si>
  <si>
    <t>maintenance of shoot apical meristem identity</t>
  </si>
  <si>
    <t>GO:0015035</t>
  </si>
  <si>
    <t>protein-disulfide reductase activity</t>
  </si>
  <si>
    <t>GO:0015078</t>
  </si>
  <si>
    <t>proton transmembrane transporter activity</t>
  </si>
  <si>
    <t>GO:0016671</t>
  </si>
  <si>
    <t>oxidoreductase activity, acting on a sulfur group of donors, disulfide as acceptor</t>
  </si>
  <si>
    <t>GO:0017119</t>
  </si>
  <si>
    <t>Golgi transport complex</t>
  </si>
  <si>
    <t>GO:0031011</t>
  </si>
  <si>
    <t>Ino80 complex</t>
  </si>
  <si>
    <t>GO:0032544</t>
  </si>
  <si>
    <t>plastid translation</t>
  </si>
  <si>
    <t>GO:0046654</t>
  </si>
  <si>
    <t>tetrahydrofolate biosynthetic process</t>
  </si>
  <si>
    <t>GO:0048268</t>
  </si>
  <si>
    <t>clathrin coat assembly</t>
  </si>
  <si>
    <t>GO:0048359</t>
  </si>
  <si>
    <t>mucilage metabolic process involved in seed coat development</t>
  </si>
  <si>
    <t>GO:0048440</t>
  </si>
  <si>
    <t>carpel development</t>
  </si>
  <si>
    <t>GO:0070403</t>
  </si>
  <si>
    <t>NAD+ binding</t>
  </si>
  <si>
    <t>GO:0016791</t>
  </si>
  <si>
    <t>phosphatase activity</t>
  </si>
  <si>
    <t>J2O13_01G000311;J2O13_05G011392;J2O13_05G012414</t>
  </si>
  <si>
    <t>GO:0005811</t>
  </si>
  <si>
    <t>lipid droplet</t>
  </si>
  <si>
    <t>J2O13_07G016413;J2O13_09G021701</t>
  </si>
  <si>
    <t>GO:0007131</t>
  </si>
  <si>
    <t>reciprocal meiotic recombination</t>
  </si>
  <si>
    <t>J2O13_04G009073;J2O13_05G012045</t>
  </si>
  <si>
    <t>GO:0010187</t>
  </si>
  <si>
    <t>negative regulation of seed germination</t>
  </si>
  <si>
    <t>J2O13_09G021842;J2O13_10G022347</t>
  </si>
  <si>
    <t>GO:0031640</t>
  </si>
  <si>
    <t>killing of cells of another organism</t>
  </si>
  <si>
    <t>J2O13_07G015012;J2O13_07G015038</t>
  </si>
  <si>
    <t>GO:0035194</t>
  </si>
  <si>
    <t>RNA-mediated post-transcriptional gene silencing</t>
  </si>
  <si>
    <t>J2O13_06G013296;J2O13_08G018739</t>
  </si>
  <si>
    <t>GO:0043067</t>
  </si>
  <si>
    <t>regulation of programmed cell death</t>
  </si>
  <si>
    <t>J2O13_02G004337;J2O13_07G016095</t>
  </si>
  <si>
    <t>GO:0055085</t>
  </si>
  <si>
    <t>transmembrane transport</t>
  </si>
  <si>
    <t>J2O13_01G000684;J2O13_02G004349;J2O13_04G007347;J2O13_04G008427;J2O13_05G010864;J2O13_05G011208;J2O13_06G013429;J2O13_07G015148;J2O13_07G016684;J2O13_07G016685;J2O13_08G018790;J2O13_10G023011</t>
  </si>
  <si>
    <t>GO:0005774</t>
  </si>
  <si>
    <t>vacuolar membrane</t>
  </si>
  <si>
    <t>J2O13_05G011608;J2O13_05G011609;J2O13_06G013439;J2O13_07G015335;J2O13_07G017144;J2O13_08G019153;J2O13_09G021942;J2O13_09G021943;J2O13_10G023968</t>
  </si>
  <si>
    <t>GO:0010118</t>
  </si>
  <si>
    <t>stomatal movement</t>
  </si>
  <si>
    <t>J2O13_01G000480;J2O13_01G002193;J2O13_05G010824</t>
  </si>
  <si>
    <t>GO:0000418</t>
  </si>
  <si>
    <t>RNA polymerase IV complex</t>
  </si>
  <si>
    <t>GO:0004630</t>
  </si>
  <si>
    <t>phospholipase D activity</t>
  </si>
  <si>
    <t>GO:0005876</t>
  </si>
  <si>
    <t>spindle microtubule</t>
  </si>
  <si>
    <t>GO:0006402</t>
  </si>
  <si>
    <t>mRNA catabolic process</t>
  </si>
  <si>
    <t>GO:0006863</t>
  </si>
  <si>
    <t>purine nucleobase transport</t>
  </si>
  <si>
    <t>GO:0007186</t>
  </si>
  <si>
    <t>G protein-coupled receptor signaling pathway</t>
  </si>
  <si>
    <t>GO:0008559</t>
  </si>
  <si>
    <t>ABC-type xenobiotic transporter activity</t>
  </si>
  <si>
    <t>GO:0009942</t>
  </si>
  <si>
    <t>longitudinal axis specification</t>
  </si>
  <si>
    <t>GO:0010158</t>
  </si>
  <si>
    <t>abaxial cell fate specification</t>
  </si>
  <si>
    <t>GO:0010208</t>
  </si>
  <si>
    <t>pollen wall assembly</t>
  </si>
  <si>
    <t>GO:0010227</t>
  </si>
  <si>
    <t>floral organ abscission</t>
  </si>
  <si>
    <t>GO:0010417</t>
  </si>
  <si>
    <t>glucuronoxylan biosynthetic process</t>
  </si>
  <si>
    <t>GO:0010588</t>
  </si>
  <si>
    <t>cotyledon vascular tissue pattern formation</t>
  </si>
  <si>
    <t>GO:0010598</t>
  </si>
  <si>
    <t>NAD(P)H dehydrogenase complex (plastoquinone)</t>
  </si>
  <si>
    <t>GO:0032543</t>
  </si>
  <si>
    <t>mitochondrial translation</t>
  </si>
  <si>
    <t>GO:0045491</t>
  </si>
  <si>
    <t>xylan metabolic process</t>
  </si>
  <si>
    <t>GO:0045927</t>
  </si>
  <si>
    <t>positive regulation of growth</t>
  </si>
  <si>
    <t>GO:0051923</t>
  </si>
  <si>
    <t>sulfation</t>
  </si>
  <si>
    <t>GO:0070290</t>
  </si>
  <si>
    <t>N-acylphosphatidylethanolamine-specific phospholipase D activity</t>
  </si>
  <si>
    <t>GO:0070534</t>
  </si>
  <si>
    <t>protein K63-linked ubiquitination</t>
  </si>
  <si>
    <t>GO:0080111</t>
  </si>
  <si>
    <t>DNA demethylation</t>
  </si>
  <si>
    <t>GO:0004722</t>
  </si>
  <si>
    <t>protein serine/threonine phosphatase activity</t>
  </si>
  <si>
    <t>J2O13_03G005863;J2O13_04G007516;J2O13_05G011392;J2O13_10G022084</t>
  </si>
  <si>
    <t>GO:0046961</t>
  </si>
  <si>
    <t>proton-transporting ATPase activity, rotational mechanism</t>
  </si>
  <si>
    <t>GO:0055072</t>
  </si>
  <si>
    <t>iron ion homeostasis</t>
  </si>
  <si>
    <t>J2O13_01G000336;J2O13_05G011609</t>
  </si>
  <si>
    <t>GO:0070417</t>
  </si>
  <si>
    <t>cellular response to cold</t>
  </si>
  <si>
    <t>J2O13_05G012466;J2O13_09G020627</t>
  </si>
  <si>
    <t>GO:0048364</t>
  </si>
  <si>
    <t>root development</t>
  </si>
  <si>
    <t>J2O13_01G000480;J2O13_01G002539;J2O13_02G003255;J2O13_02G004848;J2O13_03G007008;J2O13_05G010023;J2O13_07G016684;J2O13_07G016685;J2O13_08G018145;J2O13_09G021750;J2O13_09G021999;J2O13_10G022127</t>
  </si>
  <si>
    <t>GO:0009553</t>
  </si>
  <si>
    <t>embryo sac development</t>
  </si>
  <si>
    <t>J2O13_01G000654;J2O13_04G007848;J2O13_07G016589;J2O13_08G017428;J2O13_10G024265</t>
  </si>
  <si>
    <t>J2O13_01G001581;J2O13_02G003255;J2O13_02G004216;J2O13_03G005363;J2O13_03G005864;J2O13_03G006767;J2O13_04G008902;J2O13_05G011596;J2O13_05G012244;J2O13_05G012466;J2O13_07G015105;J2O13_09G021022;J2O13_10G022465;J2O13_10G022466;J2O13_10G024554</t>
  </si>
  <si>
    <t>GO:0004521</t>
  </si>
  <si>
    <t>endoribonuclease activity</t>
  </si>
  <si>
    <t>J2O13_01G000602;J2O13_06G013296</t>
  </si>
  <si>
    <t>GO:0099402</t>
  </si>
  <si>
    <t>plant organ development</t>
  </si>
  <si>
    <t>J2O13_06G013117;J2O13_10G023996</t>
  </si>
  <si>
    <t>GO:0004535</t>
  </si>
  <si>
    <t>poly(A)-specific ribonuclease activity</t>
  </si>
  <si>
    <t>GO:0005345</t>
  </si>
  <si>
    <t>purine nucleobase transmembrane transporter activity</t>
  </si>
  <si>
    <t>GO:0006636</t>
  </si>
  <si>
    <t>unsaturated fatty acid biosynthetic process</t>
  </si>
  <si>
    <t>GO:0006826</t>
  </si>
  <si>
    <t>iron ion transport</t>
  </si>
  <si>
    <t>GO:0006874</t>
  </si>
  <si>
    <t>cellular calcium ion homeostasis</t>
  </si>
  <si>
    <t>GO:0006896</t>
  </si>
  <si>
    <t>Golgi to vacuole transport</t>
  </si>
  <si>
    <t>GO:0008266</t>
  </si>
  <si>
    <t>poly(U) RNA binding</t>
  </si>
  <si>
    <t>GO:0009299</t>
  </si>
  <si>
    <t>mRNA transcription</t>
  </si>
  <si>
    <t>GO:0009904</t>
  </si>
  <si>
    <t>chloroplast accumulation movement</t>
  </si>
  <si>
    <t>GO:0009932</t>
  </si>
  <si>
    <t>cell tip growth</t>
  </si>
  <si>
    <t>GO:0010497</t>
  </si>
  <si>
    <t>plasmodesmata-mediated intercellular transport</t>
  </si>
  <si>
    <t>GO:0032549</t>
  </si>
  <si>
    <t>ribonucleoside binding</t>
  </si>
  <si>
    <t>GO:0042147</t>
  </si>
  <si>
    <t>retrograde transport, endosome to Golgi</t>
  </si>
  <si>
    <t>GO:0042273</t>
  </si>
  <si>
    <t>ribosomal large subunit biogenesis</t>
  </si>
  <si>
    <t>GO:0045824</t>
  </si>
  <si>
    <t>negative regulation of innate immune response</t>
  </si>
  <si>
    <t>GO:0061608</t>
  </si>
  <si>
    <t>nuclear import signal receptor activity</t>
  </si>
  <si>
    <t>GO:1901259</t>
  </si>
  <si>
    <t>chloroplast rRNA processing</t>
  </si>
  <si>
    <t>GO:0050660</t>
  </si>
  <si>
    <t>flavin adenine dinucleotide binding</t>
  </si>
  <si>
    <t>J2O13_03G005129;J2O13_04G007969;J2O13_06G012979;J2O13_07G016589;J2O13_09G020482</t>
  </si>
  <si>
    <t>GO:0016413</t>
  </si>
  <si>
    <t>O-acetyltransferase activity</t>
  </si>
  <si>
    <t>J2O13_05G009556;J2O13_08G018598;J2O13_08G018607</t>
  </si>
  <si>
    <t>GO:0042393</t>
  </si>
  <si>
    <t>histone binding</t>
  </si>
  <si>
    <t>J2O13_03G005549;J2O13_03G006640;J2O13_04G008109;J2O13_04G008183;J2O13_10G024498;J2O13_10G024554</t>
  </si>
  <si>
    <t>GO:0010090</t>
  </si>
  <si>
    <t>trichome morphogenesis</t>
  </si>
  <si>
    <t>J2O13_04G008475;J2O13_06G014573</t>
  </si>
  <si>
    <t>GO:0010584</t>
  </si>
  <si>
    <t>pollen exine formation</t>
  </si>
  <si>
    <t>GO:0048235</t>
  </si>
  <si>
    <t>pollen sperm cell differentiation</t>
  </si>
  <si>
    <t>J2O13_05G012414;J2O13_08G018232</t>
  </si>
  <si>
    <t>J2O13_01G001104;J2O13_01G001581;J2O13_02G003255;J2O13_02G003491;J2O13_03G005267;J2O13_03G005363;J2O13_03G005391;J2O13_03G005864;J2O13_03G006290;J2O13_04G007305;J2O13_04G007773;J2O13_04G007848;J2O13_05G009471;J2O13_05G009549;J2O13_05G009756;J2O13_05G010085;J2O13_05G010445;J2O13_05G010609;J2O13_05G010636;J2O13_06G013373;J2O13_07G015105;J2O13_07G016743;J2O13_07G017130;J2O13_09G019830;J2O13_09G019972;J2O13_09G020175;J2O13_09G021053;J2O13_09G021797;J2O13_10G022466;J2O13_10G022517;J2O13_10G023794;J2O13_10G024554</t>
  </si>
  <si>
    <t>GO:0000723</t>
  </si>
  <si>
    <t>telomere maintenance</t>
  </si>
  <si>
    <t>GO:0004708</t>
  </si>
  <si>
    <t>MAP kinase kinase activity</t>
  </si>
  <si>
    <t>GO:0005249</t>
  </si>
  <si>
    <t>voltage-gated potassium channel activity</t>
  </si>
  <si>
    <t>GO:0005834</t>
  </si>
  <si>
    <t>heterotrimeric G-protein complex</t>
  </si>
  <si>
    <t>GO:0006303</t>
  </si>
  <si>
    <t>double-strand break repair via nonhomologous end joining</t>
  </si>
  <si>
    <t>GO:0006465</t>
  </si>
  <si>
    <t>signal peptide processing</t>
  </si>
  <si>
    <t>GO:0006879</t>
  </si>
  <si>
    <t>cellular iron ion homeostasis</t>
  </si>
  <si>
    <t>GO:0006900</t>
  </si>
  <si>
    <t>vesicle budding from membrane</t>
  </si>
  <si>
    <t>GO:0006950</t>
  </si>
  <si>
    <t>response to stress</t>
  </si>
  <si>
    <t>GO:0007568</t>
  </si>
  <si>
    <t>aging</t>
  </si>
  <si>
    <t>GO:0008138</t>
  </si>
  <si>
    <t>protein tyrosine/serine/threonine phosphatase activity</t>
  </si>
  <si>
    <t>GO:0008361</t>
  </si>
  <si>
    <t>regulation of cell size</t>
  </si>
  <si>
    <t>GO:0009638</t>
  </si>
  <si>
    <t>phototropism</t>
  </si>
  <si>
    <t>GO:0016197</t>
  </si>
  <si>
    <t>endosomal transport</t>
  </si>
  <si>
    <t>GO:0019853</t>
  </si>
  <si>
    <t>L-ascorbic acid biosynthetic process</t>
  </si>
  <si>
    <t>GO:0030308</t>
  </si>
  <si>
    <t>negative regulation of cell growth</t>
  </si>
  <si>
    <t>GO:0042937</t>
  </si>
  <si>
    <t>tripeptide transmembrane transporter activity</t>
  </si>
  <si>
    <t>GO:0048226</t>
  </si>
  <si>
    <t>Casparian strip</t>
  </si>
  <si>
    <t>GO:0055062</t>
  </si>
  <si>
    <t>phosphate ion homeostasis</t>
  </si>
  <si>
    <t>GO:0070300</t>
  </si>
  <si>
    <t>phosphatidic acid binding</t>
  </si>
  <si>
    <t>GO:0071916</t>
  </si>
  <si>
    <t>dipeptide transmembrane transporter activity</t>
  </si>
  <si>
    <t>GO:1901371</t>
  </si>
  <si>
    <t>regulation of leaf morphogenesis</t>
  </si>
  <si>
    <t>GO:1902456</t>
  </si>
  <si>
    <t>regulation of stomatal opening</t>
  </si>
  <si>
    <t>GO:0005856</t>
  </si>
  <si>
    <t>cytoskeleton</t>
  </si>
  <si>
    <t>J2O13_03G005833;J2O13_03G005838;J2O13_03G005911;J2O13_07G015587;J2O13_07G016668;J2O13_07G017144</t>
  </si>
  <si>
    <t>GO:0003727</t>
  </si>
  <si>
    <t>single-stranded RNA binding</t>
  </si>
  <si>
    <t>J2O13_09G020609;J2O13_09G021677</t>
  </si>
  <si>
    <t>GO:0010468</t>
  </si>
  <si>
    <t>regulation of gene expression</t>
  </si>
  <si>
    <t>J2O13_03G005379;J2O13_03G005422;J2O13_03G005856;J2O13_03G006020;J2O13_04G007698;J2O13_04G008253;J2O13_06G014573;J2O13_09G020796</t>
  </si>
  <si>
    <t>GO:0005665</t>
  </si>
  <si>
    <t>RNA polymerase II, core complex</t>
  </si>
  <si>
    <t>GO:0008139</t>
  </si>
  <si>
    <t>nuclear localization sequence binding</t>
  </si>
  <si>
    <t>GO:0009768</t>
  </si>
  <si>
    <t>photosynthesis, light harvesting in photosystem I</t>
  </si>
  <si>
    <t>GO:0010053</t>
  </si>
  <si>
    <t>root epidermal cell differentiation</t>
  </si>
  <si>
    <t>GO:0010229</t>
  </si>
  <si>
    <t>inflorescence development</t>
  </si>
  <si>
    <t>GO:0031901</t>
  </si>
  <si>
    <t>early endosome membrane</t>
  </si>
  <si>
    <t>GO:0032050</t>
  </si>
  <si>
    <t>clathrin heavy chain binding</t>
  </si>
  <si>
    <t>GO:0048589</t>
  </si>
  <si>
    <t>developmental growth</t>
  </si>
  <si>
    <t>GO:0051787</t>
  </si>
  <si>
    <t>misfolded protein binding</t>
  </si>
  <si>
    <t>GO:0070971</t>
  </si>
  <si>
    <t>endoplasmic reticulum exit site</t>
  </si>
  <si>
    <t>GO:0071446</t>
  </si>
  <si>
    <t>cellular response to salicylic acid stimulus</t>
  </si>
  <si>
    <t>GO:1902584</t>
  </si>
  <si>
    <t>positive regulation of response to water deprivation</t>
  </si>
  <si>
    <t>GO:0008285</t>
  </si>
  <si>
    <t>negative regulation of cell population proliferation</t>
  </si>
  <si>
    <t>J2O13_03G005322;J2O13_08G019248</t>
  </si>
  <si>
    <t>GO:0009958</t>
  </si>
  <si>
    <t>positive gravitropism</t>
  </si>
  <si>
    <t>J2O13_01G002468;J2O13_07G015775</t>
  </si>
  <si>
    <t>GO:0031982</t>
  </si>
  <si>
    <t>vesicle</t>
  </si>
  <si>
    <t>J2O13_07G016076;J2O13_10G023340</t>
  </si>
  <si>
    <t>GO:0051287</t>
  </si>
  <si>
    <t>NAD binding</t>
  </si>
  <si>
    <t>J2O13_02G003243;J2O13_03G006707;J2O13_08G018884;J2O13_10G022949</t>
  </si>
  <si>
    <t>GO:0009860</t>
  </si>
  <si>
    <t>pollen tube growth</t>
  </si>
  <si>
    <t>J2O13_07G015021;J2O13_07G015148;J2O13_07G016076;J2O13_07G016105;J2O13_09G019908;J2O13_09G020960</t>
  </si>
  <si>
    <t>GO:0009908</t>
  </si>
  <si>
    <t>flower development</t>
  </si>
  <si>
    <t>J2O13_02G003855;J2O13_02G004848;J2O13_03G005661;J2O13_03G005917;J2O13_03G006520;J2O13_04G007505;J2O13_04G008448;J2O13_05G011011;J2O13_05G011748;J2O13_07G014939;J2O13_07G016689;J2O13_09G021544;J2O13_09G021677;J2O13_10G023417;J2O13_10G024157</t>
  </si>
  <si>
    <t>GO:0140662</t>
  </si>
  <si>
    <t>ATP-dependent protein folding chaperone</t>
  </si>
  <si>
    <t>J2O13_02G003212;J2O13_02G004887;J2O13_07G017050</t>
  </si>
  <si>
    <t>GO:0005507</t>
  </si>
  <si>
    <t>copper ion binding</t>
  </si>
  <si>
    <t>J2O13_01G000923;J2O13_02G003801;J2O13_02G005048;J2O13_04G007569;J2O13_05G010897;J2O13_06G014513;J2O13_07G015660;J2O13_09G021748;J2O13_10G023993</t>
  </si>
  <si>
    <t>GO:0009825</t>
  </si>
  <si>
    <t>multidimensional cell growth</t>
  </si>
  <si>
    <t>J2O13_04G008171;J2O13_10G024265</t>
  </si>
  <si>
    <t>GO:0031418</t>
  </si>
  <si>
    <t>L-ascorbic acid binding</t>
  </si>
  <si>
    <t>J2O13_08G017809;J2O13_09G021078</t>
  </si>
  <si>
    <t>GO:0003756</t>
  </si>
  <si>
    <t>protein disulfide isomerase activity</t>
  </si>
  <si>
    <t>GO:0005667</t>
  </si>
  <si>
    <t>transcription regulator complex</t>
  </si>
  <si>
    <t>GO:0006094</t>
  </si>
  <si>
    <t>gluconeogenesis</t>
  </si>
  <si>
    <t>GO:0009833</t>
  </si>
  <si>
    <t>plant-type primary cell wall biogenesis</t>
  </si>
  <si>
    <t>GO:0015629</t>
  </si>
  <si>
    <t>actin cytoskeleton</t>
  </si>
  <si>
    <t>GO:0016571</t>
  </si>
  <si>
    <t>histone methylation</t>
  </si>
  <si>
    <t>GO:0031072</t>
  </si>
  <si>
    <t>heat shock protein binding</t>
  </si>
  <si>
    <t>GO:0048574</t>
  </si>
  <si>
    <t>long-day photoperiodism, flowering</t>
  </si>
  <si>
    <t>GO:0051781</t>
  </si>
  <si>
    <t>positive regulation of cell division</t>
  </si>
  <si>
    <t>GO:0071482</t>
  </si>
  <si>
    <t>cellular response to light stimulus</t>
  </si>
  <si>
    <t>GO:0015935</t>
  </si>
  <si>
    <t>small ribosomal subunit</t>
  </si>
  <si>
    <t>J2O13_01G001619;J2O13_01G002642;J2O13_02G003083</t>
  </si>
  <si>
    <t>GO:0031410</t>
  </si>
  <si>
    <t>cytoplasmic vesicle</t>
  </si>
  <si>
    <t>J2O13_02G004775;J2O13_03G005911;J2O13_04G008847</t>
  </si>
  <si>
    <t>GO:0003777</t>
  </si>
  <si>
    <t>microtubule motor activity</t>
  </si>
  <si>
    <t>J2O13_02G004350;J2O13_06G013970;J2O13_06G014695;J2O13_10G022859</t>
  </si>
  <si>
    <t>GO:0010411</t>
  </si>
  <si>
    <t>xyloglucan metabolic process</t>
  </si>
  <si>
    <t>J2O13_01G001890;J2O13_04G008432;J2O13_05G009925;J2O13_07G015114</t>
  </si>
  <si>
    <t>GO:0003779</t>
  </si>
  <si>
    <t>actin binding</t>
  </si>
  <si>
    <t>J2O13_03G005833;J2O13_07G017144</t>
  </si>
  <si>
    <t>GO:0005262</t>
  </si>
  <si>
    <t>calcium channel activity</t>
  </si>
  <si>
    <t>GO:0051537</t>
  </si>
  <si>
    <t>2 iron, 2 sulfur cluster binding</t>
  </si>
  <si>
    <t>J2O13_01G001058;J2O13_03G006915;J2O13_08G018609</t>
  </si>
  <si>
    <t>GO:0000162</t>
  </si>
  <si>
    <t>tryptophan biosynthetic process</t>
  </si>
  <si>
    <t>GO:0006261</t>
  </si>
  <si>
    <t>DNA-templated DNA replication</t>
  </si>
  <si>
    <t>GO:0006346</t>
  </si>
  <si>
    <t>DNA methylation-dependent heterochromatin formation</t>
  </si>
  <si>
    <t>GO:0009693</t>
  </si>
  <si>
    <t>ethylene biosynthetic process</t>
  </si>
  <si>
    <t>GO:0009875</t>
  </si>
  <si>
    <t>pollen-pistil interaction</t>
  </si>
  <si>
    <t>GO:0015630</t>
  </si>
  <si>
    <t>microtubule cytoskeleton</t>
  </si>
  <si>
    <t>GO:0031145</t>
  </si>
  <si>
    <t>anaphase-promoting complex-dependent catabolic process</t>
  </si>
  <si>
    <t>GO:0032922</t>
  </si>
  <si>
    <t>circadian regulation of gene expression</t>
  </si>
  <si>
    <t>GO:0042127</t>
  </si>
  <si>
    <t>regulation of cell population proliferation</t>
  </si>
  <si>
    <t>GO:0042335</t>
  </si>
  <si>
    <t>cuticle development</t>
  </si>
  <si>
    <t>GO:0045324</t>
  </si>
  <si>
    <t>late endosome to vacuole transport</t>
  </si>
  <si>
    <t>GO:0102756</t>
  </si>
  <si>
    <t>very-long-chain 3-ketoacyl-CoA synthase activity</t>
  </si>
  <si>
    <t>GO:0003968</t>
  </si>
  <si>
    <t>RNA-dependent RNA polymerase activity</t>
  </si>
  <si>
    <t>J2O13_03G005867;J2O13_03G006703</t>
  </si>
  <si>
    <t>GO:0009820</t>
  </si>
  <si>
    <t>alkaloid metabolic process</t>
  </si>
  <si>
    <t>J2O13_04G007817;J2O13_04G007820</t>
  </si>
  <si>
    <t>GO:0019898</t>
  </si>
  <si>
    <t>extrinsic component of membrane</t>
  </si>
  <si>
    <t>J2O13_01G002468;J2O13_09G021365</t>
  </si>
  <si>
    <t>GO:0040029</t>
  </si>
  <si>
    <t>epigenetic regulation of gene expression</t>
  </si>
  <si>
    <t>J2O13_05G012787;J2O13_06G013484</t>
  </si>
  <si>
    <t>GO:0048767</t>
  </si>
  <si>
    <t>root hair elongation</t>
  </si>
  <si>
    <t>J2O13_02G003959;J2O13_06G012979</t>
  </si>
  <si>
    <t>GO:0007018</t>
  </si>
  <si>
    <t>microtubule-based movement</t>
  </si>
  <si>
    <t>GO:0003678</t>
  </si>
  <si>
    <t>DNA helicase activity</t>
  </si>
  <si>
    <t>GO:0003887</t>
  </si>
  <si>
    <t>DNA-directed DNA polymerase activity</t>
  </si>
  <si>
    <t>GO:0008171</t>
  </si>
  <si>
    <t>O-methyltransferase activity</t>
  </si>
  <si>
    <t>GO:0008378</t>
  </si>
  <si>
    <t>galactosyltransferase activity</t>
  </si>
  <si>
    <t>GO:0010274</t>
  </si>
  <si>
    <t>hydrotropism</t>
  </si>
  <si>
    <t>GO:0016760</t>
  </si>
  <si>
    <t>cellulose synthase (UDP-forming) activity</t>
  </si>
  <si>
    <t>GO:0018024</t>
  </si>
  <si>
    <t>histone lysine N-methyltransferase activity</t>
  </si>
  <si>
    <t>GO:0031267</t>
  </si>
  <si>
    <t>small GTPase binding</t>
  </si>
  <si>
    <t>GO:0034976</t>
  </si>
  <si>
    <t>response to endoplasmic reticulum stress</t>
  </si>
  <si>
    <t>GO:0047262</t>
  </si>
  <si>
    <t>polygalacturonate 4-alpha-galacturonosyltransferase activity</t>
  </si>
  <si>
    <t>GO:1900425</t>
  </si>
  <si>
    <t>negative regulation of defense response to bacterium</t>
  </si>
  <si>
    <t>J2O13_01G000180;J2O13_01G001512;J2O13_02G002974;J2O13_02G003243;J2O13_02G004023;J2O13_03G005579;J2O13_04G007604;J2O13_04G007649;J2O13_04G009153;J2O13_05G010079;J2O13_05G010536;J2O13_05G010755;J2O13_05G011934;J2O13_06G013534;J2O13_06G014234;J2O13_06G014407;J2O13_06G014413;J2O13_06G014681;J2O13_08G018376;J2O13_08G018503;J2O13_08G018504;J2O13_08G018693;J2O13_08G018878;J2O13_08G018880;J2O13_08G018881;J2O13_08G018883;J2O13_08G018884;J2O13_08G018889;J2O13_09G020106;J2O13_09G020385;J2O13_10G022087;J2O13_10G023214;J2O13_10G024543;J2O13_UnG024632</t>
  </si>
  <si>
    <t>GO:0009789</t>
  </si>
  <si>
    <t>positive regulation of abscisic acid-activated signaling pathway</t>
  </si>
  <si>
    <t>J2O13_01G000104;J2O13_01G000114;J2O13_01G000129;J2O13_01G000336;J2O13_01G000353;J2O13_01G000544;J2O13_01G000611;J2O13_01G000864;J2O13_01G000905;J2O13_01G001058;J2O13_01G001070;J2O13_01G001104;J2O13_01G001281;J2O13_01G001287;J2O13_01G001338;J2O13_01G001339;J2O13_01G001355;J2O13_01G001385;J2O13_01G001457;J2O13_01G001951;J2O13_01G002166;J2O13_02G003255;J2O13_02G003384;J2O13_02G003600;J2O13_02G003721;J2O13_02G003875;J2O13_02G003876;J2O13_02G004701;J2O13_02G004713;J2O13_02G005010;J2O13_03G005209;J2O13_03G005308;J2O13_03G005341;J2O13_03G005342;J2O13_03G005462;J2O13_03G005536;J2O13_03G005549;J2O13_03G005737;J2O13_03G005819;J2O13_03G005863;J2O13_03G005864;J2O13_03G006087;J2O13_03G006134;J2O13_03G006198;J2O13_03G006208;J2O13_03G006442;J2O13_03G006640;J2O13_03G006749;J2O13_04G007162;J2O13_04G007163;J2O13_04G007203;J2O13_04G007305;J2O13_04G007381;J2O13_04G007501;J2O13_04G007516;J2O13_04G007690;J2O13_04G007692;J2O13_04G007747;J2O13_04G007773;J2O13_04G007847;J2O13_04G007848;J2O13_04G007951;J2O13_04G008253;J2O13_04G008448;J2O13_04G008475;J2O13_04G008871;J2O13_04G009072;J2O13_05G009316;J2O13_05G009549;J2O13_05G009756;J2O13_05G009760;J2O13_05G009966;J2O13_05G010085;J2O13_05G010274;J2O13_05G010285;J2O13_05G010334;J2O13_05G010445;J2O13_05G010455;J2O13_05G010540;J2O13_05G010609;J2O13_05G010759;J2O13_05G010760;J2O13_05G010762;J2O13_05G010816;J2O13_05G010848;J2O13_05G010895;J2O13_05G011262;J2O13_05G011287;J2O13_05G011383;J2O13_05G011392;J2O13_05G011608;J2O13_05G011609;J2O13_05G011642;J2O13_05G012032;J2O13_05G012466;J2O13_05G012480;J2O13_05G012586;J2O13_05G012730;J2O13_05G012759;J2O13_05G012761;J2O13_06G013092;J2O13_06G013210;J2O13_06G013245;J2O13_06G013300;J2O13_06G013355;J2O13_06G013373;J2O13_06G013534;J2O13_06G013905;J2O13_06G014534;J2O13_06G014681;J2O13_06G014687;J2O13_06G014716;J2O13_06G014735;J2O13_07G014936;J2O13_07G015053;J2O13_07G015321;J2O13_07G015344;J2O13_07G015431;J2O13_07G016440;J2O13_07G016498;J2O13_07G016591;J2O13_07G016592;J2O13_07G016832;J2O13_07G016908;J2O13_07G017008;J2O13_07G017108;J2O13_07G017240;J2O13_07G017325;J2O13_08G017413;J2O13_08G017532;J2O13_08G017585;J2O13_08G017809;J2O13_08G017831;J2O13_08G017857;J2O13_08G018096;J2O13_08G018376;J2O13_08G018609;J2O13_08G019092;J2O13_08G019104;J2O13_08G019210;J2O13_08G019361;J2O13_08G019492;J2O13_09G019663;J2O13_09G019727;J2O13_09G019972;J2O13_09G020083;J2O13_09G020236;J2O13_09G020355;J2O13_09G020385;J2O13_09G020412;J2O13_09G020528;J2O13_09G020839;J2O13_09G021053;J2O13_09G021078;J2O13_09G021438;J2O13_09G021594;J2O13_09G021682;J2O13_09G021738;J2O13_09G021750;J2O13_09G021827;J2O13_10G022084;J2O13_10G022125;J2O13_10G022127;J2O13_10G022517;J2O13_10G022748;J2O13_10G023214;J2O13_10G023354;J2O13_10G023387;J2O13_10G023511;J2O13_10G023710;J2O13_10G024444;J2O13_10G024498;J2O13_10G024554;J2O13_10G024564</t>
  </si>
  <si>
    <t>GO:0080008</t>
  </si>
  <si>
    <t>Cul4-RING E3 ubiquitin ligase complex</t>
  </si>
  <si>
    <t>J2O13_01G002193;J2O13_02G004216;J2O13_08G019212;J2O13_09G021628</t>
  </si>
  <si>
    <t>GO:0009055</t>
  </si>
  <si>
    <t>electron transfer activity</t>
  </si>
  <si>
    <t>J2O13_01G001976;J2O13_07G016908;J2O13_08G018096;J2O13_08G018609;J2O13_08G018880</t>
  </si>
  <si>
    <t>GO:0004683</t>
  </si>
  <si>
    <t>calmodulin-dependent protein kinase activity</t>
  </si>
  <si>
    <t>J2O13_02G004917;J2O13_10G022496</t>
  </si>
  <si>
    <t>GO:0006417</t>
  </si>
  <si>
    <t>regulation of translation</t>
  </si>
  <si>
    <t>J2O13_06G012963;J2O13_06G013296</t>
  </si>
  <si>
    <t>GO:0006631</t>
  </si>
  <si>
    <t>fatty acid metabolic process</t>
  </si>
  <si>
    <t>J2O13_05G010220;J2O13_05G012513</t>
  </si>
  <si>
    <t>GO:0009835</t>
  </si>
  <si>
    <t>fruit ripening</t>
  </si>
  <si>
    <t>J2O13_01G000355;J2O13_06G013941</t>
  </si>
  <si>
    <t>GO:0009931</t>
  </si>
  <si>
    <t>calcium-dependent protein serine/threonine kinase activity</t>
  </si>
  <si>
    <t>GO:0005680</t>
  </si>
  <si>
    <t>anaphase-promoting complex</t>
  </si>
  <si>
    <t>GO:0005758</t>
  </si>
  <si>
    <t>mitochondrial intermembrane space</t>
  </si>
  <si>
    <t>GO:0006891</t>
  </si>
  <si>
    <t>intra-Golgi vesicle-mediated transport</t>
  </si>
  <si>
    <t>GO:0008094</t>
  </si>
  <si>
    <t>ATP-dependent activity, acting on DNA</t>
  </si>
  <si>
    <t>GO:0008234</t>
  </si>
  <si>
    <t>cysteine-type peptidase activity</t>
  </si>
  <si>
    <t>GO:0009718</t>
  </si>
  <si>
    <t>anthocyanin-containing compound biosynthetic process</t>
  </si>
  <si>
    <t>GO:0009767</t>
  </si>
  <si>
    <t>photosynthetic electron transport chain</t>
  </si>
  <si>
    <t>GO:0010048</t>
  </si>
  <si>
    <t>vernalization response</t>
  </si>
  <si>
    <t>GO:0031902</t>
  </si>
  <si>
    <t>late endosome membrane</t>
  </si>
  <si>
    <t>GO:0032968</t>
  </si>
  <si>
    <t>positive regulation of transcription elongation by RNA polymerase II</t>
  </si>
  <si>
    <t>GO:0045995</t>
  </si>
  <si>
    <t>regulation of embryonic development</t>
  </si>
  <si>
    <t>GO:0048467</t>
  </si>
  <si>
    <t>gynoecium development</t>
  </si>
  <si>
    <t>GO:0090351</t>
  </si>
  <si>
    <t>seedling development</t>
  </si>
  <si>
    <t>GO:0008168</t>
  </si>
  <si>
    <t>methyltransferase activity</t>
  </si>
  <si>
    <t>J2O13_05G010948;J2O13_05G012298;J2O13_05G012730;J2O13_09G020355</t>
  </si>
  <si>
    <t>GO:0045944</t>
  </si>
  <si>
    <t>positive regulation of transcription by RNA polymerase II</t>
  </si>
  <si>
    <t>J2O13_04G007505;J2O13_05G010744;J2O13_05G011748;J2O13_09G019667;J2O13_09G020951;J2O13_09G021463</t>
  </si>
  <si>
    <t>GO:0000724</t>
  </si>
  <si>
    <t>double-strand break repair via homologous recombination</t>
  </si>
  <si>
    <t>J2O13_04G008109;J2O13_04G009073;J2O13_10G024592</t>
  </si>
  <si>
    <t>GO:0004386</t>
  </si>
  <si>
    <t>helicase activity</t>
  </si>
  <si>
    <t>J2O13_03G005379;J2O13_08G017428;J2O13_10G024498</t>
  </si>
  <si>
    <t>GO:0038023</t>
  </si>
  <si>
    <t>signaling receptor activity</t>
  </si>
  <si>
    <t>J2O13_06G013640;J2O13_09G020627;J2O13_09G021710</t>
  </si>
  <si>
    <t>GO:1900150</t>
  </si>
  <si>
    <t>regulation of defense response to fungus</t>
  </si>
  <si>
    <t>J2O13_07G017130;J2O13_08G019409;J2O13_10G023597</t>
  </si>
  <si>
    <t>GO:0000419</t>
  </si>
  <si>
    <t>RNA polymerase V complex</t>
  </si>
  <si>
    <t>GO:0000919</t>
  </si>
  <si>
    <t>cell plate assembly</t>
  </si>
  <si>
    <t>GO:0000987</t>
  </si>
  <si>
    <t>cis-regulatory region sequence-specific DNA binding</t>
  </si>
  <si>
    <t>GO:0005938</t>
  </si>
  <si>
    <t>cell cortex</t>
  </si>
  <si>
    <t>GO:0006302</t>
  </si>
  <si>
    <t>double-strand break repair</t>
  </si>
  <si>
    <t>GO:0006400</t>
  </si>
  <si>
    <t>tRNA modification</t>
  </si>
  <si>
    <t>GO:0008033</t>
  </si>
  <si>
    <t>tRNA processing</t>
  </si>
  <si>
    <t>GO:0009058</t>
  </si>
  <si>
    <t>biosynthetic process</t>
  </si>
  <si>
    <t>GO:0009567</t>
  </si>
  <si>
    <t>double fertilization forming a zygote and endosperm</t>
  </si>
  <si>
    <t>GO:0010223</t>
  </si>
  <si>
    <t>secondary shoot formation</t>
  </si>
  <si>
    <t>GO:0016604</t>
  </si>
  <si>
    <t>nuclear body</t>
  </si>
  <si>
    <t>GO:0030968</t>
  </si>
  <si>
    <t>endoplasmic reticulum unfolded protein response</t>
  </si>
  <si>
    <t>GO:0070816</t>
  </si>
  <si>
    <t>phosphorylation of RNA polymerase II C-terminal domain</t>
  </si>
  <si>
    <t>GO:0080001</t>
  </si>
  <si>
    <t>mucilage extrusion from seed coat</t>
  </si>
  <si>
    <t>GO:0032259</t>
  </si>
  <si>
    <t>methylation</t>
  </si>
  <si>
    <t>J2O13_01G001389;J2O13_02G003455;J2O13_02G004014;J2O13_02G004016;J2O13_05G012730;J2O13_06G013773;J2O13_09G020355;J2O13_09G021682</t>
  </si>
  <si>
    <t>GO:0008219</t>
  </si>
  <si>
    <t>cell death</t>
  </si>
  <si>
    <t>J2O13_05G012725;J2O13_07G017130</t>
  </si>
  <si>
    <t>GO:0010182</t>
  </si>
  <si>
    <t>sugar mediated signaling pathway</t>
  </si>
  <si>
    <t>J2O13_06G012916;J2O13_10G022347</t>
  </si>
  <si>
    <t>GO:0032502</t>
  </si>
  <si>
    <t>developmental process</t>
  </si>
  <si>
    <t>J2O13_01G000790;J2O13_02G004446</t>
  </si>
  <si>
    <t>GO:0000785</t>
  </si>
  <si>
    <t>chromatin</t>
  </si>
  <si>
    <t>J2O13_04G008109;J2O13_05G010962;J2O13_07G015870;J2O13_10G024498</t>
  </si>
  <si>
    <t>GO:0042626</t>
  </si>
  <si>
    <t>ATPase-coupled transmembrane transporter activity</t>
  </si>
  <si>
    <t>J2O13_04G007347;J2O13_04G008088;J2O13_07G015148;J2O13_08G018790</t>
  </si>
  <si>
    <t>GO:0019005</t>
  </si>
  <si>
    <t>SCF ubiquitin ligase complex</t>
  </si>
  <si>
    <t>J2O13_03G005267;J2O13_07G016812;J2O13_10G022542</t>
  </si>
  <si>
    <t>GO:0005874</t>
  </si>
  <si>
    <t>microtubule</t>
  </si>
  <si>
    <t>J2O13_01G000732;J2O13_01G001464;J2O13_02G004350;J2O13_03G005922;J2O13_05G009695;J2O13_06G013970;J2O13_06G014695;J2O13_09G020843;J2O13_10G022859;J2O13_10G023511</t>
  </si>
  <si>
    <t>GO:0004402</t>
  </si>
  <si>
    <t>histone acetyltransferase activity</t>
  </si>
  <si>
    <t>GO:0005543</t>
  </si>
  <si>
    <t>phospholipid binding</t>
  </si>
  <si>
    <t>GO:0006306</t>
  </si>
  <si>
    <t>DNA methylation</t>
  </si>
  <si>
    <t>GO:0009649</t>
  </si>
  <si>
    <t>entrainment of circadian clock</t>
  </si>
  <si>
    <t>GO:0016117</t>
  </si>
  <si>
    <t>carotenoid biosynthetic process</t>
  </si>
  <si>
    <t>GO:0019888</t>
  </si>
  <si>
    <t>protein phosphatase regulator activity</t>
  </si>
  <si>
    <t>GO:0036377</t>
  </si>
  <si>
    <t>arbuscular mycorrhizal association</t>
  </si>
  <si>
    <t>GO:0042277</t>
  </si>
  <si>
    <t>peptide binding</t>
  </si>
  <si>
    <t>GO:0045037</t>
  </si>
  <si>
    <t>protein import into chloroplast stroma</t>
  </si>
  <si>
    <t>GO:0051726</t>
  </si>
  <si>
    <t>regulation of cell cycle</t>
  </si>
  <si>
    <t>GO:0009911</t>
  </si>
  <si>
    <t>positive regulation of flower development</t>
  </si>
  <si>
    <t>J2O13_05G012599;J2O13_10G023996</t>
  </si>
  <si>
    <t>GO:0031965</t>
  </si>
  <si>
    <t>nuclear membrane</t>
  </si>
  <si>
    <t>J2O13_02G003771;J2O13_07G017144</t>
  </si>
  <si>
    <t>GO:0016592</t>
  </si>
  <si>
    <t>mediator complex</t>
  </si>
  <si>
    <t>J2O13_06G013144;J2O13_10G023599</t>
  </si>
  <si>
    <t>GO:0051028</t>
  </si>
  <si>
    <t>mRNA transport</t>
  </si>
  <si>
    <t>J2O13_05G011953;J2O13_07G016792</t>
  </si>
  <si>
    <t>GO:0080188</t>
  </si>
  <si>
    <t>gene silencing by RNA-directed DNA methylation</t>
  </si>
  <si>
    <t>J2O13_03G006640;J2O13_05G012455</t>
  </si>
  <si>
    <t>GO:0030170</t>
  </si>
  <si>
    <t>pyridoxal phosphate binding</t>
  </si>
  <si>
    <t>J2O13_01G000355;J2O13_02G003922;J2O13_02G004182;J2O13_05G009999;J2O13_05G011555</t>
  </si>
  <si>
    <t>GO:0044183</t>
  </si>
  <si>
    <t>protein folding chaperone</t>
  </si>
  <si>
    <t>GO:0016762</t>
  </si>
  <si>
    <t>xyloglucan:xyloglucosyl transferase activity</t>
  </si>
  <si>
    <t>J2O13_01G001890;J2O13_05G009925;J2O13_07G015114</t>
  </si>
  <si>
    <t>GO:0048366</t>
  </si>
  <si>
    <t>leaf development</t>
  </si>
  <si>
    <t>J2O13_04G007338;J2O13_05G012792;J2O13_07G016512;J2O13_07G016603;J2O13_09G021808</t>
  </si>
  <si>
    <t>GO:0005778</t>
  </si>
  <si>
    <t>peroxisomal membrane</t>
  </si>
  <si>
    <t>J2O13_04G009251;J2O13_10G022496</t>
  </si>
  <si>
    <t>J2O13_01G002406;J2O13_02G003721;J2O13_02G004848;J2O13_05G009310;J2O13_05G009789;J2O13_06G012963;J2O13_07G016468;J2O13_07G017155;J2O13_08G017585;J2O13_08G018145;J2O13_09G020872;J2O13_09G020951;J2O13_10G022593;J2O13_10G023443;J2O13_10G024055;J2O13_10G024253;J2O13_10G024495;J2O13_10G024529</t>
  </si>
  <si>
    <t>GO:0004252</t>
  </si>
  <si>
    <t>serine-type endopeptidase activity</t>
  </si>
  <si>
    <t>J2O13_03G005681;J2O13_05G009971;J2O13_05G010099;J2O13_05G010755;J2O13_05G011964;J2O13_07G017262;J2O13_10G023406</t>
  </si>
  <si>
    <t>GO:0005200</t>
  </si>
  <si>
    <t>structural constituent of cytoskeleton</t>
  </si>
  <si>
    <t>GO:0005643</t>
  </si>
  <si>
    <t>nuclear pore</t>
  </si>
  <si>
    <t>GO:0005871</t>
  </si>
  <si>
    <t>kinesin complex</t>
  </si>
  <si>
    <t>GO:0019904</t>
  </si>
  <si>
    <t>protein domain specific binding</t>
  </si>
  <si>
    <t>GO:0045492</t>
  </si>
  <si>
    <t>xylan biosynthetic process</t>
  </si>
  <si>
    <t>GO:0080022</t>
  </si>
  <si>
    <t>primary root development</t>
  </si>
  <si>
    <t>GO:0080156</t>
  </si>
  <si>
    <t>mitochondrial mRNA modification</t>
  </si>
  <si>
    <t>GO:1901000</t>
  </si>
  <si>
    <t>regulation of response to salt stress</t>
  </si>
  <si>
    <t>GO:0015934</t>
  </si>
  <si>
    <t>large ribosomal subunit</t>
  </si>
  <si>
    <t>J2O13_01G002641;J2O13_02G002946</t>
  </si>
  <si>
    <t>GO:0003682</t>
  </si>
  <si>
    <t>chromatin binding</t>
  </si>
  <si>
    <t>J2O13_04G008109;J2O13_06G012982;J2O13_09G021677;J2O13_10G022589;J2O13_10G024498;J2O13_10G024554</t>
  </si>
  <si>
    <t>GO:0009534</t>
  </si>
  <si>
    <t>chloroplast thylakoid</t>
  </si>
  <si>
    <t>J2O13_01G001512;J2O13_04G007203;J2O13_05G010079;J2O13_05G010536;J2O13_05G010745;J2O13_05G011934;J2O13_07G016498;J2O13_10G022087</t>
  </si>
  <si>
    <t>GO:0005783</t>
  </si>
  <si>
    <t>endoplasmic reticulum</t>
  </si>
  <si>
    <t>J2O13_01G000311;J2O13_01G000706;J2O13_01G001089;J2O13_01G002193;J2O13_02G003959;J2O13_02G003969;J2O13_02G004216;J2O13_03G005757;J2O13_03G006752;J2O13_04G007519;J2O13_04G007604;J2O13_04G008041;J2O13_04G008451;J2O13_04G008550;J2O13_04G008871;J2O13_05G009609;J2O13_05G009690;J2O13_05G010160;J2O13_05G010536;J2O13_05G010897;J2O13_05G011592;J2O13_05G012510;J2O13_05G012712;J2O13_06G013355;J2O13_07G015004;J2O13_07G015005;J2O13_07G015012;J2O13_07G015038;J2O13_07G015105;J2O13_07G015621;J2O13_07G016174;J2O13_07G016684;J2O13_07G016685;J2O13_08G017509;J2O13_08G018961;J2O13_09G019681;J2O13_09G019775;J2O13_09G020236;J2O13_09G020272;J2O13_09G021661;J2O13_09G021808;J2O13_10G023337;J2O13_10G023520;J2O13_10G023967;J2O13_10G024148</t>
  </si>
  <si>
    <t>GO:0000184</t>
  </si>
  <si>
    <t>nuclear-transcribed mRNA catabolic process, nonsense-mediated decay</t>
  </si>
  <si>
    <t>GO:0006995</t>
  </si>
  <si>
    <t>cellular response to nitrogen starvation</t>
  </si>
  <si>
    <t>GO:0009639</t>
  </si>
  <si>
    <t>response to red or far red light</t>
  </si>
  <si>
    <t>GO:0010181</t>
  </si>
  <si>
    <t>FMN binding</t>
  </si>
  <si>
    <t>GO:0042026</t>
  </si>
  <si>
    <t>protein refolding</t>
  </si>
  <si>
    <t>GO:0042752</t>
  </si>
  <si>
    <t>regulation of circadian rhythm</t>
  </si>
  <si>
    <t>GO:0051225</t>
  </si>
  <si>
    <t>spindle assembly</t>
  </si>
  <si>
    <t>GO:0072583</t>
  </si>
  <si>
    <t>clathrin-dependent endocytosis</t>
  </si>
  <si>
    <t>GO:0016168</t>
  </si>
  <si>
    <t>chlorophyll binding</t>
  </si>
  <si>
    <t>J2O13_04G007649;J2O13_08G018878;J2O13_09G020385;J2O13_10G023214</t>
  </si>
  <si>
    <t>GO:0009772</t>
  </si>
  <si>
    <t>photosynthetic electron transport in photosystem II</t>
  </si>
  <si>
    <t>J2O13_08G018878;J2O13_10G023214</t>
  </si>
  <si>
    <t>GO:0031146</t>
  </si>
  <si>
    <t>SCF-dependent proteasomal ubiquitin-dependent protein catabolic process</t>
  </si>
  <si>
    <t>J2O13_03G005267;J2O13_09G020193</t>
  </si>
  <si>
    <t>GO:0050661</t>
  </si>
  <si>
    <t>NADP binding</t>
  </si>
  <si>
    <t>J2O13_03G006707;J2O13_07G015716;J2O13_10G024253</t>
  </si>
  <si>
    <t>GO:0006606</t>
  </si>
  <si>
    <t>protein import into nucleus</t>
  </si>
  <si>
    <t>GO:0007015</t>
  </si>
  <si>
    <t>actin filament organization</t>
  </si>
  <si>
    <t>GO:0010082</t>
  </si>
  <si>
    <t>regulation of root meristem growth</t>
  </si>
  <si>
    <t>GO:0010628</t>
  </si>
  <si>
    <t>positive regulation of gene expression</t>
  </si>
  <si>
    <t>GO:0034605</t>
  </si>
  <si>
    <t>cellular response to heat</t>
  </si>
  <si>
    <t>GO:0051087</t>
  </si>
  <si>
    <t>chaperone binding</t>
  </si>
  <si>
    <t>GO:0071013</t>
  </si>
  <si>
    <t>catalytic step 2 spliceosome</t>
  </si>
  <si>
    <t>GO:0003690</t>
  </si>
  <si>
    <t>double-stranded DNA binding</t>
  </si>
  <si>
    <t>J2O13_01G000420;J2O13_05G010948;J2O13_05G012045;J2O13_05G012298</t>
  </si>
  <si>
    <t>GO:0000145</t>
  </si>
  <si>
    <t>exocyst</t>
  </si>
  <si>
    <t>GO:0043022</t>
  </si>
  <si>
    <t>ribosome binding</t>
  </si>
  <si>
    <t>GO:0009826</t>
  </si>
  <si>
    <t>unidimensional cell growth</t>
  </si>
  <si>
    <t>J2O13_01G000112;J2O13_02G004804;J2O13_04G007519;J2O13_06G014014;J2O13_07G015021</t>
  </si>
  <si>
    <t>GO:0004843</t>
  </si>
  <si>
    <t>cysteine-type deubiquitinase activity</t>
  </si>
  <si>
    <t>J2O13_01G002824;J2O13_03G006292</t>
  </si>
  <si>
    <t>GO:0006974</t>
  </si>
  <si>
    <t>cellular response to DNA damage stimulus</t>
  </si>
  <si>
    <t>GO:0010119</t>
  </si>
  <si>
    <t>regulation of stomatal movement</t>
  </si>
  <si>
    <t>J2O13_01G000684;J2O13_04G007698</t>
  </si>
  <si>
    <t>GO:0050821</t>
  </si>
  <si>
    <t>protein stabilization</t>
  </si>
  <si>
    <t>GO:0045156</t>
  </si>
  <si>
    <t>electron transporter, transferring electrons within the cyclic electron transport pathway of photosynthesis activity</t>
  </si>
  <si>
    <t>GO:0010427</t>
  </si>
  <si>
    <t>abscisic acid binding</t>
  </si>
  <si>
    <t>GO:0030136</t>
  </si>
  <si>
    <t>clathrin-coated vesicle</t>
  </si>
  <si>
    <t>GO:0005654</t>
  </si>
  <si>
    <t>nucleoplasm</t>
  </si>
  <si>
    <t>J2O13_01G000176;J2O13_04G007178;J2O13_05G010379;J2O13_07G016792;J2O13_08G018338;J2O13_09G019559;J2O13_09G020951</t>
  </si>
  <si>
    <t>GO:0000775</t>
  </si>
  <si>
    <t>chromosome, centromeric region</t>
  </si>
  <si>
    <t>GO:0006623</t>
  </si>
  <si>
    <t>protein targeting to vacuole</t>
  </si>
  <si>
    <t>GO:0034599</t>
  </si>
  <si>
    <t>cellular response to oxidative stress</t>
  </si>
  <si>
    <t>GO:0043622</t>
  </si>
  <si>
    <t>cortical microtubule organization</t>
  </si>
  <si>
    <t>GO:0061631</t>
  </si>
  <si>
    <t>ubiquitin conjugating enzyme activity</t>
  </si>
  <si>
    <t>GO:0009706</t>
  </si>
  <si>
    <t>chloroplast inner membrane</t>
  </si>
  <si>
    <t>J2O13_02G002943;J2O13_02G003244;J2O13_03G006895;J2O13_09G020106;J2O13_09G022002;J2O13_10G023205</t>
  </si>
  <si>
    <t>GO:0006096</t>
  </si>
  <si>
    <t>glycolytic process</t>
  </si>
  <si>
    <t>J2O13_01G002004;J2O13_04G007351</t>
  </si>
  <si>
    <t>GO:0008643</t>
  </si>
  <si>
    <t>carbohydrate transport</t>
  </si>
  <si>
    <t>J2O13_02G003969;J2O13_04G007973;J2O13_UnG024722</t>
  </si>
  <si>
    <t>GO:0018105</t>
  </si>
  <si>
    <t>peptidyl-serine phosphorylation</t>
  </si>
  <si>
    <t>J2O13_02G004917;J2O13_07G016689;J2O13_10G022496</t>
  </si>
  <si>
    <t>GO:0090406</t>
  </si>
  <si>
    <t>pollen tube</t>
  </si>
  <si>
    <t>J2O13_05G010864;J2O13_05G012401;J2O13_07G016076</t>
  </si>
  <si>
    <t>GO:0009523</t>
  </si>
  <si>
    <t>photosystem II</t>
  </si>
  <si>
    <t>GO:0008017</t>
  </si>
  <si>
    <t>microtubule binding</t>
  </si>
  <si>
    <t>J2O13_01G000732;J2O13_02G004350;J2O13_05G009695;J2O13_06G013970;J2O13_06G014695;J2O13_09G020843;J2O13_10G022859</t>
  </si>
  <si>
    <t>GO:0000978</t>
  </si>
  <si>
    <t>RNA polymerase II cis-regulatory region sequence-specific DNA binding</t>
  </si>
  <si>
    <t>J2O13_01G000654;J2O13_02G004636;J2O13_04G007505;J2O13_04G007744;J2O13_05G011748;J2O13_06G014725;J2O13_09G019667;J2O13_09G021463;J2O13_10G022731</t>
  </si>
  <si>
    <t>GO:0004864</t>
  </si>
  <si>
    <t>protein phosphatase inhibitor activity</t>
  </si>
  <si>
    <t>GO:0008353</t>
  </si>
  <si>
    <t>RNA polymerase II CTD heptapeptide repeat kinase activity</t>
  </si>
  <si>
    <t>GO:0019252</t>
  </si>
  <si>
    <t>starch biosynthetic process</t>
  </si>
  <si>
    <t>GO:0045489</t>
  </si>
  <si>
    <t>pectin biosynthetic process</t>
  </si>
  <si>
    <t>J2O13_02G003776;J2O13_03G005635;J2O13_03G005747;J2O13_03G005757;J2O13_04G007690;J2O13_04G008847;J2O13_05G010275;J2O13_05G012510;J2O13_06G012806;J2O13_08G017499;J2O13_09G019954;J2O13_09G020882;J2O13_09G021159</t>
  </si>
  <si>
    <t>J2O13_01G000764;J2O13_04G007604</t>
  </si>
  <si>
    <t>GO:0000049</t>
  </si>
  <si>
    <t>tRNA binding</t>
  </si>
  <si>
    <t>GO:0000226</t>
  </si>
  <si>
    <t>microtubule cytoskeleton organization</t>
  </si>
  <si>
    <t>GO:0009630</t>
  </si>
  <si>
    <t>gravitropism</t>
  </si>
  <si>
    <t>GO:0005096</t>
  </si>
  <si>
    <t>GTPase activator activity</t>
  </si>
  <si>
    <t>J2O13_04G007692;J2O13_09G020290</t>
  </si>
  <si>
    <t>GO:0016579</t>
  </si>
  <si>
    <t>protein deubiquitination</t>
  </si>
  <si>
    <t>J2O13_01G000285;J2O13_01G001089;J2O13_02G004349;J2O13_05G010193;J2O13_05G012761;J2O13_08G017651;J2O13_09G020502;J2O13_09G020627</t>
  </si>
  <si>
    <t>GO:0003684</t>
  </si>
  <si>
    <t>damaged DNA binding</t>
  </si>
  <si>
    <t>GO:0048481</t>
  </si>
  <si>
    <t>plant ovule development</t>
  </si>
  <si>
    <t>GO:2000012</t>
  </si>
  <si>
    <t>regulation of auxin polar transport</t>
  </si>
  <si>
    <t>GO:0043231</t>
  </si>
  <si>
    <t>intracellular membrane-bounded organelle</t>
  </si>
  <si>
    <t>J2O13_01G000864;J2O13_03G006946;J2O13_04G008088;J2O13_05G009759;J2O13_06G013300;J2O13_07G015004;J2O13_07G015005;J2O13_07G015008;J2O13_09G021234;J2O13_10G022344;J2O13_10G022748</t>
  </si>
  <si>
    <t>GO:0016126</t>
  </si>
  <si>
    <t>sterol biosynthetic process</t>
  </si>
  <si>
    <t>GO:0009705</t>
  </si>
  <si>
    <t>plant-type vacuole membrane</t>
  </si>
  <si>
    <t>J2O13_02G004804;J2O13_05G012054;J2O13_06G013439;J2O13_09G019868;J2O13_09G020010;J2O13_UnG024632</t>
  </si>
  <si>
    <t>GO:0004176</t>
  </si>
  <si>
    <t>ATP-dependent peptidase activity</t>
  </si>
  <si>
    <t>GO:0004693</t>
  </si>
  <si>
    <t>cyclin-dependent protein serine/threonine kinase activity</t>
  </si>
  <si>
    <t>GO:0009644</t>
  </si>
  <si>
    <t>response to high light intensity</t>
  </si>
  <si>
    <t>GO:0000932</t>
  </si>
  <si>
    <t>P-body</t>
  </si>
  <si>
    <t>J2O13_07G014936;J2O13_10G022072</t>
  </si>
  <si>
    <t>J2O13_01G002279;J2O13_02G004216;J2O13_03G005864;J2O13_05G009756;J2O13_05G010445;J2O13_05G010609;J2O13_05G010636;J2O13_07G015385;J2O13_07G017018;J2O13_09G020193;J2O13_10G022465;J2O13_10G022466;J2O13_10G024554</t>
  </si>
  <si>
    <t>GO:0005741</t>
  </si>
  <si>
    <t>mitochondrial outer membrane</t>
  </si>
  <si>
    <t>GO:0005769</t>
  </si>
  <si>
    <t>early endosome</t>
  </si>
  <si>
    <t>GO:0009910</t>
  </si>
  <si>
    <t>negative regulation of flower development</t>
  </si>
  <si>
    <t>GO:0051085</t>
  </si>
  <si>
    <t>chaperone cofactor-dependent protein refolding</t>
  </si>
  <si>
    <t>GO:0000911</t>
  </si>
  <si>
    <t>cytokinesis by cell plate formation</t>
  </si>
  <si>
    <t>GO:0009631</t>
  </si>
  <si>
    <t>cold acclimation</t>
  </si>
  <si>
    <t>GO:0006099</t>
  </si>
  <si>
    <t>tricarboxylic acid cycle</t>
  </si>
  <si>
    <t>J2O13_01G001089;J2O13_01G002468;J2O13_02G003959;J2O13_02G003969;J2O13_02G005036;J2O13_03G006752;J2O13_04G007468;J2O13_04G007519;J2O13_04G008937;J2O13_04G009251;J2O13_05G010355;J2O13_05G010897;J2O13_05G011592;J2O13_05G012442;J2O13_05G012447;J2O13_05G012471;J2O13_06G013355;J2O13_07G015008;J2O13_07G015050;J2O13_07G016603;J2O13_07G016684;J2O13_07G016685;J2O13_07G017130;J2O13_09G019764;J2O13_09G019775;J2O13_09G020136;J2O13_09G020236;J2O13_09G021808;J2O13_10G022344;J2O13_10G023379;J2O13_UnG024722</t>
  </si>
  <si>
    <t>GO:0004222</t>
  </si>
  <si>
    <t>metalloendopeptidase activity</t>
  </si>
  <si>
    <t>GO:0006338</t>
  </si>
  <si>
    <t>chromatin remodeling</t>
  </si>
  <si>
    <t>GO:0009637</t>
  </si>
  <si>
    <t>response to blue light</t>
  </si>
  <si>
    <t>GO:0005730</t>
  </si>
  <si>
    <t>nucleolus</t>
  </si>
  <si>
    <t>J2O13_01G000176;J2O13_02G004827;J2O13_04G007541;J2O13_05G010379;J2O13_05G010948;J2O13_05G012298;J2O13_06G012963;J2O13_06G012982;J2O13_06G013977;J2O13_07G015053;J2O13_07G015104;J2O13_07G015256;J2O13_09G020272;J2O13_09G020609;J2O13_09G021293;J2O13_10G023417;J2O13_10G023599</t>
  </si>
  <si>
    <t>GO:0009524</t>
  </si>
  <si>
    <t>phragmoplast</t>
  </si>
  <si>
    <t>J2O13_03G005838;J2O13_04G008594;J2O13_05G009695;J2O13_07G015587;J2O13_09G020843</t>
  </si>
  <si>
    <t>GO:0016607</t>
  </si>
  <si>
    <t>nuclear speck</t>
  </si>
  <si>
    <t>J2O13_03G005840;J2O13_05G011392;J2O13_07G016666</t>
  </si>
  <si>
    <t>GO:0006887</t>
  </si>
  <si>
    <t>exocytosis</t>
  </si>
  <si>
    <t>GO:0009853</t>
  </si>
  <si>
    <t>photorespiration</t>
  </si>
  <si>
    <t>GO:0042644</t>
  </si>
  <si>
    <t>chloroplast nucleoid</t>
  </si>
  <si>
    <t>GO:0000149</t>
  </si>
  <si>
    <t>SNARE binding</t>
  </si>
  <si>
    <t>GO:0000373</t>
  </si>
  <si>
    <t>Group II intron splicing</t>
  </si>
  <si>
    <t>GO:0042773</t>
  </si>
  <si>
    <t>ATP synthesis coupled electron transport</t>
  </si>
  <si>
    <t>GO:0006508</t>
  </si>
  <si>
    <t>proteolysis</t>
  </si>
  <si>
    <t>J2O13_01G001487;J2O13_02G004337;J2O13_03G005681;J2O13_03G007018;J2O13_03G007021;J2O13_04G007700;J2O13_04G009072;J2O13_05G009971;J2O13_05G010099;J2O13_05G011368;J2O13_05G011934;J2O13_05G011964;J2O13_06G012806;J2O13_06G013200;J2O13_06G013205;J2O13_06G013905;J2O13_06G014583;J2O13_07G015927;J2O13_07G016591;J2O13_07G016592;J2O13_07G017262;J2O13_08G017499;J2O13_08G017532;J2O13_08G017630;J2O13_08G017650;J2O13_08G017651;J2O13_08G017845;J2O13_10G023406;J2O13_10G024541</t>
  </si>
  <si>
    <t>GO:0016310</t>
  </si>
  <si>
    <t>phosphorylation</t>
  </si>
  <si>
    <t>J2O13_01G001338;J2O13_01G001339;J2O13_05G011287;J2O13_06G014077;J2O13_07G015716;J2O13_09G022014;J2O13_10G024265</t>
  </si>
  <si>
    <t>GO:0016757</t>
  </si>
  <si>
    <t>glycosyltransferase activity</t>
  </si>
  <si>
    <t>J2O13_01G000795;J2O13_06G012855;J2O13_08G019104;J2O13_09G020236;J2O13_10G022282;J2O13_10G022699;J2O13_10G024444</t>
  </si>
  <si>
    <t>GO:0009610</t>
  </si>
  <si>
    <t>response to symbiotic fungus</t>
  </si>
  <si>
    <t>GO:0006364</t>
  </si>
  <si>
    <t>rRNA processing</t>
  </si>
  <si>
    <t>J2O13_04G007541;J2O13_05G009482;J2O13_10G024148</t>
  </si>
  <si>
    <t>GO:0006897</t>
  </si>
  <si>
    <t>endocytosis</t>
  </si>
  <si>
    <t>GO:0009522</t>
  </si>
  <si>
    <t>photosystem I</t>
  </si>
  <si>
    <t>J2O13_01G000176;J2O13_01G000648;J2O13_01G000656;J2O13_01G000909;J2O13_01G001053;J2O13_01G001058;J2O13_01G001240;J2O13_01G001275;J2O13_01G001281;J2O13_01G001421;J2O13_01G001427;J2O13_01G001464;J2O13_01G001521;J2O13_01G001615;J2O13_01G001862;J2O13_01G002193;J2O13_01G002279;J2O13_01G002765;J2O13_01G002766;J2O13_01G002775;J2O13_01G002779;J2O13_02G002944;J2O13_02G003455;J2O13_02G003491;J2O13_02G003634;J2O13_02G003697;J2O13_02G004027;J2O13_02G004216;J2O13_02G004546;J2O13_02G004547;J2O13_02G004623;J2O13_02G004917;J2O13_02G004929;J2O13_02G005010;J2O13_02G005047;J2O13_02G005061;J2O13_03G005190;J2O13_03G005200;J2O13_03G005267;J2O13_03G005545;J2O13_03G005546;J2O13_03G005623;J2O13_03G005721;J2O13_03G005766;J2O13_03G005833;J2O13_03G005838;J2O13_03G005864;J2O13_03G006046;J2O13_03G006059;J2O13_03G006386;J2O13_03G006898;J2O13_04G007178;J2O13_04G007338;J2O13_04G007351;J2O13_04G007698;J2O13_04G007848;J2O13_04G008109;J2O13_04G008256;J2O13_05G009444;J2O13_05G009458;J2O13_05G009658;J2O13_05G009695;J2O13_05G009999;J2O13_05G010040;J2O13_05G010334;J2O13_05G010379;J2O13_05G010574;J2O13_05G010627;J2O13_05G010636;J2O13_05G010759;J2O13_05G010760;J2O13_05G010762;J2O13_05G011295;J2O13_05G011370;J2O13_05G011399;J2O13_05G011642;J2O13_05G012665;J2O13_06G012844;J2O13_06G012910;J2O13_06G012979;J2O13_06G013013;J2O13_06G013071;J2O13_06G013156;J2O13_06G013296;J2O13_06G013302;J2O13_06G013495;J2O13_06G013496;J2O13_06G013497;J2O13_06G013498;J2O13_06G013970;J2O13_06G014014;J2O13_06G014055;J2O13_07G015021;J2O13_07G015104;J2O13_07G015378;J2O13_07G015379;J2O13_07G015558;J2O13_07G015775;J2O13_07G016076;J2O13_07G016258;J2O13_07G016364;J2O13_07G016440;J2O13_07G016644;J2O13_07G016668;J2O13_07G016689;J2O13_07G016792;J2O13_07G016880;J2O13_07G016884;J2O13_07G017018;J2O13_07G017020;J2O13_07G017047;J2O13_07G017050;J2O13_07G017108;J2O13_07G017179;J2O13_07G017354;J2O13_07G017355;J2O13_08G017413;J2O13_08G017476;J2O13_08G017503;J2O13_08G017555;J2O13_08G017809;J2O13_08G017877;J2O13_08G017950;J2O13_08G018376;J2O13_08G018879;J2O13_08G019092;J2O13_08G019094;J2O13_08G019361;J2O13_09G020193;J2O13_09G020236;J2O13_09G020528;J2O13_09G020609;J2O13_09G020843;J2O13_09G020847;J2O13_09G020874;J2O13_09G021636;J2O13_09G021842;J2O13_09G021883;J2O13_09G021971;J2O13_10G022496;J2O13_10G022731;J2O13_10G022821;J2O13_10G023443;J2O13_10G023511;J2O13_10G023534;J2O13_10G023644;J2O13_10G023681;J2O13_10G023885;J2O13_10G023993;J2O13_10G024053;J2O13_10G024216;J2O13_10G024233;J2O13_10G024265;J2O13_10G024267;J2O13_10G024444;J2O13_10G024564</t>
  </si>
  <si>
    <t>GO:0010008</t>
  </si>
  <si>
    <t>endosome membrane</t>
  </si>
  <si>
    <t>J2O13_01G000307;J2O13_05G011636;J2O13_09G020236</t>
  </si>
  <si>
    <t>GO:0003712</t>
  </si>
  <si>
    <t>transcription coregulator activity</t>
  </si>
  <si>
    <t>GO:0019843</t>
  </si>
  <si>
    <t>rRNA binding</t>
  </si>
  <si>
    <t>J2O13_01G002641;J2O13_01G002642;J2O13_02G002945;J2O13_02G002946;J2O13_02G002963;J2O13_05G010536;J2O13_10G023029</t>
  </si>
  <si>
    <t>GO:0030244</t>
  </si>
  <si>
    <t>cellulose biosynthetic process</t>
  </si>
  <si>
    <t>GO:0051015</t>
  </si>
  <si>
    <t>actin filament binding</t>
  </si>
  <si>
    <t>GO:0006511</t>
  </si>
  <si>
    <t>ubiquitin-dependent protein catabolic process</t>
  </si>
  <si>
    <t>J2O13_01G001581;J2O13_03G005267;J2O13_03G005363;J2O13_03G006292;J2O13_04G008902;J2O13_07G015105;J2O13_08G019195</t>
  </si>
  <si>
    <t>GO:0010228</t>
  </si>
  <si>
    <t>vegetative to reproductive phase transition of meristem</t>
  </si>
  <si>
    <t>J2O13_05G011953;J2O13_09G021677;J2O13_10G022589</t>
  </si>
  <si>
    <t>GO:0035556</t>
  </si>
  <si>
    <t>intracellular signal transduction</t>
  </si>
  <si>
    <t>J2O13_02G004917;J2O13_09G020845;J2O13_10G022496</t>
  </si>
  <si>
    <t>GO:0009846</t>
  </si>
  <si>
    <t>pollen germination</t>
  </si>
  <si>
    <t>J2O13_05G009690;J2O13_09G020960</t>
  </si>
  <si>
    <t>GO:0005819</t>
  </si>
  <si>
    <t>spindle</t>
  </si>
  <si>
    <t>GO:0005743</t>
  </si>
  <si>
    <t>mitochondrial inner membrane</t>
  </si>
  <si>
    <t>J2O13_01G001976;J2O13_02G004335;J2O13_04G007674;J2O13_05G010546;J2O13_09G021404;J2O13_09G022006</t>
  </si>
  <si>
    <t>GO:0006357</t>
  </si>
  <si>
    <t>regulation of transcription by RNA polymerase II</t>
  </si>
  <si>
    <t>J2O13_04G007505;J2O13_04G007514;J2O13_04G007971;J2O13_05G010526;J2O13_05G011748;J2O13_06G013698;J2O13_06G014725;J2O13_09G019667;J2O13_09G021463;J2O13_09G021933;J2O13_10G022731</t>
  </si>
  <si>
    <t>GO:0006486</t>
  </si>
  <si>
    <t>protein glycosylation</t>
  </si>
  <si>
    <t>J2O13_04G008550;J2O13_08G019104</t>
  </si>
  <si>
    <t>GO:0012505</t>
  </si>
  <si>
    <t>endomembrane system</t>
  </si>
  <si>
    <t>J2O13_01G000783;J2O13_04G008903;J2O13_09G019859;J2O13_09G021320;J2O13_10G023340</t>
  </si>
  <si>
    <t>GO:0003697</t>
  </si>
  <si>
    <t>single-stranded DNA binding</t>
  </si>
  <si>
    <t>GO:0051539</t>
  </si>
  <si>
    <t>4 iron, 4 sulfur cluster binding</t>
  </si>
  <si>
    <t>J2O13_04G007711;J2O13_07G015053;J2O13_08G019211</t>
  </si>
  <si>
    <t>GO:0000209</t>
  </si>
  <si>
    <t>protein polyubiquitination</t>
  </si>
  <si>
    <t>GO:0009579</t>
  </si>
  <si>
    <t>thylakoid</t>
  </si>
  <si>
    <t>J2O13_04G007604;J2O13_05G010536;J2O13_10G023993</t>
  </si>
  <si>
    <t>GO:0016192</t>
  </si>
  <si>
    <t>vesicle-mediated transport</t>
  </si>
  <si>
    <t>J2O13_01G002468;J2O13_02G004775;J2O13_05G009695</t>
  </si>
  <si>
    <t>GO:0008137</t>
  </si>
  <si>
    <t>NADH dehydrogenase (ubiquinone) activity</t>
  </si>
  <si>
    <t>GO:0006281</t>
  </si>
  <si>
    <t>DNA repair</t>
  </si>
  <si>
    <t>J2O13_02G004216;J2O13_04G008183;J2O13_05G010962;J2O13_05G012455;J2O13_07G015053;J2O13_07G016132</t>
  </si>
  <si>
    <t>GO:0009707</t>
  </si>
  <si>
    <t>chloroplast outer membrane</t>
  </si>
  <si>
    <t>GO:0005840</t>
  </si>
  <si>
    <t>ribosome</t>
  </si>
  <si>
    <t>J2O13_02G002945;J2O13_02G002963;J2O13_05G011786;J2O13_08G017459;J2O13_08G017476</t>
  </si>
  <si>
    <t>GO:0006325</t>
  </si>
  <si>
    <t>chromatin organization</t>
  </si>
  <si>
    <t>J2O13_03G005549;J2O13_10G024554</t>
  </si>
  <si>
    <t>GO:0008380</t>
  </si>
  <si>
    <t>RNA splicing</t>
  </si>
  <si>
    <t>J2O13_05G011953;J2O13_08G018338;J2O13_UnG024649</t>
  </si>
  <si>
    <t>GO:0005802</t>
  </si>
  <si>
    <t>trans-Golgi network</t>
  </si>
  <si>
    <t>J2O13_02G004775;J2O13_04G007293;J2O13_04G008902;J2O13_05G010445;J2O13_07G016684;J2O13_07G016685;J2O13_10G022297</t>
  </si>
  <si>
    <t>GO:0003724</t>
  </si>
  <si>
    <t>RNA helicase activity</t>
  </si>
  <si>
    <t>J2O13_07G015431;J2O13_08G018739</t>
  </si>
  <si>
    <t>GO:0016887</t>
  </si>
  <si>
    <t>ATP hydrolysis activity</t>
  </si>
  <si>
    <t>J2O13_01G000864;J2O13_02G003212;J2O13_02G004887;J2O13_04G007347;J2O13_04G008041;J2O13_04G008088;J2O13_04G008183;J2O13_05G009502;J2O13_05G009609;J2O13_05G011934;J2O13_05G012455;J2O13_05G012712;J2O13_05G012725;J2O13_05G012787;J2O13_06G013300;J2O13_06G013970;J2O13_07G015148;J2O13_07G015431;J2O13_07G015587;J2O13_07G017050;J2O13_08G018739;J2O13_08G018790;J2O13_10G022733;J2O13_10G022748;J2O13_10G023449;J2O13_10G024498</t>
  </si>
  <si>
    <t>GO:0003924</t>
  </si>
  <si>
    <t>GTPase activity</t>
  </si>
  <si>
    <t>J2O13_03G005911;J2O13_04G007541;J2O13_05G009695;J2O13_09G021320;J2O13_10G023511</t>
  </si>
  <si>
    <t>GO:1990904</t>
  </si>
  <si>
    <t>ribonucleoprotein complex</t>
  </si>
  <si>
    <t>J2O13_02G002945;J2O13_02G002963;J2O13_05G011786;J2O13_06G013296;J2O13_06G013882;J2O13_08G017459;J2O13_08G017476</t>
  </si>
  <si>
    <t>GO:0015979</t>
  </si>
  <si>
    <t>photosynthesis</t>
  </si>
  <si>
    <t>J2O13_04G007649;J2O13_05G012792;J2O13_08G018880</t>
  </si>
  <si>
    <t>GO:0006310</t>
  </si>
  <si>
    <t>DNA recombination</t>
  </si>
  <si>
    <t>J2O13_04G009072;J2O13_05G010962;J2O13_06G013905;J2O13_07G016591;J2O13_07G016592</t>
  </si>
  <si>
    <t>GO:0022626</t>
  </si>
  <si>
    <t>cytosolic ribosome</t>
  </si>
  <si>
    <t>GO:0009555</t>
  </si>
  <si>
    <t>pollen development</t>
  </si>
  <si>
    <t>J2O13_02G003771;J2O13_03G005661;J2O13_04G007848;J2O13_05G009690;J2O13_09G020960</t>
  </si>
  <si>
    <t>GO:0005681</t>
  </si>
  <si>
    <t>spliceosomal complex</t>
  </si>
  <si>
    <t>J2O13_03G005398;J2O13_03G006915;J2O13_04G007203;J2O13_04G007351;J2O13_04G007957;J2O13_05G009310;J2O13_05G009506;J2O13_05G010536;J2O13_05G010848;J2O13_05G012401;J2O13_06G013534;J2O13_06G013943;J2O13_06G014681;J2O13_06G014687;J2O13_07G015716;J2O13_07G016285;J2O13_07G016498;J2O13_08G018376;J2O13_08G018609;J2O13_10G023449;J2O13_10G023993;J2O13_10G024253;J2O13_10G024448;J2O13_10G024543;J2O13_10G024544</t>
  </si>
  <si>
    <t>GO:0004190</t>
  </si>
  <si>
    <t>aspartic-type endopeptidase activity</t>
  </si>
  <si>
    <t>J2O13_01G001487;J2O13_02G004337;J2O13_04G009072;J2O13_06G012806;J2O13_06G013200;J2O13_06G013205;J2O13_06G013905;J2O13_07G016591;J2O13_07G016592</t>
  </si>
  <si>
    <t>GO:0022625</t>
  </si>
  <si>
    <t>cytosolic large ribosomal subunit</t>
  </si>
  <si>
    <t>GO:0000398</t>
  </si>
  <si>
    <t>mRNA splicing, via spliceosome</t>
  </si>
  <si>
    <t>GO:0006397</t>
  </si>
  <si>
    <t>mRNA processing</t>
  </si>
  <si>
    <t>J2O13_05G009482;J2O13_05G011953;J2O13_06G012902;J2O13_06G013882;J2O13_08G018338;J2O13_10G022072;J2O13_UnG024649</t>
  </si>
  <si>
    <t>GO:0005794</t>
  </si>
  <si>
    <t>Golgi apparatus</t>
  </si>
  <si>
    <t>J2O13_01G000706;J2O13_01G001089;J2O13_01G001169;J2O13_01G002539;J2O13_01G002859;J2O13_02G003613;J2O13_02G004268;J2O13_03G005681;J2O13_03G006383;J2O13_04G007293;J2O13_04G008451;J2O13_04G008847;J2O13_05G009556;J2O13_05G012712;J2O13_06G012855;J2O13_07G017354;J2O13_08G017494;J2O13_08G017509;J2O13_08G018573;J2O13_08G018598;J2O13_08G018607;J2O13_09G019681;J2O13_09G019954;J2O13_09G021320;J2O13_09G021552;J2O13_09G021661;J2O13_09G021808;J2O13_10G022282;J2O13_10G022297;J2O13_10G023406;J2O13_10G023520;J2O13_10G024579</t>
  </si>
  <si>
    <t>J2O13_01G000212;J2O13_01G000748;J2O13_01G000759;J2O13_01G000878;J2O13_01G001287;J2O13_01G001464;J2O13_01G002004;J2O13_01G002632;J2O13_01G002765;J2O13_01G002766;J2O13_02G003212;J2O13_02G003307;J2O13_02G003922;J2O13_02G003943;J2O13_02G004775;J2O13_03G005190;J2O13_03G005251;J2O13_03G005863;J2O13_03G005864;J2O13_03G006134;J2O13_03G006292;J2O13_03G006373;J2O13_03G006946;J2O13_04G007347;J2O13_04G007363;J2O13_04G007569;J2O13_04G007592;J2O13_04G007649;J2O13_04G007675;J2O13_04G008109;J2O13_04G008435;J2O13_04G008461;J2O13_05G009310;J2O13_05G009482;J2O13_05G009496;J2O13_05G009695;J2O13_05G009789;J2O13_05G009971;J2O13_05G009999;J2O13_05G010079;J2O13_05G010251;J2O13_05G010455;J2O13_05G010470;J2O13_05G011287;J2O13_05G011894;J2O13_05G011953;J2O13_05G012114;J2O13_05G012125;J2O13_05G012792;J2O13_06G013117;J2O13_06G013164;J2O13_06G013943;J2O13_06G014575;J2O13_07G015177;J2O13_07G015366;J2O13_07G015385;J2O13_07G015716;J2O13_07G016105;J2O13_07G016258;J2O13_07G016440;J2O13_07G016812;J2O13_08G017459;J2O13_08G018229;J2O13_08G018376;J2O13_08G018735;J2O13_08G018739;J2O13_08G018961;J2O13_08G019094;J2O13_08G019173;J2O13_08G019314;J2O13_08G019409;J2O13_09G019564;J2O13_09G019817;J2O13_09G019908;J2O13_09G020059;J2O13_09G020106;J2O13_09G020236;J2O13_09G020272;J2O13_09G020290;J2O13_09G020482;J2O13_09G020609;J2O13_09G020645;J2O13_09G020701;J2O13_09G020874;J2O13_09G021320;J2O13_09G021550;J2O13_10G022262;J2O13_10G022466;J2O13_10G022542;J2O13_10G022917;J2O13_10G023340;J2O13_10G023491;J2O13_10G023700;J2O13_10G023993;J2O13_10G023996;J2O13_10G024265;J2O13_10G024333;J2O13_10G024544</t>
  </si>
  <si>
    <t>GO:0009536</t>
  </si>
  <si>
    <t>plastid</t>
  </si>
  <si>
    <t>J2O13_01G001619;J2O13_01G001641;J2O13_02G004182;J2O13_02G004268;J2O13_03G005835;J2O13_03G006809;J2O13_04G007847;J2O13_04G008587;J2O13_05G010428;J2O13_05G011894;J2O13_06G013164;J2O13_06G013296;J2O13_06G013830;J2O13_07G016285;J2O13_07G017155;J2O13_08G017468;J2O13_08G018197;J2O13_09G019698;J2O13_09G020627;J2O13_09G020845;J2O13_09G020882;J2O13_10G023492;J2O13_10G024529;J2O13_10G024579;J2O13_10G024592</t>
  </si>
  <si>
    <t>GO:0015074</t>
  </si>
  <si>
    <t>DNA integration</t>
  </si>
  <si>
    <t>J2O13_04G009072;J2O13_06G013905;J2O13_07G016591;J2O13_07G016592</t>
  </si>
  <si>
    <t>GO:0006412</t>
  </si>
  <si>
    <t>translation</t>
  </si>
  <si>
    <t>J2O13_01G001619;J2O13_01G002641;J2O13_01G002642;J2O13_02G002945;J2O13_02G002946;J2O13_02G002963;J2O13_02G003083;J2O13_05G010536;J2O13_05G011786;J2O13_08G017476;J2O13_09G020272</t>
  </si>
  <si>
    <t>GO:0009941</t>
  </si>
  <si>
    <t>chloroplast envelope</t>
  </si>
  <si>
    <t>J2O13_01G001338;J2O13_01G001339;J2O13_05G012455;J2O13_06G013253;J2O13_07G016330;J2O13_07G016684;J2O13_07G016685;J2O13_08G018376;J2O13_09G020106;J2O13_10G024543;J2O13_10G024544</t>
  </si>
  <si>
    <t>GO:0015031</t>
  </si>
  <si>
    <t>protein transport</t>
  </si>
  <si>
    <t>J2O13_02G002943;J2O13_02G003244;J2O13_05G012079;J2O13_05G012777;J2O13_07G015587;J2O13_07G016792;J2O13_10G023205</t>
  </si>
  <si>
    <t>GO:0000139</t>
  </si>
  <si>
    <t>Golgi membrane</t>
  </si>
  <si>
    <t>J2O13_01G001089;J2O13_01G001169;J2O13_04G008902;J2O13_05G009556;J2O13_05G012079;J2O13_05G012777;J2O13_06G012855;J2O13_08G017494;J2O13_09G020236;J2O13_09G021320;J2O13_09G021661;J2O13_10G022282;J2O13_10G023406;J2O13_UnG024722</t>
  </si>
  <si>
    <t>GO:0003964</t>
  </si>
  <si>
    <t>RNA-directed DNA polymerase activity</t>
  </si>
  <si>
    <t>J2O13_03G006703;J2O13_04G009072;J2O13_06G013905;J2O13_07G016591;J2O13_07G016592</t>
  </si>
  <si>
    <t>GO:0004519</t>
  </si>
  <si>
    <t>endonuclease activity</t>
  </si>
  <si>
    <t>J2O13_04G009072;J2O13_05G012455;J2O13_06G013905;J2O13_07G016591;J2O13_07G016592</t>
  </si>
  <si>
    <t>GO:0003735</t>
  </si>
  <si>
    <t>structural constituent of ribosome</t>
  </si>
  <si>
    <t>J2O13_01G001619;J2O13_01G002641;J2O13_01G002642;J2O13_02G002945;J2O13_02G002946;J2O13_02G002963;J2O13_02G003083;J2O13_05G010536;J2O13_05G011786;J2O13_08G017476;J2O13_09G020272;J2O13_10G023029</t>
  </si>
  <si>
    <t>GO:0006886</t>
  </si>
  <si>
    <t>intracellular protein transport</t>
  </si>
  <si>
    <t>GO:0005525</t>
  </si>
  <si>
    <t>GTP binding</t>
  </si>
  <si>
    <t>J2O13_03G005911;J2O13_05G009695;J2O13_09G021320;J2O13_10G023511</t>
  </si>
  <si>
    <t>GO:0005768</t>
  </si>
  <si>
    <t>endosome</t>
  </si>
  <si>
    <t>J2O13_04G007293;J2O13_04G007692;J2O13_04G008902;J2O13_09G020236;J2O13_10G022297</t>
  </si>
  <si>
    <t>GO:0009451</t>
  </si>
  <si>
    <t>RNA modification</t>
  </si>
  <si>
    <t>J2O13_05G009759;J2O13_06G013242;J2O13_09G021234;J2O13_10G024532</t>
  </si>
  <si>
    <t>GO:0008270</t>
  </si>
  <si>
    <t>zinc ion binding</t>
  </si>
  <si>
    <t>J2O13_01G001581;J2O13_02G004650;J2O13_02G004913;J2O13_03G005363;J2O13_04G007957;J2O13_05G009444;J2O13_05G009506;J2O13_05G011934;J2O13_06G013242;J2O13_06G014055;J2O13_07G015104;J2O13_07G015105;J2O13_07G015256;J2O13_07G015621;J2O13_07G017249;J2O13_08G017524;J2O13_08G018505;J2O13_09G021234;J2O13_09G021444;J2O13_09G021445;J2O13_09G021762;J2O13_10G022215;J2O13_10G022811;J2O13_10G023263;J2O13_10G023993;J2O13_10G024526;J2O13_10G024532</t>
  </si>
  <si>
    <t>GO:0009658</t>
  </si>
  <si>
    <t>chloroplast organization</t>
  </si>
  <si>
    <t>J2O13_01G000176;J2O13_01G000706;J2O13_01G001619;J2O13_01G001976;J2O13_01G002859;J2O13_02G003875;J2O13_02G003876;J2O13_02G003962;J2O13_02G004917;J2O13_03G005681;J2O13_03G006203;J2O13_03G006703;J2O13_03G006707;J2O13_04G007351;J2O13_04G007519;J2O13_04G007674;J2O13_04G008041;J2O13_04G008043;J2O13_04G008171;J2O13_04G008432;J2O13_05G009310;J2O13_05G009482;J2O13_05G009609;J2O13_05G009695;J2O13_05G009759;J2O13_05G010379;J2O13_05G010492;J2O13_05G011411;J2O13_05G011642;J2O13_05G012414;J2O13_05G012442;J2O13_05G012725;J2O13_06G012864;J2O13_06G013791;J2O13_06G013882;J2O13_07G014938;J2O13_07G016330;J2O13_07G016684;J2O13_07G016685;J2O13_07G017108;J2O13_08G018735;J2O13_08G018890;J2O13_09G019870;J2O13_09G022002;J2O13_10G022208;J2O13_10G023993;J2O13_10G024532;J2O13_10G024564</t>
  </si>
  <si>
    <t>GO:0003729</t>
  </si>
  <si>
    <t>mRNA binding</t>
  </si>
  <si>
    <t>J2O13_01G002004;J2O13_04G007293;J2O13_05G010536;J2O13_05G011894;J2O13_05G011953;J2O13_06G012963;J2O13_07G015558;J2O13_07G016684;J2O13_07G016685;J2O13_07G017354;J2O13_08G018045;J2O13_08G018376;J2O13_09G020272;J2O13_09G020845;J2O13_10G022072;J2O13_10G024148</t>
  </si>
  <si>
    <t>GO:0003676</t>
  </si>
  <si>
    <t>nucleic acid binding</t>
  </si>
  <si>
    <t>GO:0003723</t>
  </si>
  <si>
    <t>RNA binding</t>
  </si>
  <si>
    <t>J2O13_01G000602;J2O13_03G005867;J2O13_03G006306;J2O13_04G007541;J2O13_05G009482;J2O13_05G009759;J2O13_05G010274;J2O13_05G011235;J2O13_05G011392;J2O13_05G012455;J2O13_06G012902;J2O13_06G012963;J2O13_06G013242;J2O13_06G013296;J2O13_06G013882;J2O13_07G014936;J2O13_07G015431;J2O13_08G017428;J2O13_08G018338;J2O13_08G018739;J2O13_09G020528;J2O13_09G021234;J2O13_10G024148;J2O13_10G024532</t>
  </si>
  <si>
    <t>J2O13_01G000285;J2O13_01G000832;J2O13_01G000879;J2O13_01G000996;J2O13_01G001619;J2O13_01G001996;J2O13_01G002539;J2O13_01G002641;J2O13_01G002642;J2O13_01G002736;J2O13_02G002944;J2O13_02G002945;J2O13_02G002946;J2O13_02G002963;J2O13_02G003083;J2O13_02G004182;J2O13_02G004349;J2O13_02G004666;J2O13_02G005048;J2O13_03G005398;J2O13_03G006306;J2O13_03G006387;J2O13_03G006442;J2O13_03G006883;J2O13_03G006898;J2O13_04G007116;J2O13_04G007265;J2O13_04G007351;J2O13_04G007649;J2O13_04G008144;J2O13_05G009310;J2O13_05G009387;J2O13_05G009493;J2O13_05G010079;J2O13_05G010340;J2O13_05G010536;J2O13_05G010953;J2O13_05G011011;J2O13_05G011998;J2O13_05G012401;J2O13_06G013092;J2O13_06G013276;J2O13_06G014687;J2O13_06G014887;J2O13_07G015366;J2O13_07G015431;J2O13_07G015716;J2O13_07G016285;J2O13_07G016684;J2O13_07G016685;J2O13_08G018145;J2O13_08G018376;J2O13_08G018406;J2O13_08G018505;J2O13_08G018609;J2O13_08G018879;J2O13_09G019564;J2O13_09G019727;J2O13_09G020106;J2O13_09G020540;J2O13_09G020627;J2O13_09G021356;J2O13_09G021438;J2O13_09G022002;J2O13_10G022447;J2O13_10G022811;J2O13_10G022949;J2O13_10G023263;J2O13_10G023264;J2O13_10G023492;J2O13_10G023534;J2O13_10G023993;J2O13_10G024036;J2O13_10G024253;J2O13_10G024305;J2O13_10G024544;J2O13_10G024592</t>
  </si>
  <si>
    <r>
      <rPr>
        <b/>
        <sz val="10"/>
        <color theme="1"/>
        <rFont val="Times New Roman"/>
        <charset val="134"/>
      </rPr>
      <t xml:space="preserve">Table S6 </t>
    </r>
    <r>
      <rPr>
        <sz val="10"/>
        <color theme="1"/>
        <rFont val="Times New Roman"/>
        <charset val="134"/>
      </rPr>
      <t>GO enrichment analysis of all down-regulated DEGs  from diploids and tetraploids.</t>
    </r>
  </si>
  <si>
    <t>J2O13_01G000048;J2O13_01G000152;J2O13_01G000264;J2O13_01G000312;J2O13_01G000429;J2O13_01G000438;J2O13_01G000449;J2O13_01G000467;J2O13_01G000729;J2O13_01G000848;J2O13_01G000885;J2O13_01G000927;J2O13_01G000959;J2O13_01G000978;J2O13_01G000984;J2O13_01G001061;J2O13_01G001063;J2O13_01G001150;J2O13_01G001218;J2O13_01G001253;J2O13_01G001390;J2O13_01G001559;J2O13_01G001675;J2O13_01G001818;J2O13_01G001884;J2O13_01G001978;J2O13_01G002254;J2O13_01G002353;J2O13_01G002420;J2O13_01G002821;J2O13_01G002848;J2O13_02G003067;J2O13_02G003282;J2O13_02G003507;J2O13_02G003722;J2O13_02G003748;J2O13_02G003811;J2O13_02G003837;J2O13_02G003869;J2O13_02G003894;J2O13_02G003967;J2O13_02G003974;J2O13_02G004144;J2O13_02G004220;J2O13_02G004235;J2O13_02G004589;J2O13_02G004593;J2O13_02G004854;J2O13_02G004860;J2O13_02G004977;J2O13_02G005013;J2O13_02G005033;J2O13_03G005109;J2O13_03G005121;J2O13_03G005176;J2O13_03G005180;J2O13_03G005414;J2O13_03G005461;J2O13_03G005522;J2O13_03G005563;J2O13_03G005723;J2O13_03G005894;J2O13_03G005901;J2O13_03G005933;J2O13_03G006017;J2O13_03G006084;J2O13_03G006108;J2O13_03G006209;J2O13_03G006213;J2O13_03G006230;J2O13_03G006360;J2O13_03G006666;J2O13_03G006832;J2O13_03G006846;J2O13_03G006868;J2O13_03G006874;J2O13_03G007028;J2O13_03G007040;J2O13_04G007071;J2O13_04G007123;J2O13_04G007124;J2O13_04G007190;J2O13_04G007232;J2O13_04G007259;J2O13_04G007327;J2O13_04G007478;J2O13_04G007553;J2O13_04G007554;J2O13_04G007758;J2O13_04G007842;J2O13_04G007867;J2O13_04G008133;J2O13_04G008153;J2O13_04G008333;J2O13_04G008376;J2O13_04G008389;J2O13_04G008443;J2O13_04G008446;J2O13_04G008570;J2O13_04G008670;J2O13_04G008907;J2O13_04G008935;J2O13_04G009017;J2O13_04G009180;J2O13_05G009341;J2O13_05G009366;J2O13_05G009384;J2O13_05G009488;J2O13_05G009579;J2O13_05G009726;J2O13_05G009775;J2O13_05G009894;J2O13_05G009911;J2O13_05G009913;J2O13_05G009978;J2O13_05G009990;J2O13_05G010054;J2O13_05G010080;J2O13_05G010236;J2O13_05G010345;J2O13_05G010415;J2O13_05G010468;J2O13_05G010632;J2O13_05G010687;J2O13_05G010776;J2O13_05G010856;J2O13_05G011055;J2O13_05G011138;J2O13_05G011152;J2O13_05G011230;J2O13_05G011419;J2O13_05G011452;J2O13_05G011630;J2O13_05G011808;J2O13_05G011857;J2O13_05G011951;J2O13_05G012296;J2O13_05G012362;J2O13_05G012413;J2O13_05G012530;J2O13_05G012553;J2O13_05G012751;J2O13_05G012769;J2O13_06G012861;J2O13_06G013107;J2O13_06G013178;J2O13_06G013217;J2O13_06G013226;J2O13_06G013282;J2O13_06G013306;J2O13_06G013324;J2O13_06G013427;J2O13_06G013442;J2O13_06G013461;J2O13_06G013493;J2O13_06G013542;J2O13_06G013627;J2O13_06G013693;J2O13_06G013709;J2O13_06G013725;J2O13_06G013798;J2O13_06G013888;J2O13_06G013969;J2O13_06G014274;J2O13_06G014540;J2O13_06G014544;J2O13_06G014587;J2O13_06G014648;J2O13_06G014689;J2O13_06G014694;J2O13_06G014720;J2O13_07G014924;J2O13_07G014984;J2O13_07G015055;J2O13_07G015073;J2O13_07G015097;J2O13_07G015509;J2O13_07G015694;J2O13_07G015761;J2O13_07G015779;J2O13_07G016054;J2O13_07G016161;J2O13_07G016248;J2O13_07G016316;J2O13_07G016342;J2O13_07G016386;J2O13_07G016825;J2O13_07G016913;J2O13_07G017030;J2O13_07G017036;J2O13_07G017085;J2O13_07G017088;J2O13_07G017091;J2O13_07G017124;J2O13_07G017164;J2O13_07G017202;J2O13_07G017251;J2O13_07G017269;J2O13_07G017277;J2O13_07G017407;J2O13_08G017455;J2O13_08G017518;J2O13_08G017715;J2O13_08G017730;J2O13_08G018033;J2O13_08G018093;J2O13_08G018160;J2O13_08G018225;J2O13_08G018662;J2O13_08G018688;J2O13_08G019099;J2O13_08G019146;J2O13_08G019150;J2O13_08G019156;J2O13_08G019190;J2O13_08G019290;J2O13_08G019335;J2O13_08G019377;J2O13_08G019386;J2O13_08G019412;J2O13_08G019435;J2O13_08G019470;J2O13_08G019539;J2O13_09G019576;J2O13_09G019607;J2O13_09G019763;J2O13_09G019780;J2O13_09G019821;J2O13_09G019845;J2O13_09G019853;J2O13_09G019865;J2O13_09G019872;J2O13_09G019943;J2O13_09G020036;J2O13_09G020231;J2O13_09G020363;J2O13_09G020418;J2O13_09G020564;J2O13_09G020585;J2O13_09G020883;J2O13_09G020930;J2O13_09G020955;J2O13_09G020970;J2O13_09G021066;J2O13_09G021223;J2O13_09G021349;J2O13_09G021446;J2O13_09G021612;J2O13_09G021706;J2O13_09G021814;J2O13_09G021986;J2O13_10G022170;J2O13_10G022198;J2O13_10G022284;J2O13_10G022310;J2O13_10G022362;J2O13_10G022696;J2O13_10G022711;J2O13_10G022732;J2O13_10G022823;J2O13_10G022919;J2O13_10G023044;J2O13_10G023420;J2O13_10G023458;J2O13_10G023557;J2O13_10G023792;J2O13_10G023878;J2O13_10G023895;J2O13_10G024000;J2O13_10G024113;J2O13_10G024131;J2O13_10G024184;J2O13_10G024200;J2O13_10G024201;J2O13_10G024230;J2O13_10G024395;J2O13_10G024427;J2O13_10G024429;J2O13_10G024442;J2O13_10G024493;J2O13_10G024586;J2O13_UnG024726</t>
  </si>
  <si>
    <t>J2O13_01G000152;J2O13_01G000449;J2O13_01G000467;J2O13_01G000729;J2O13_01G000978;J2O13_01G001390;J2O13_01G002827;J2O13_02G003507;J2O13_02G003672;J2O13_02G003722;J2O13_02G003796;J2O13_02G003869;J2O13_02G004024;J2O13_02G004093;J2O13_02G004860;J2O13_02G004885;J2O13_02G005033;J2O13_03G005176;J2O13_03G005504;J2O13_03G005563;J2O13_03G005578;J2O13_03G005933;J2O13_03G006017;J2O13_03G006108;J2O13_03G006213;J2O13_03G006666;J2O13_04G007071;J2O13_04G007554;J2O13_04G008145;J2O13_04G008153;J2O13_04G008389;J2O13_04G008570;J2O13_04G008929;J2O13_04G009017;J2O13_04G009180;J2O13_05G009290;J2O13_05G009349;J2O13_05G010054;J2O13_05G010080;J2O13_05G010152;J2O13_05G010345;J2O13_05G010776;J2O13_05G010800;J2O13_05G010942;J2O13_05G011152;J2O13_05G011230;J2O13_05G011255;J2O13_05G011989;J2O13_05G012296;J2O13_05G012428;J2O13_05G012553;J2O13_05G012769;J2O13_06G013324;J2O13_06G013442;J2O13_06G013693;J2O13_06G013969;J2O13_06G014540;J2O13_06G014587;J2O13_06G014648;J2O13_07G014984;J2O13_07G015055;J2O13_07G015369;J2O13_07G015430;J2O13_07G015694;J2O13_07G016054;J2O13_07G016711;J2O13_07G017030;J2O13_07G017124;J2O13_08G017715;J2O13_08G018093;J2O13_08G018226;J2O13_08G019150;J2O13_08G019156;J2O13_08G019386;J2O13_09G019763;J2O13_09G019778;J2O13_09G019779;J2O13_09G019780;J2O13_09G020036;J2O13_09G020231;J2O13_09G020250;J2O13_09G020346;J2O13_09G020804;J2O13_09G020970;J2O13_09G021200;J2O13_09G021401;J2O13_09G021779;J2O13_10G022362;J2O13_10G023792;J2O13_10G024026;J2O13_10G024184;J2O13_10G024429;J2O13_10G024586</t>
  </si>
  <si>
    <t>J2O13_01G000152;J2O13_01G000467;J2O13_01G000984;J2O13_01G001218;J2O13_01G001253;J2O13_01G001818;J2O13_01G002353;J2O13_01G002821;J2O13_01G002848;J2O13_02G003282;J2O13_02G003748;J2O13_02G003894;J2O13_02G003967;J2O13_02G004593;J2O13_02G004854;J2O13_02G004885;J2O13_02G004977;J2O13_03G005176;J2O13_03G005414;J2O13_03G005723;J2O13_03G005894;J2O13_03G005901;J2O13_03G006108;J2O13_03G006213;J2O13_03G006832;J2O13_03G006846;J2O13_03G007040;J2O13_04G007071;J2O13_04G007124;J2O13_04G007255;J2O13_04G007478;J2O13_04G007554;J2O13_04G007842;J2O13_04G008133;J2O13_04G008153;J2O13_04G008213;J2O13_04G009017;J2O13_04G009180;J2O13_05G009341;J2O13_05G009366;J2O13_05G009507;J2O13_05G009579;J2O13_05G009670;J2O13_05G009803;J2O13_05G009922;J2O13_05G011005;J2O13_05G011255;J2O13_05G011419;J2O13_05G011456;J2O13_05G011808;J2O13_05G011857;J2O13_05G012362;J2O13_05G012553;J2O13_06G013178;J2O13_06G013306;J2O13_06G013427;J2O13_06G013461;J2O13_06G013942;J2O13_06G014540;J2O13_06G014587;J2O13_06G014689;J2O13_06G014694;J2O13_07G014984;J2O13_07G015045;J2O13_07G015097;J2O13_07G015825;J2O13_07G016054;J2O13_07G016825;J2O13_07G016913;J2O13_07G017036;J2O13_07G017080;J2O13_07G017269;J2O13_07G017288;J2O13_08G017480;J2O13_08G017518;J2O13_08G019190;J2O13_08G019259;J2O13_09G019853;J2O13_09G019900;J2O13_09G020418;J2O13_09G020564;J2O13_09G020930;J2O13_09G021066;J2O13_09G021349;J2O13_10G022105;J2O13_10G022284;J2O13_10G022365;J2O13_10G022622;J2O13_10G022711;J2O13_10G022732;J2O13_10G022886;J2O13_10G023506;J2O13_10G023557;J2O13_10G023792;J2O13_10G024131;J2O13_10G024184;J2O13_10G024429;J2O13_10G024442;J2O13_10G024493</t>
  </si>
  <si>
    <t>J2O13_01G000449;J2O13_01G000984;J2O13_01G001390;J2O13_01G002353;J2O13_01G002827;J2O13_02G003967;J2O13_02G005033;J2O13_03G005414;J2O13_03G005894;J2O13_03G006108;J2O13_04G007124;J2O13_04G007758;J2O13_04G008153;J2O13_04G008570;J2O13_05G009290;J2O13_05G010054;J2O13_05G010345;J2O13_05G010856;J2O13_05G011152;J2O13_05G011230;J2O13_05G011951;J2O13_05G012553;J2O13_06G013482;J2O13_06G013693;J2O13_06G014540;J2O13_07G016912;J2O13_07G016913;J2O13_07G017269;J2O13_08G019146;J2O13_08G019150;J2O13_08G019386;J2O13_09G019780;J2O13_09G020036;J2O13_09G020883;J2O13_10G022284;J2O13_10G023792;J2O13_10G024184;J2O13_10G024586</t>
  </si>
  <si>
    <t>J2O13_01G000438;J2O13_01G000449;J2O13_01G000467;J2O13_01G000984;J2O13_01G001390;J2O13_02G003869;J2O13_02G003967;J2O13_02G004965;J2O13_02G004977;J2O13_03G006108;J2O13_04G007259;J2O13_04G007553;J2O13_04G008570;J2O13_05G010080;J2O13_05G010152;J2O13_05G010345;J2O13_05G011152;J2O13_05G011230;J2O13_05G011951;J2O13_05G012362;J2O13_05G012428;J2O13_05G012553;J2O13_06G013442;J2O13_06G013969;J2O13_06G014540;J2O13_06G014648;J2O13_07G014984;J2O13_07G015694;J2O13_07G016054;J2O13_07G016161;J2O13_07G017030;J2O13_08G018093;J2O13_08G019386;J2O13_09G019763;J2O13_09G020036;J2O13_10G023792;J2O13_10G024026;J2O13_10G024429;J2O13_10G024586</t>
  </si>
  <si>
    <t>J2O13_01G000312;J2O13_01G000467;J2O13_01G000984;J2O13_01G001390;J2O13_02G003507;J2O13_02G003748;J2O13_02G004373;J2O13_03G005121;J2O13_03G005176;J2O13_03G005901;J2O13_03G006108;J2O13_03G006265;J2O13_03G006666;J2O13_03G006832;J2O13_04G007071;J2O13_04G007124;J2O13_04G007259;J2O13_04G007842;J2O13_04G008133;J2O13_04G008153;J2O13_04G008213;J2O13_04G009180;J2O13_05G009579;J2O13_05G009911;J2O13_05G010776;J2O13_05G011152;J2O13_05G012362;J2O13_05G012530;J2O13_05G012553;J2O13_05G012769;J2O13_06G013178;J2O13_06G013244;J2O13_06G013427;J2O13_06G014540;J2O13_06G014568;J2O13_06G014581;J2O13_06G014648;J2O13_06G014694;J2O13_07G014993;J2O13_07G015055;J2O13_07G015073;J2O13_07G015097;J2O13_07G015102;J2O13_07G015694;J2O13_07G016161;J2O13_07G016248;J2O13_07G016825;J2O13_07G017269;J2O13_07G017277;J2O13_08G017518;J2O13_08G018160;J2O13_09G019763;J2O13_09G019845;J2O13_09G020036;J2O13_09G020055;J2O13_09G021223;J2O13_09G021349;J2O13_10G022284;J2O13_10G022358;J2O13_10G023557;J2O13_10G023792;J2O13_10G023893;J2O13_10G024184;J2O13_10G024442;J2O13_10G024493</t>
  </si>
  <si>
    <t>J2O13_01G000152;J2O13_01G001218;J2O13_01G001559;J2O13_02G005013;J2O13_04G007123;J2O13_04G007124;J2O13_04G008153;J2O13_04G008443;J2O13_05G009913;J2O13_05G011055;J2O13_07G016316;J2O13_07G017091;J2O13_08G019335;J2O13_10G023506;J2O13_10G024184</t>
  </si>
  <si>
    <t>GO:0009543</t>
  </si>
  <si>
    <t>chloroplast thylakoid lumen</t>
  </si>
  <si>
    <t>J2O13_02G003967;J2O13_02G005033;J2O13_03G005644;J2O13_03G006108;J2O13_04G007758;J2O13_04G008907;J2O13_05G010778;J2O13_05G010856;J2O13_05G011230;J2O13_05G011951;J2O13_05G012296;J2O13_06G013226;J2O13_06G013482;J2O13_07G015971;J2O13_08G019146;J2O13_09G020883;J2O13_10G024200;J2O13_10G024341;J2O13_10G024586</t>
  </si>
  <si>
    <t>GO:0031977</t>
  </si>
  <si>
    <t>thylakoid lumen</t>
  </si>
  <si>
    <t>J2O13_02G003967;J2O13_02G005033;J2O13_03G005414;J2O13_03G005894;J2O13_03G006108;J2O13_03G006230;J2O13_04G007758;J2O13_04G008907;J2O13_05G010778;J2O13_05G010856;J2O13_05G011152;J2O13_05G011951;J2O13_05G012553;J2O13_06G013482;J2O13_08G019146;J2O13_10G024200</t>
  </si>
  <si>
    <t>J2O13_02G003507;J2O13_02G003722;J2O13_03G005563;J2O13_04G008145;J2O13_05G010080;J2O13_05G010942;J2O13_07G016711;J2O13_07G017030;J2O13_09G020970;J2O13_10G024026</t>
  </si>
  <si>
    <t>J2O13_01G000978;J2O13_01G001978;J2O13_02G004965;J2O13_03G006171;J2O13_03G006265;J2O13_03G006832;J2O13_03G006868;J2O13_04G007071;J2O13_04G007388;J2O13_04G007553;J2O13_05G009384;J2O13_05G010152;J2O13_06G013244;J2O13_06G013324;J2O13_06G013476;J2O13_06G013888;J2O13_06G014274;J2O13_06G014540;J2O13_07G015073;J2O13_07G015509;J2O13_07G015694;J2O13_07G016841;J2O13_07G016912;J2O13_08G017715;J2O13_08G018654;J2O13_08G019137;J2O13_08G019414;J2O13_08G019470;J2O13_09G019845;J2O13_09G020036;J2O13_09G021223;J2O13_10G022241;J2O13_10G022358;J2O13_10G023601;J2O13_10G023792</t>
  </si>
  <si>
    <t>J2O13_01G000984;J2O13_02G003046;J2O13_02G003811;J2O13_03G005109;J2O13_03G006017;J2O13_03G006209;J2O13_05G012169;J2O13_05G012769;J2O13_06G013542;J2O13_07G014924;J2O13_07G017164;J2O13_07G017269;J2O13_08G018093;J2O13_08G019539;J2O13_09G020036;J2O13_09G020346;J2O13_10G022362;J2O13_10G024230;J2O13_10G024442</t>
  </si>
  <si>
    <t>GO:0010319</t>
  </si>
  <si>
    <t>stromule</t>
  </si>
  <si>
    <t>J2O13_01G000984;J2O13_03G005414;J2O13_03G005894;J2O13_04G007124;J2O13_04G008133;J2O13_04G008153;J2O13_04G009180;J2O13_09G021467;J2O13_10G023506;J2O13_10G024442</t>
  </si>
  <si>
    <t>GO:0009773</t>
  </si>
  <si>
    <t>photosynthetic electron transport in photosystem I</t>
  </si>
  <si>
    <t>J2O13_01G001390;J2O13_02G003796;J2O13_04G008145;J2O13_05G010345;J2O13_05G010942;J2O13_06G013442;J2O13_07G016711;J2O13_07G017030;J2O13_10G023506;J2O13_10G024026</t>
  </si>
  <si>
    <t>GO:0010206</t>
  </si>
  <si>
    <t>photosystem II repair</t>
  </si>
  <si>
    <t>J2O13_02G004860;J2O13_03G006108;J2O13_05G010856;J2O13_05G011152;J2O13_05G011951;J2O13_06G013226;J2O13_06G014540;J2O13_10G023792;J2O13_10G024586</t>
  </si>
  <si>
    <t>J2O13_01G000429;J2O13_01G000984;J2O13_01G001061;J2O13_01G001063;J2O13_02G003067;J2O13_02G003748;J2O13_02G004589;J2O13_02G004977;J2O13_03G005500;J2O13_04G007327;J2O13_04G008133;J2O13_04G008376;J2O13_05G009911;J2O13_05G010482;J2O13_05G011152;J2O13_05G011374;J2O13_05G011452;J2O13_05G011857;J2O13_06G013542;J2O13_06G013544;J2O13_06G013725;J2O13_07G014924;J2O13_07G015055;J2O13_07G015779;J2O13_08G017715;J2O13_08G018225;J2O13_09G019780;J2O13_09G019943;J2O13_10G022736;J2O13_10G023479;J2O13_10G024442;J2O13_10G024493</t>
  </si>
  <si>
    <t>J2O13_02G003967;J2O13_02G004093;J2O13_02G004885;J2O13_02G005033;J2O13_03G006084;J2O13_04G007255;J2O13_04G008570;J2O13_05G009384;J2O13_06G013107;J2O13_06G014506;J2O13_06G014540;J2O13_07G015694;J2O13_07G015779;J2O13_07G015971;J2O13_07G017407;J2O13_08G018226;J2O13_08G019146;J2O13_08G019150;J2O13_09G019778;J2O13_09G019779;J2O13_09G020036;J2O13_09G020250;J2O13_09G020883;J2O13_10G022711;J2O13_10G023044;J2O13_10G023792;J2O13_10G024341</t>
  </si>
  <si>
    <t>GO:0009654</t>
  </si>
  <si>
    <t>photosystem II oxygen evolving complex</t>
  </si>
  <si>
    <t>J2O13_02G003967;J2O13_02G005033;J2O13_05G012296;J2O13_06G013969;J2O13_08G019146;J2O13_08G019150;J2O13_09G020250;J2O13_09G020883;J2O13_10G024341</t>
  </si>
  <si>
    <t>GO:0010207</t>
  </si>
  <si>
    <t>photosystem II assembly</t>
  </si>
  <si>
    <t>J2O13_02G003869;J2O13_04G007071;J2O13_04G007327;J2O13_05G011255;J2O13_06G013226;J2O13_06G014540;J2O13_07G016054;J2O13_10G023792;J2O13_10G024586</t>
  </si>
  <si>
    <t>J2O13_01G000984;J2O13_01G001061;J2O13_02G003837;J2O13_03G005180;J2O13_05G011255;J2O13_10G023557;J2O13_10G024442</t>
  </si>
  <si>
    <t>J2O13_01G001884;J2O13_03G005520;J2O13_03G006084;J2O13_04G007388;J2O13_05G009290;J2O13_05G012169;J2O13_07G016161;J2O13_09G021814;J2O13_10G024201</t>
  </si>
  <si>
    <t>J2O13_01G000152;J2O13_01G000312;J2O13_01G000449;J2O13_01G000959;J2O13_01G001158;J2O13_01G001538;J2O13_01G001707;J2O13_01G001818;J2O13_01G002254;J2O13_01G002821;J2O13_02G003507;J2O13_02G003837;J2O13_02G004144;J2O13_02G004389;J2O13_03G005121;J2O13_03G005563;J2O13_03G005928;J2O13_03G006093;J2O13_03G006171;J2O13_03G006230;J2O13_03G006265;J2O13_03G006455;J2O13_03G006832;J2O13_03G006868;J2O13_04G007259;J2O13_04G007553;J2O13_04G008133;J2O13_04G008153;J2O13_04G008907;J2O13_05G009341;J2O13_05G009567;J2O13_05G009622;J2O13_05G009775;J2O13_05G011760;J2O13_05G011857;J2O13_05G011951;J2O13_05G012553;J2O13_06G013217;J2O13_06G013324;J2O13_06G013457;J2O13_06G013461;J2O13_06G014568;J2O13_06G014581;J2O13_06G014720;J2O13_07G015055;J2O13_07G015073;J2O13_07G015199;J2O13_07G015825;J2O13_07G016248;J2O13_07G017251;J2O13_07G017277;J2O13_07G017288;J2O13_08G017518;J2O13_08G018160;J2O13_08G019276;J2O13_08G019286;J2O13_09G019697;J2O13_09G020858;J2O13_09G021223;J2O13_10G022170;J2O13_10G022284;J2O13_10G022358;J2O13_10G022711;J2O13_10G023459;J2O13_10G023557;J2O13_10G023893;J2O13_10G024131;J2O13_10G024395;J2O13_10G024493;J2O13_10G024588</t>
  </si>
  <si>
    <t>J2O13_01G002353;J2O13_02G004389;J2O13_03G005792;J2O13_03G006768;J2O13_03G006992;J2O13_05G010200;J2O13_05G011419;J2O13_07G015045;J2O13_07G016612;J2O13_07G016613;J2O13_08G019286;J2O13_09G019576</t>
  </si>
  <si>
    <t>J2O13_01G000008;J2O13_01G000223;J2O13_01G000696;J2O13_01G001270;J2O13_02G004121;J2O13_02G004306;J2O13_02G004404;J2O13_03G005410;J2O13_03G005859;J2O13_03G006073;J2O13_03G006455;J2O13_04G008062;J2O13_05G009565;J2O13_05G009587;J2O13_05G009775;J2O13_05G009802;J2O13_05G010376;J2O13_05G010377;J2O13_06G014568;J2O13_06G014662;J2O13_07G015262;J2O13_07G016373;J2O13_07G016721;J2O13_07G016850;J2O13_07G017332;J2O13_08G019491;J2O13_09G020283;J2O13_09G021172;J2O13_10G023357;J2O13_UnG024717</t>
  </si>
  <si>
    <t>J2O13_01G000008;J2O13_01G000696;J2O13_03G005410;J2O13_05G009486;J2O13_05G009802;J2O13_07G015134;J2O13_07G015262;J2O13_07G016721</t>
  </si>
  <si>
    <t>J2O13_01G002353;J2O13_03G005109;J2O13_03G006832;J2O13_03G006868;J2O13_05G010080;J2O13_05G012296;J2O13_05G012553;J2O13_06G013969</t>
  </si>
  <si>
    <t>J2O13_01G000008;J2O13_01G000696;J2O13_01G000885;J2O13_01G002827;J2O13_02G004045;J2O13_02G004046;J2O13_02G004201;J2O13_03G006073;J2O13_03G006242;J2O13_03G006648;J2O13_04G008062;J2O13_05G009802;J2O13_07G016789;J2O13_08G019137;J2O13_09G019753;J2O13_09G019955;J2O13_09G021265</t>
  </si>
  <si>
    <t>J2O13_01G000885;J2O13_02G004201;J2O13_03G006648;J2O13_07G016789;J2O13_08G019137;J2O13_09G021265</t>
  </si>
  <si>
    <t>GO:0016226</t>
  </si>
  <si>
    <t>iron-sulfur cluster assembly</t>
  </si>
  <si>
    <t>J2O13_01G001253;J2O13_03G005723;J2O13_03G007040;J2O13_04G007867;J2O13_05G009366;J2O13_05G010392;J2O13_09G019821;J2O13_10G022349;J2O13_10G022354</t>
  </si>
  <si>
    <t>J2O13_04G008153;J2O13_04G008561;J2O13_04G008670;J2O13_10G024184</t>
  </si>
  <si>
    <t>GO:0009854</t>
  </si>
  <si>
    <t>oxidative photosynthetic carbon pathway</t>
  </si>
  <si>
    <t>J2O13_01G000207;J2O13_05G010853;J2O13_07G016196;J2O13_07G016825</t>
  </si>
  <si>
    <t>J2O13_01G002804;J2O13_03G006265;J2O13_06G013442;J2O13_06G013542;J2O13_06G014540;J2O13_07G014924;J2O13_08G017715;J2O13_09G021223;J2O13_10G023792;J2O13_10G024200</t>
  </si>
  <si>
    <t>GO:0097428</t>
  </si>
  <si>
    <t>protein maturation by iron-sulfur cluster transfer</t>
  </si>
  <si>
    <t>J2O13_01G001253;J2O13_03G005723;J2O13_03G007040;J2O13_09G021067;J2O13_10G022349</t>
  </si>
  <si>
    <t>J2O13_02G004977;J2O13_04G007071;J2O13_04G008389;J2O13_05G010942;J2O13_07G016054;J2O13_08G017715;J2O13_08G019146;J2O13_10G024429</t>
  </si>
  <si>
    <t>GO:0010258</t>
  </si>
  <si>
    <t>NADH dehydrogenase complex (plastoquinone) assembly</t>
  </si>
  <si>
    <t>J2O13_02G003507;J2O13_05G010942;J2O13_07G015825;J2O13_09G020970</t>
  </si>
  <si>
    <t>GO:0016987</t>
  </si>
  <si>
    <t>sigma factor activity</t>
  </si>
  <si>
    <t>J2O13_03G005461;J2O13_04G007327;J2O13_10G022170;J2O13_10G023895</t>
  </si>
  <si>
    <t>GO:0080029</t>
  </si>
  <si>
    <t>cellular response to boron-containing substance levels</t>
  </si>
  <si>
    <t>J2O13_01G001270;J2O13_05G009941;J2O13_07G016850;J2O13_07G017013</t>
  </si>
  <si>
    <t>GO:0090693</t>
  </si>
  <si>
    <t>plant organ senescence</t>
  </si>
  <si>
    <t>J2O13_03G005500;J2O13_07G017164;J2O13_08G017946;J2O13_10G024230</t>
  </si>
  <si>
    <t>GO:0005986</t>
  </si>
  <si>
    <t>sucrose biosynthetic process</t>
  </si>
  <si>
    <t>J2O13_02G003646;J2O13_02G003911;J2O13_03G005242;J2O13_06G013612;J2O13_10G022505</t>
  </si>
  <si>
    <t>J2O13_01G000978;J2O13_01G001061;J2O13_02G003282;J2O13_02G003748;J2O13_03G005109;J2O13_04G007124;J2O13_05G010800;J2O13_05G011152;J2O13_07G015073;J2O13_09G019780</t>
  </si>
  <si>
    <t>J2O13_01G002297;J2O13_04G008045;J2O13_05G010007;J2O13_05G011484;J2O13_05G012437;J2O13_09G021067;J2O13_09G021769</t>
  </si>
  <si>
    <t>J2O13_01G000192;J2O13_01G000477;J2O13_01G000848;J2O13_01G001253;J2O13_01G002506;J2O13_02G003508;J2O13_02G003630;J2O13_02G003672;J2O13_02G004592;J2O13_02G004837;J2O13_02G004839;J2O13_03G005093;J2O13_03G005520;J2O13_03G005569;J2O13_03G005723;J2O13_03G006666;J2O13_03G007040;J2O13_04G007388;J2O13_04G008215;J2O13_04G008244;J2O13_04G008479;J2O13_05G009990;J2O13_05G010407;J2O13_05G010408;J2O13_05G010409;J2O13_05G011041;J2O13_05G011276;J2O13_05G011297;J2O13_05G011484;J2O13_06G013942;J2O13_06G013993;J2O13_06G014269;J2O13_06G014541;J2O13_09G019810;J2O13_09G021230;J2O13_09G021719;J2O13_09G021769;J2O13_10G022199;J2O13_10G022275;J2O13_10G022354;J2O13_10G022651;J2O13_10G023762;J2O13_10G023763</t>
  </si>
  <si>
    <t>J2O13_01G000207;J2O13_01G001559;J2O13_04G008443;J2O13_05G009911;J2O13_05G011055;J2O13_05G012049;J2O13_07G016825;J2O13_09G019576;J2O13_09G019853;J2O13_09G021467</t>
  </si>
  <si>
    <t>GO:0080183</t>
  </si>
  <si>
    <t>response to photooxidative stress</t>
  </si>
  <si>
    <t>J2O13_01G002699;J2O13_03G005109;J2O13_04G008929;J2O13_06G013542;J2O13_07G014924</t>
  </si>
  <si>
    <t>J2O13_01G001051;J2O13_05G010392;J2O13_06G012808;J2O13_06G013053;J2O13_06G014581;J2O13_07G016711;J2O13_07G017085;J2O13_09G020804;J2O13_09G021067;J2O13_10G022349;J2O13_10G022354</t>
  </si>
  <si>
    <t>GO:0010109</t>
  </si>
  <si>
    <t>regulation of photosynthesis</t>
  </si>
  <si>
    <t>J2O13_01G000264;J2O13_03G005109;J2O13_05G009384;J2O13_08G017715</t>
  </si>
  <si>
    <t>GO:0010190</t>
  </si>
  <si>
    <t>cytochrome b6f complex assembly</t>
  </si>
  <si>
    <t>J2O13_01G000729;J2O13_07G017124;J2O13_08G019156;J2O13_09G021779</t>
  </si>
  <si>
    <t>GO:0010960</t>
  </si>
  <si>
    <t>magnesium ion homeostasis</t>
  </si>
  <si>
    <t>J2O13_04G007376;J2O13_04G007377;J2O13_07G015073;J2O13_09G021536</t>
  </si>
  <si>
    <t>GO:0080177</t>
  </si>
  <si>
    <t>plastoglobule organization</t>
  </si>
  <si>
    <t>J2O13_03G005109;J2O13_06G013542;J2O13_07G014924;J2O13_09G020346</t>
  </si>
  <si>
    <t>GO:0048564</t>
  </si>
  <si>
    <t>photosystem I assembly</t>
  </si>
  <si>
    <t>J2O13_03G005723;J2O13_03G007040;J2O13_04G008929;J2O13_05G011152;J2O13_08G018225</t>
  </si>
  <si>
    <t>J2O13_01G000240;J2O13_01G000860;J2O13_02G003757;J2O13_02G004019;J2O13_02G004767;J2O13_03G006209;J2O13_05G011612;J2O13_05G011627;J2O13_06G013267;J2O13_06G013431;J2O13_07G016114;J2O13_07G016118;J2O13_07G017333;J2O13_08G019446;J2O13_09G019872;J2O13_09G021184;J2O13_09G021876;J2O13_10G023878;J2O13_10G023985;J2O13_UnG024735</t>
  </si>
  <si>
    <t>J2O13_01G000192;J2O13_01G000477;J2O13_01G002506;J2O13_02G003508;J2O13_02G003630;J2O13_02G004592;J2O13_02G004837;J2O13_02G004839;J2O13_03G005093;J2O13_03G005375;J2O13_03G005520;J2O13_03G005569;J2O13_03G006017;J2O13_03G006084;J2O13_04G008215;J2O13_04G008244;J2O13_05G010407;J2O13_05G010408;J2O13_05G010409;J2O13_05G010600;J2O13_05G011041;J2O13_05G011276;J2O13_05G011297;J2O13_05G011484;J2O13_05G011514;J2O13_05G012499;J2O13_06G013993;J2O13_06G014269;J2O13_06G014541;J2O13_07G015452;J2O13_07G016248;J2O13_08G017455;J2O13_08G019093;J2O13_09G019810;J2O13_09G021230;J2O13_09G021362;J2O13_09G021719;J2O13_09G021769;J2O13_10G022199;J2O13_10G022275;J2O13_10G022362;J2O13_10G022651;J2O13_10G023762;J2O13_10G023763</t>
  </si>
  <si>
    <t>J2O13_01G000738;J2O13_02G004837;J2O13_02G004839;J2O13_03G005109;J2O13_04G007327;J2O13_06G013542;J2O13_07G014924;J2O13_08G017457;J2O13_08G019396;J2O13_09G021686</t>
  </si>
  <si>
    <t>GO:0009509</t>
  </si>
  <si>
    <t>chromoplast</t>
  </si>
  <si>
    <t>J2O13_01G001884;J2O13_07G016161;J2O13_10G022823;J2O13_10G024201</t>
  </si>
  <si>
    <t>J2O13_01G000696;J2O13_03G006073;J2O13_04G008062;J2O13_05G009486;J2O13_07G015134;J2O13_07G015262;J2O13_08G017455;J2O13_09G020363</t>
  </si>
  <si>
    <t>J2O13_01G000209;J2O13_01G000715;J2O13_01G001218;J2O13_01G002827;J2O13_02G003837;J2O13_02G003894;J2O13_03G005500;J2O13_03G006265;J2O13_04G007509;J2O13_04G008469;J2O13_04G009180;J2O13_05G010362;J2O13_05G011255;J2O13_06G013386;J2O13_06G013400;J2O13_06G014540;J2O13_08G019386;J2O13_09G021467;J2O13_09G021986;J2O13_10G023792;J2O13_10G024123;J2O13_10G024424</t>
  </si>
  <si>
    <t>J2O13_01G000264;J2O13_01G000312;J2O13_01G000860;J2O13_01G000978;J2O13_04G007259;J2O13_04G008133;J2O13_05G009911;J2O13_05G010033;J2O13_05G010776;J2O13_05G011456;J2O13_06G013693;J2O13_06G014581;J2O13_07G015055;J2O13_07G015430;J2O13_07G017277;J2O13_08G018160;J2O13_10G022711;J2O13_10G023893</t>
  </si>
  <si>
    <t>J2O13_01G002297;J2O13_01G002827;J2O13_02G004404;J2O13_03G005504;J2O13_03G006455;J2O13_04G007259;J2O13_04G008062;J2O13_04G008153;J2O13_05G009384;J2O13_08G019491;J2O13_09G020340;J2O13_09G021183;J2O13_10G023893</t>
  </si>
  <si>
    <t>J2O13_03G005513;J2O13_06G013888;J2O13_07G016912;J2O13_08G019414;J2O13_10G023601</t>
  </si>
  <si>
    <t>GO:0003918</t>
  </si>
  <si>
    <t>DNA topoisomerase type II (double strand cut, ATP-hydrolyzing) activity</t>
  </si>
  <si>
    <t>J2O13_09G019758;J2O13_09G019910;J2O13_10G022093;J2O13_10G022919</t>
  </si>
  <si>
    <t>GO:0008047</t>
  </si>
  <si>
    <t>enzyme activator activity</t>
  </si>
  <si>
    <t>J2O13_02G003894;J2O13_04G007867;J2O13_09G019821;J2O13_10G022732</t>
  </si>
  <si>
    <t>J2O13_04G008358;J2O13_05G011897;J2O13_06G013420;J2O13_07G016925</t>
  </si>
  <si>
    <t>J2O13_02G004404;J2O13_03G005504;J2O13_04G008327;J2O13_07G017022;J2O13_09G020346;J2O13_09G021223;J2O13_09G021633</t>
  </si>
  <si>
    <t>J2O13_02G003967;J2O13_02G005033;J2O13_05G012296;J2O13_06G013969;J2O13_08G019146;J2O13_08G019150;J2O13_09G020883;J2O13_10G024341</t>
  </si>
  <si>
    <t>GO:0016711</t>
  </si>
  <si>
    <t>flavonoid 3'-monooxygenase activity</t>
  </si>
  <si>
    <t>J2O13_04G008215;J2O13_05G010407;J2O13_05G010409</t>
  </si>
  <si>
    <t>GO:0046524</t>
  </si>
  <si>
    <t>sucrose-phosphate synthase activity</t>
  </si>
  <si>
    <t>J2O13_02G003646;J2O13_03G005242;J2O13_06G013612</t>
  </si>
  <si>
    <t>GO:0046713</t>
  </si>
  <si>
    <t>borate transport</t>
  </si>
  <si>
    <t>J2O13_05G009941;J2O13_07G016850;J2O13_07G017013</t>
  </si>
  <si>
    <t>GO:0052732</t>
  </si>
  <si>
    <t>phosphoethanolamine phosphatase activity</t>
  </si>
  <si>
    <t>J2O13_03G005792;J2O13_07G016612;J2O13_07G016613</t>
  </si>
  <si>
    <t>GO:1901562</t>
  </si>
  <si>
    <t>response to paraquat</t>
  </si>
  <si>
    <t>J2O13_01G001537;J2O13_03G005109;J2O13_03G006265</t>
  </si>
  <si>
    <t>GO:1902171</t>
  </si>
  <si>
    <t>regulation of tocopherol cyclase activity</t>
  </si>
  <si>
    <t>J2O13_03G005109;J2O13_06G013542;J2O13_07G014924</t>
  </si>
  <si>
    <t>GO:2001141</t>
  </si>
  <si>
    <t>regulation of RNA biosynthetic process</t>
  </si>
  <si>
    <t>J2O13_03G005461;J2O13_04G007327;J2O13_10G023895</t>
  </si>
  <si>
    <t>J2O13_04G008045;J2O13_05G009366;J2O13_05G012437;J2O13_07G016315;J2O13_09G021067</t>
  </si>
  <si>
    <t>J2O13_02G004167;J2O13_05G009699;J2O13_05G009700;J2O13_06G014519;J2O13_07G017187</t>
  </si>
  <si>
    <t>GO:0000822</t>
  </si>
  <si>
    <t>inositol hexakisphosphate binding</t>
  </si>
  <si>
    <t>J2O13_04G008358;J2O13_05G009467;J2O13_05G011897;J2O13_06G013420</t>
  </si>
  <si>
    <t>J2O13_02G003507;J2O13_02G004024;J2O13_05G010942;J2O13_09G020970</t>
  </si>
  <si>
    <t>J2O13_01G001218;J2O13_07G015343;J2O13_07G015509;J2O13_10G022886</t>
  </si>
  <si>
    <t>J2O13_03G005109;J2O13_03G005933;J2O13_04G007554;J2O13_04G009017;J2O13_06G013282;J2O13_06G014587</t>
  </si>
  <si>
    <t>J2O13_03G005489;J2O13_05G009773;J2O13_06G012950;J2O13_06G012955;J2O13_06G012957;J2O13_08G019460;J2O13_10G023661</t>
  </si>
  <si>
    <t>GO:0004427</t>
  </si>
  <si>
    <t>inorganic diphosphate phosphatase activity</t>
  </si>
  <si>
    <t>J2O13_03G005792;J2O13_04G008335;J2O13_07G016612;J2O13_07G016613;J2O13_10G023360</t>
  </si>
  <si>
    <t>J2O13_01G000008;J2O13_01G000696;J2O13_01G001270;J2O13_03G005410;J2O13_03G006073;J2O13_04G008062;J2O13_04G008241;J2O13_05G009565;J2O13_05G009587;J2O13_05G009595;J2O13_05G009802;J2O13_06G014662;J2O13_07G015262;J2O13_07G016470;J2O13_07G016721;J2O13_07G016850;J2O13_07G017332;J2O13_08G019491;J2O13_09G019756;J2O13_09G020283;J2O13_09G021358</t>
  </si>
  <si>
    <t>GO:0010196</t>
  </si>
  <si>
    <t>nonphotochemical quenching</t>
  </si>
  <si>
    <t>J2O13_02G003837;J2O13_07G016913;J2O13_08G017715;J2O13_10G024429</t>
  </si>
  <si>
    <t>GO:0045727</t>
  </si>
  <si>
    <t>positive regulation of translation</t>
  </si>
  <si>
    <t>J2O13_01G000984;J2O13_02G003837;J2O13_04G008213;J2O13_10G024442</t>
  </si>
  <si>
    <t>J2O13_02G004478;J2O13_05G010264;J2O13_08G017618;J2O13_09G020434</t>
  </si>
  <si>
    <t>GO:0051536</t>
  </si>
  <si>
    <t>iron-sulfur cluster binding</t>
  </si>
  <si>
    <t>J2O13_01G002821;J2O13_06G013493;J2O13_07G017288;J2O13_09G021067</t>
  </si>
  <si>
    <t>J2O13_04G008389;J2O13_05G009384;J2O13_08G017715</t>
  </si>
  <si>
    <t>GO:0046715</t>
  </si>
  <si>
    <t>active borate transmembrane transporter activity</t>
  </si>
  <si>
    <t>J2O13_01G001270;J2O13_05G009941;J2O13_07G017013</t>
  </si>
  <si>
    <t>GO:0047631</t>
  </si>
  <si>
    <t>ADP-ribose diphosphatase activity</t>
  </si>
  <si>
    <t>J2O13_03G005824;J2O13_06G013695;J2O13_10G023276</t>
  </si>
  <si>
    <t>J2O13_05G011456;J2O13_05G012553;J2O13_08G019146</t>
  </si>
  <si>
    <t>J2O13_02G003911;J2O13_02G004714;J2O13_04G007123;J2O13_04G007124;J2O13_07G017269</t>
  </si>
  <si>
    <t>J2O13_05G011939;J2O13_07G016333;J2O13_07G016334;J2O13_07G016335;J2O13_07G017013</t>
  </si>
  <si>
    <t>J2O13_01G000116;J2O13_03G005272;J2O13_03G006088;J2O13_03G006162;J2O13_04G008358;J2O13_05G009467;J2O13_05G011897;J2O13_06G013420;J2O13_07G016894;J2O13_10G024123</t>
  </si>
  <si>
    <t>J2O13_01G002773;J2O13_02G004262;J2O13_02G004264;J2O13_04G008919;J2O13_04G008920;J2O13_08G017842;J2O13_08G017843</t>
  </si>
  <si>
    <t>GO:0010189</t>
  </si>
  <si>
    <t>vitamin E biosynthetic process</t>
  </si>
  <si>
    <t>J2O13_01G000860;J2O13_06G014441;J2O13_07G015694;J2O13_10G023878</t>
  </si>
  <si>
    <t>J2O13_03G005093;J2O13_03G005569;J2O13_06G014541;J2O13_10G022199</t>
  </si>
  <si>
    <t>J2O13_03G005109;J2O13_05G012089;J2O13_06G013542;J2O13_07G014924;J2O13_07G017164;J2O13_10G024230</t>
  </si>
  <si>
    <t>J2O13_01G001382;J2O13_04G007209;J2O13_08G017457;J2O13_08G019396;J2O13_10G022096;J2O13_10G024334</t>
  </si>
  <si>
    <t>J2O13_02G004093;J2O13_04G007071;J2O13_06G013226;J2O13_06G014540;J2O13_07G015971;J2O13_07G016054;J2O13_08G018226;J2O13_08G019386;J2O13_09G019778;J2O13_09G019779;J2O13_09G021200;J2O13_10G023792;J2O13_10G024586</t>
  </si>
  <si>
    <t>J2O13_01G001253;J2O13_01G002821;J2O13_02G003672;J2O13_03G005723;J2O13_03G007040;J2O13_04G007867;J2O13_05G009341;J2O13_05G009579;J2O13_05G010392;J2O13_05G012696;J2O13_06G013461;J2O13_08G017455;J2O13_08G017730;J2O13_09G020585;J2O13_10G022354</t>
  </si>
  <si>
    <t>J2O13_01G000192;J2O13_01G000477;J2O13_01G002506;J2O13_02G003508;J2O13_02G004592;J2O13_03G005093;J2O13_03G005520;J2O13_03G005569;J2O13_03G005713;J2O13_04G008244;J2O13_05G011484;J2O13_05G011991;J2O13_06G013993;J2O13_06G014269;J2O13_09G021230;J2O13_09G021719;J2O13_09G021769;J2O13_10G022199;J2O13_10G022275;J2O13_10G023762;J2O13_10G023763</t>
  </si>
  <si>
    <t>J2O13_03G005569;J2O13_05G009497;J2O13_10G022199</t>
  </si>
  <si>
    <t>GO:0030060</t>
  </si>
  <si>
    <t>L-malate dehydrogenase activity</t>
  </si>
  <si>
    <t>J2O13_04G008133;J2O13_06G014808;J2O13_08G017704</t>
  </si>
  <si>
    <t>GO:0035529</t>
  </si>
  <si>
    <t>NADH pyrophosphatase activity</t>
  </si>
  <si>
    <t>GO:0043085</t>
  </si>
  <si>
    <t>positive regulation of catalytic activity</t>
  </si>
  <si>
    <t>J2O13_02G003894;J2O13_07G015509;J2O13_10G022732</t>
  </si>
  <si>
    <t>GO:0044389</t>
  </si>
  <si>
    <t>ubiquitin-like protein ligase binding</t>
  </si>
  <si>
    <t>J2O13_05G009773;J2O13_08G019460;J2O13_10G023661</t>
  </si>
  <si>
    <t>J2O13_02G004167;J2O13_02G004837;J2O13_02G004839</t>
  </si>
  <si>
    <t>J2O13_01G000312;J2O13_01G002827;J2O13_03G006171;J2O13_05G009384;J2O13_09G019955</t>
  </si>
  <si>
    <t>J2O13_01G000872;J2O13_01G001218;J2O13_01G002019;J2O13_02G004117;J2O13_04G008213;J2O13_05G011857</t>
  </si>
  <si>
    <t>J2O13_02G003507;J2O13_02G003672;J2O13_02G003722;J2O13_02G004024;J2O13_03G005563;J2O13_04G007894;J2O13_05G010080;J2O13_05G010942;J2O13_06G013154;J2O13_09G020970</t>
  </si>
  <si>
    <t>GO:0009532</t>
  </si>
  <si>
    <t>plastid stroma</t>
  </si>
  <si>
    <t>J2O13_04G008133;J2O13_05G011857;J2O13_05G012362;J2O13_07G017288</t>
  </si>
  <si>
    <t>GO:0009902</t>
  </si>
  <si>
    <t>chloroplast relocation</t>
  </si>
  <si>
    <t>J2O13_01G000429;J2O13_02G003067;J2O13_02G005024;J2O13_04G008376</t>
  </si>
  <si>
    <t>J2O13_01G000008;J2O13_05G009486;J2O13_05G009802;J2O13_07G015134</t>
  </si>
  <si>
    <t>GO:0080163</t>
  </si>
  <si>
    <t>regulation of protein serine/threonine phosphatase activity</t>
  </si>
  <si>
    <t>J2O13_03G005489;J2O13_05G009773;J2O13_08G019460;J2O13_10G023661</t>
  </si>
  <si>
    <t>J2O13_01G002848;J2O13_02G003708;J2O13_03G005414;J2O13_03G005738;J2O13_03G005894;J2O13_03G006265;J2O13_03G006624;J2O13_04G007124;J2O13_04G008103;J2O13_04G008133;J2O13_04G008153;J2O13_04G009180;J2O13_05G009670;J2O13_05G012142;J2O13_05G012296;J2O13_06G013419;J2O13_07G016333;J2O13_07G016334;J2O13_07G016335;J2O13_08G017457;J2O13_08G018688;J2O13_09G021467;J2O13_09G021686;J2O13_10G022696;J2O13_10G023143;J2O13_10G023506;J2O13_10G023568;J2O13_10G024442;J2O13_UnG024726</t>
  </si>
  <si>
    <t>J2O13_01G000738;J2O13_01G000984;J2O13_01G001382;J2O13_02G003708;J2O13_03G005500;J2O13_04G007209;J2O13_04G008389;J2O13_05G009854;J2O13_05G012197;J2O13_06G013221;J2O13_09G021223;J2O13_09G021467;J2O13_09G021686;J2O13_10G024442</t>
  </si>
  <si>
    <t>J2O13_04G008358;J2O13_05G011897;J2O13_06G013420;J2O13_07G016789;J2O13_09G019955</t>
  </si>
  <si>
    <t>J2O13_01G000008;J2O13_01G000082;J2O13_01G000192;J2O13_01G000223;J2O13_01G000264;J2O13_01G000347;J2O13_01G000477;J2O13_01G000696;J2O13_01G000927;J2O13_01G001310;J2O13_01G001525;J2O13_01G001537;J2O13_01G001872;J2O13_01G001884;J2O13_01G002005;J2O13_01G002297;J2O13_01G002353;J2O13_01G002369;J2O13_02G003093;J2O13_02G003508;J2O13_02G003630;J2O13_02G004045;J2O13_02G004046;J2O13_02G004300;J2O13_02G004306;J2O13_02G004404;J2O13_02G004467;J2O13_02G004592;J2O13_02G004715;J2O13_03G005093;J2O13_03G005410;J2O13_03G005504;J2O13_03G005505;J2O13_03G005520;J2O13_03G005569;J2O13_03G005859;J2O13_03G006073;J2O13_03G006242;J2O13_03G006437;J2O13_03G006455;J2O13_03G006832;J2O13_04G007324;J2O13_04G007376;J2O13_04G007377;J2O13_04G008045;J2O13_04G008062;J2O13_04G008103;J2O13_04G008241;J2O13_04G008244;J2O13_04G008327;J2O13_04G008403;J2O13_04G008479;J2O13_04G008868;J2O13_04G009084;J2O13_05G009539;J2O13_05G009546;J2O13_05G009565;J2O13_05G009587;J2O13_05G009595;J2O13_05G009607;J2O13_05G009802;J2O13_05G009852;J2O13_05G010007;J2O13_05G010362;J2O13_05G010376;J2O13_05G010377;J2O13_05G010407;J2O13_05G010409;J2O13_05G010502;J2O13_05G010894;J2O13_05G011254;J2O13_05G011276;J2O13_05G011484;J2O13_05G011780;J2O13_05G011808;J2O13_05G011920;J2O13_05G011939;J2O13_05G012108;J2O13_05G012248;J2O13_05G012355;J2O13_05G012437;J2O13_05G012566;J2O13_06G012829;J2O13_06G013419;J2O13_06G013993;J2O13_06G014269;J2O13_06G014519;J2O13_06G014541;J2O13_06G014646;J2O13_06G014662;J2O13_07G014993;J2O13_07G015102;J2O13_07G015134;J2O13_07G015218;J2O13_07G015262;J2O13_07G015329;J2O13_07G015786;J2O13_07G016052;J2O13_07G016161;J2O13_07G016269;J2O13_07G016470;J2O13_07G016721;J2O13_07G017332;J2O13_08G017715;J2O13_08G017999;J2O13_08G018538;J2O13_08G018756;J2O13_08G018985;J2O13_08G019108;J2O13_08G019429;J2O13_08G019491;J2O13_08G019504;J2O13_09G019753;J2O13_09G019756;J2O13_09G019768;J2O13_09G019810;J2O13_09G020055;J2O13_09G020283;J2O13_09G020858;J2O13_09G021230;J2O13_09G021414;J2O13_09G021473;J2O13_09G021612;J2O13_09G021706;J2O13_09G021719;J2O13_09G021768;J2O13_09G021769;J2O13_09G021958;J2O13_10G022199;J2O13_10G022312;J2O13_10G022651;J2O13_10G022736;J2O13_10G023146;J2O13_10G023293;J2O13_10G023372;J2O13_10G023479;J2O13_10G023763;J2O13_10G024000;J2O13_10G024061;J2O13_10G024272;J2O13_10G024292;J2O13_10G024421;J2O13_UnG024717</t>
  </si>
  <si>
    <t>J2O13_01G000031;J2O13_01G000264;J2O13_01G001218;J2O13_03G005786;J2O13_04G009180;J2O13_05G009384;J2O13_05G009674;J2O13_05G012714;J2O13_09G021271</t>
  </si>
  <si>
    <t>J2O13_03G005147;J2O13_03G005489;J2O13_05G009773;J2O13_06G012950;J2O13_06G012955;J2O13_06G012957;J2O13_07G017309;J2O13_08G019460;J2O13_10G023661</t>
  </si>
  <si>
    <t>GO:0009684</t>
  </si>
  <si>
    <t>indoleacetic acid biosynthetic process</t>
  </si>
  <si>
    <t>J2O13_02G004837;J2O13_02G004839;J2O13_04G007904</t>
  </si>
  <si>
    <t>GO:0030187</t>
  </si>
  <si>
    <t>melatonin biosynthetic process</t>
  </si>
  <si>
    <t>J2O13_04G008333;J2O13_07G016114;J2O13_07G016118</t>
  </si>
  <si>
    <t>J2O13_02G003911;J2O13_07G017269;J2O13_10G023506</t>
  </si>
  <si>
    <t>GO:0048575</t>
  </si>
  <si>
    <t>short-day photoperiodism, flowering</t>
  </si>
  <si>
    <t>J2O13_04G007509;J2O13_06G014270;J2O13_09G019574</t>
  </si>
  <si>
    <t>GO:0071244</t>
  </si>
  <si>
    <t>cellular response to carbon dioxide</t>
  </si>
  <si>
    <t>J2O13_04G007963;J2O13_05G010376;J2O13_05G010377</t>
  </si>
  <si>
    <t>J2O13_02G004404;J2O13_03G005504;J2O13_05G012437;J2O13_07G017022</t>
  </si>
  <si>
    <t>J2O13_01G000984;J2O13_05G012553;J2O13_09G021467;J2O13_10G022251</t>
  </si>
  <si>
    <t>J2O13_01G000209;J2O13_01G001538;J2O13_03G005500;J2O13_03G005786;J2O13_04G007509;J2O13_05G009567;J2O13_05G009676;J2O13_05G009901;J2O13_05G012681;J2O13_07G014984;J2O13_07G016241;J2O13_09G021838</t>
  </si>
  <si>
    <t>GO:0009501</t>
  </si>
  <si>
    <t>amyloplast</t>
  </si>
  <si>
    <t>J2O13_01G002420;J2O13_05G009978;J2O13_08G019099;J2O13_10G022082;J2O13_10G022310</t>
  </si>
  <si>
    <t>J2O13_05G010362;J2O13_05G010376;J2O13_05G010377;J2O13_06G013352</t>
  </si>
  <si>
    <t>J2O13_04G007933;J2O13_05G012653;J2O13_07G016248;J2O13_09G020346;J2O13_09G021223;J2O13_10G022284</t>
  </si>
  <si>
    <t>GO:0003688</t>
  </si>
  <si>
    <t>DNA replication origin binding</t>
  </si>
  <si>
    <t>J2O13_01G002837;J2O13_09G021690;J2O13_10G023375</t>
  </si>
  <si>
    <t>J2O13_01G002254;J2O13_05G012769;J2O13_10G024181</t>
  </si>
  <si>
    <t>J2O13_01G000318;J2O13_05G009927;J2O13_06G013231</t>
  </si>
  <si>
    <t>GO:0004311</t>
  </si>
  <si>
    <t>farnesyltranstransferase activity</t>
  </si>
  <si>
    <t>J2O13_05G012169;J2O13_06G014720;J2O13_09G021814</t>
  </si>
  <si>
    <t>J2O13_01G001415;J2O13_05G009983;J2O13_05G012736</t>
  </si>
  <si>
    <t>J2O13_07G015266;J2O13_10G022198;J2O13_10G022732</t>
  </si>
  <si>
    <t>J2O13_04G007068;J2O13_04G007255;J2O13_06G014506</t>
  </si>
  <si>
    <t>J2O13_01G001559;J2O13_04G008443;J2O13_05G011055</t>
  </si>
  <si>
    <t>GO:0042138</t>
  </si>
  <si>
    <t>meiotic DNA double-strand break formation</t>
  </si>
  <si>
    <t>J2O13_09G019758;J2O13_09G019910;J2O13_10G022093</t>
  </si>
  <si>
    <t>J2O13_01G000192;J2O13_01G000477;J2O13_01G002506;J2O13_02G003508;J2O13_03G005520;J2O13_03G005569;J2O13_04G008244;J2O13_06G013993;J2O13_06G014269;J2O13_09G021230;J2O13_10G022199;J2O13_10G022275;J2O13_10G022823;J2O13_10G023762;J2O13_10G023763</t>
  </si>
  <si>
    <t>GO:0005385</t>
  </si>
  <si>
    <t>zinc ion transmembrane transporter activity</t>
  </si>
  <si>
    <t>J2O13_03G005504;J2O13_03G006990;J2O13_04G008327;J2O13_04G008868;J2O13_05G011780</t>
  </si>
  <si>
    <t>J2O13_02G004897;J2O13_05G009911;J2O13_05G009946;J2O13_05G010776;J2O13_10G024442</t>
  </si>
  <si>
    <t>J2O13_01G002420;J2O13_05G009978;J2O13_06G013178;J2O13_07G017202;J2O13_10G022198;J2O13_10G022310</t>
  </si>
  <si>
    <t>J2O13_02G004220;J2O13_04G007571;J2O13_05G010749;J2O13_06G014751</t>
  </si>
  <si>
    <t>J2O13_07G016114;J2O13_07G016118;J2O13_09G021184;J2O13_09G021876</t>
  </si>
  <si>
    <t>J2O13_01G001390;J2O13_01G002821;J2O13_05G010345;J2O13_05G012553;J2O13_09G020036</t>
  </si>
  <si>
    <t>J2O13_01G002003;J2O13_02G004714;J2O13_03G005857;J2O13_04G007123;J2O13_04G007124;J2O13_05G009803;J2O13_07G016316;J2O13_07G017269</t>
  </si>
  <si>
    <t>J2O13_02G004365;J2O13_04G008203;J2O13_04G008206;J2O13_05G009540;J2O13_05G011829;J2O13_05G012257;J2O13_07G015624;J2O13_09G021354;J2O13_09G021430;J2O13_10G022230</t>
  </si>
  <si>
    <t>J2O13_05G010392;J2O13_05G012736;J2O13_09G021450</t>
  </si>
  <si>
    <t>J2O13_09G020346;J2O13_09G021223;J2O13_09G021612</t>
  </si>
  <si>
    <t>GO:0006352</t>
  </si>
  <si>
    <t>DNA-templated transcription initiation</t>
  </si>
  <si>
    <t>J2O13_02G003282;J2O13_03G005461;J2O13_10G022170;J2O13_10G023895</t>
  </si>
  <si>
    <t>J2O13_02G004686;J2O13_03G005147;J2O13_05G011865;J2O13_06G014198;J2O13_07G017309;J2O13_09G021811</t>
  </si>
  <si>
    <t>J2O13_01G001218;J2O13_01G002019;J2O13_02G003892;J2O13_03G005857;J2O13_07G016845</t>
  </si>
  <si>
    <t>J2O13_01G000209;J2O13_02G004301;J2O13_04G007509;J2O13_05G009402;J2O13_05G012138;J2O13_07G016645;J2O13_07G016834;J2O13_08G017811</t>
  </si>
  <si>
    <t>J2O13_02G004837;J2O13_02G004839;J2O13_08G019377;J2O13_08G019412</t>
  </si>
  <si>
    <t>J2O13_01G002297;J2O13_05G010007;J2O13_05G012566;J2O13_10G023293</t>
  </si>
  <si>
    <t>J2O13_01G000031;J2O13_02G004206;J2O13_05G009674;J2O13_09G021271</t>
  </si>
  <si>
    <t>J2O13_02G004117;J2O13_03G005505;J2O13_03G005738;J2O13_03G006073;J2O13_04G007894;J2O13_06G012972;J2O13_06G013098;J2O13_06G014318;J2O13_07G015193;J2O13_07G016362;J2O13_09G020283;J2O13_10G022275;J2O13_10G024334;J2O13_10G024424</t>
  </si>
  <si>
    <t>J2O13_03G005657;J2O13_05G011345;J2O13_06G014005;J2O13_07G016244;J2O13_07G016596</t>
  </si>
  <si>
    <t>GO:0004144</t>
  </si>
  <si>
    <t>diacylglycerol O-acyltransferase activity</t>
  </si>
  <si>
    <t>J2O13_06G012808;J2O13_07G017164;J2O13_10G024230</t>
  </si>
  <si>
    <t>J2O13_03G005425;J2O13_05G012571;J2O13_07G016678</t>
  </si>
  <si>
    <t>J2O13_03G006990;J2O13_07G017022;J2O13_09G021633</t>
  </si>
  <si>
    <t>GO:0030007</t>
  </si>
  <si>
    <t>cellular potassium ion homeostasis</t>
  </si>
  <si>
    <t>J2O13_07G017023;J2O13_09G019756;J2O13_10G023372</t>
  </si>
  <si>
    <t>J2O13_01G002773;J2O13_04G008919;J2O13_04G008920</t>
  </si>
  <si>
    <t>GO:0000210</t>
  </si>
  <si>
    <t>NAD+ diphosphatase activity</t>
  </si>
  <si>
    <t>J2O13_06G013695;J2O13_10G023276</t>
  </si>
  <si>
    <t>GO:0000228</t>
  </si>
  <si>
    <t>nuclear chromosome</t>
  </si>
  <si>
    <t>J2O13_09G019758;J2O13_10G022093</t>
  </si>
  <si>
    <t>GO:0004462</t>
  </si>
  <si>
    <t>lactoylglutathione lyase activity</t>
  </si>
  <si>
    <t>J2O13_03G005414;J2O13_03G005894</t>
  </si>
  <si>
    <t>J2O13_05G010632;J2O13_06G013427</t>
  </si>
  <si>
    <t>GO:0006164</t>
  </si>
  <si>
    <t>purine nucleotide biosynthetic process</t>
  </si>
  <si>
    <t>J2O13_05G009726;J2O13_07G017288</t>
  </si>
  <si>
    <t>GO:0006273</t>
  </si>
  <si>
    <t>lagging strand elongation</t>
  </si>
  <si>
    <t>J2O13_07G015107;J2O13_09G021690</t>
  </si>
  <si>
    <t>GO:0006796</t>
  </si>
  <si>
    <t>phosphate-containing compound metabolic process</t>
  </si>
  <si>
    <t>J2O13_05G012687;J2O13_10G023360</t>
  </si>
  <si>
    <t>J2O13_03G005569;J2O13_10G022199</t>
  </si>
  <si>
    <t>J2O13_06G014270;J2O13_09G019574</t>
  </si>
  <si>
    <t>GO:0008878</t>
  </si>
  <si>
    <t>glucose-1-phosphate adenylyltransferase activity</t>
  </si>
  <si>
    <t>J2O13_06G013178;J2O13_07G017202</t>
  </si>
  <si>
    <t>J2O13_04G008045;J2O13_04G008479</t>
  </si>
  <si>
    <t>GO:0010205</t>
  </si>
  <si>
    <t>photoinhibition</t>
  </si>
  <si>
    <t>J2O13_05G011152;J2O13_07G016912</t>
  </si>
  <si>
    <t>GO:0010236</t>
  </si>
  <si>
    <t>plastoquinone biosynthetic process</t>
  </si>
  <si>
    <t>J2O13_06G014720;J2O13_09G021066</t>
  </si>
  <si>
    <t>GO:0010600</t>
  </si>
  <si>
    <t>regulation of auxin biosynthetic process</t>
  </si>
  <si>
    <t>J2O13_05G012197;J2O13_08G019377</t>
  </si>
  <si>
    <t>GO:0016120</t>
  </si>
  <si>
    <t>carotene biosynthetic process</t>
  </si>
  <si>
    <t>J2O13_01G001884;J2O13_01G001978</t>
  </si>
  <si>
    <t>GO:0019243</t>
  </si>
  <si>
    <t>methylglyoxal catabolic process to D-lactate via S-lactoyl-glutathione</t>
  </si>
  <si>
    <t>GO:0030091</t>
  </si>
  <si>
    <t>protein repair</t>
  </si>
  <si>
    <t>J2O13_04G007859;J2O13_06G014689</t>
  </si>
  <si>
    <t>GO:0036444</t>
  </si>
  <si>
    <t>calcium import into the mitochondrion</t>
  </si>
  <si>
    <t>J2O13_02G004686;J2O13_09G021811</t>
  </si>
  <si>
    <t>GO:0046835</t>
  </si>
  <si>
    <t>carbohydrate phosphorylation</t>
  </si>
  <si>
    <t>J2O13_03G005857;J2O13_04G009233</t>
  </si>
  <si>
    <t>GO:0051560</t>
  </si>
  <si>
    <t>mitochondrial calcium ion homeostasis</t>
  </si>
  <si>
    <t>GO:0052622</t>
  </si>
  <si>
    <t>ATP dimethylallyltransferase activity</t>
  </si>
  <si>
    <t>J2O13_01G000959;J2O13_06G013217</t>
  </si>
  <si>
    <t>GO:0052623</t>
  </si>
  <si>
    <t>ADP dimethylallyltransferase activity</t>
  </si>
  <si>
    <t>J2O13_05G011484;J2O13_09G021769</t>
  </si>
  <si>
    <t>GO:0071421</t>
  </si>
  <si>
    <t>manganese ion transmembrane transport</t>
  </si>
  <si>
    <t>J2O13_05G010152;J2O13_07G017022</t>
  </si>
  <si>
    <t>GO:1990246</t>
  </si>
  <si>
    <t>uniplex complex</t>
  </si>
  <si>
    <t>J2O13_01G001727;J2O13_03G005136;J2O13_04G007904;J2O13_05G009911;J2O13_06G014669;J2O13_07G015134;J2O13_07G016470</t>
  </si>
  <si>
    <t>J2O13_01G002369;J2O13_02G004935;J2O13_05G009852;J2O13_07G016269</t>
  </si>
  <si>
    <t>J2O13_07G016114;J2O13_07G016118;J2O13_07G017333;J2O13_09G021876</t>
  </si>
  <si>
    <t>J2O13_01G000959;J2O13_02G004856;J2O13_06G013217;J2O13_07G016083</t>
  </si>
  <si>
    <t>GO:0071577</t>
  </si>
  <si>
    <t>zinc ion transmembrane transport</t>
  </si>
  <si>
    <t>J2O13_03G005504;J2O13_04G008327;J2O13_04G008868;J2O13_05G011780</t>
  </si>
  <si>
    <t>J2O13_02G004306;J2O13_02G004404;J2O13_03G005859;J2O13_03G006455;J2O13_05G010376;J2O13_05G010377</t>
  </si>
  <si>
    <t>J2O13_01G002005;J2O13_02G004045;J2O13_02G004046;J2O13_04G008403;J2O13_08G018654;J2O13_09G019753;J2O13_09G021958</t>
  </si>
  <si>
    <t>J2O13_02G004837;J2O13_02G004839;J2O13_06G013702</t>
  </si>
  <si>
    <t>J2O13_02G003627;J2O13_03G005500;J2O13_05G012681</t>
  </si>
  <si>
    <t>J2O13_01G000715;J2O13_03G005500;J2O13_10G022732</t>
  </si>
  <si>
    <t>J2O13_02G003894;J2O13_02G003974;J2O13_09G021446</t>
  </si>
  <si>
    <t>GO:0016311</t>
  </si>
  <si>
    <t>dephosphorylation</t>
  </si>
  <si>
    <t>J2O13_01G002353;J2O13_03G006992;J2O13_07G015045</t>
  </si>
  <si>
    <t>J2O13_02G003894;J2O13_09G021779;J2O13_10G022732</t>
  </si>
  <si>
    <t>J2O13_01G002019;J2O13_05G010312;J2O13_06G013542;J2O13_07G014924;J2O13_10G022696</t>
  </si>
  <si>
    <t>J2O13_01G000549;J2O13_01G001150;J2O13_02G004373;J2O13_03G005425;J2O13_05G009622;J2O13_05G009726;J2O13_05G009913;J2O13_05G012427;J2O13_06G013107;J2O13_07G016678;J2O13_07G016825;J2O13_08G019539;J2O13_09G019865;J2O13_09G020346;J2O13_09G021223;J2O13_10G024272;J2O13_10G024292</t>
  </si>
  <si>
    <t>J2O13_01G000209;J2O13_04G007509;J2O13_05G009402;J2O13_05G010832;J2O13_10G023458</t>
  </si>
  <si>
    <t>J2O13_01G000240;J2O13_02G004019;J2O13_03G006209;J2O13_05G010392;J2O13_08G019446;J2O13_09G019872;J2O13_09G021184;J2O13_10G023878;J2O13_UnG024735</t>
  </si>
  <si>
    <t>GO:0003006</t>
  </si>
  <si>
    <t>developmental process involved in reproduction</t>
  </si>
  <si>
    <t>J2O13_01G002297;J2O13_05G010007</t>
  </si>
  <si>
    <t>GO:0005884</t>
  </si>
  <si>
    <t>actin filament</t>
  </si>
  <si>
    <t>J2O13_09G020434;J2O13_09G020829</t>
  </si>
  <si>
    <t>GO:0008107</t>
  </si>
  <si>
    <t>galactoside 2-alpha-L-fucosyltransferase activity</t>
  </si>
  <si>
    <t>J2O13_04G008152;J2O13_09G021459</t>
  </si>
  <si>
    <t>J2O13_04G007068;J2O13_06G014506</t>
  </si>
  <si>
    <t>GO:0009229</t>
  </si>
  <si>
    <t>thiamine diphosphate biosynthetic process</t>
  </si>
  <si>
    <t>J2O13_01G002821;J2O13_03G005792</t>
  </si>
  <si>
    <t>GO:0009836</t>
  </si>
  <si>
    <t>fruit ripening, climacteric</t>
  </si>
  <si>
    <t>J2O13_01G000318;J2O13_05G009927</t>
  </si>
  <si>
    <t>J2O13_02G004854;J2O13_03G006648</t>
  </si>
  <si>
    <t>GO:0010304</t>
  </si>
  <si>
    <t>PSII associated light-harvesting complex II catabolic process</t>
  </si>
  <si>
    <t>J2O13_03G005933;J2O13_05G011152</t>
  </si>
  <si>
    <t>J2O13_04G007259;J2O13_10G023146</t>
  </si>
  <si>
    <t>J2O13_07G015102;J2O13_07G017013</t>
  </si>
  <si>
    <t>GO:0017096</t>
  </si>
  <si>
    <t>acetylserotonin O-methyltransferase activity</t>
  </si>
  <si>
    <t>J2O13_07G016114;J2O13_07G016118</t>
  </si>
  <si>
    <t>GO:0032957</t>
  </si>
  <si>
    <t>inositol trisphosphate metabolic process</t>
  </si>
  <si>
    <t>J2O13_02G004417;J2O13_05G009724</t>
  </si>
  <si>
    <t>GO:0035834</t>
  </si>
  <si>
    <t>indole alkaloid metabolic process</t>
  </si>
  <si>
    <t>J2O13_05G011627;J2O13_10G022275</t>
  </si>
  <si>
    <t>GO:0065003</t>
  </si>
  <si>
    <t>protein-containing complex assembly</t>
  </si>
  <si>
    <t>J2O13_01G001218;J2O13_09G019910</t>
  </si>
  <si>
    <t>GO:0110102</t>
  </si>
  <si>
    <t>ribulose bisphosphate carboxylase complex assembly</t>
  </si>
  <si>
    <t>J2O13_04G007255;J2O13_10G024131</t>
  </si>
  <si>
    <t>J2O13_03G006868;J2O13_04G007394</t>
  </si>
  <si>
    <t>J2O13_01G000048;J2O13_01G000468;J2O13_01G000984;J2O13_01G001497;J2O13_01G001818;J2O13_02G003748;J2O13_02G003829;J2O13_02G003837;J2O13_02G004235;J2O13_02G004478;J2O13_02G004589;J2O13_02G004977;J2O13_03G005180;J2O13_03G005901;J2O13_03G005928;J2O13_03G005935;J2O13_03G006360;J2O13_03G007028;J2O13_04G007071;J2O13_04G007124;J2O13_04G007190;J2O13_04G008446;J2O13_04G008935;J2O13_05G010054;J2O13_05G010264;J2O13_05G011255;J2O13_05G012751;J2O13_06G012861;J2O13_06G013427;J2O13_06G013457;J2O13_06G013733;J2O13_06G013896;J2O13_06G014344;J2O13_06G014544;J2O13_06G014694;J2O13_07G015097;J2O13_07G015779;J2O13_07G016386;J2O13_07G017088;J2O13_07G017269;J2O13_08G017618;J2O13_08G017957;J2O13_08G018662;J2O13_08G018688;J2O13_09G019763;J2O13_09G019853;J2O13_09G020036;J2O13_09G021183;J2O13_09G021467;J2O13_10G022105;J2O13_10G022711;J2O13_10G023557;J2O13_10G023901;J2O13_10G024113;J2O13_10G024427;J2O13_10G024442;J2O13_10G024493</t>
  </si>
  <si>
    <t>J2O13_05G009507;J2O13_09G019900;J2O13_10G022365</t>
  </si>
  <si>
    <t>J2O13_01G000135;J2O13_08G019437;J2O13_10G023641</t>
  </si>
  <si>
    <t>J2O13_09G019610;J2O13_09G019611;J2O13_09G021563</t>
  </si>
  <si>
    <t>GO:2001070</t>
  </si>
  <si>
    <t>starch binding</t>
  </si>
  <si>
    <t>J2O13_02G003093;J2O13_06G013306;J2O13_10G023034</t>
  </si>
  <si>
    <t>J2O13_05G010152;J2O13_05G012437;J2O13_07G017022;J2O13_09G021633</t>
  </si>
  <si>
    <t>GO:0006520</t>
  </si>
  <si>
    <t>amino acid metabolic process</t>
  </si>
  <si>
    <t>J2O13_04G007904;J2O13_06G013798;J2O13_09G020246;J2O13_10G023589</t>
  </si>
  <si>
    <t>J2O13_01G000715;J2O13_01G000959;J2O13_02G004045;J2O13_02G004046;J2O13_06G014198;J2O13_07G015175</t>
  </si>
  <si>
    <t>J2O13_01G001538;J2O13_03G005578;J2O13_07G014984;J2O13_07G017277</t>
  </si>
  <si>
    <t>J2O13_01G000207;J2O13_02G005013;J2O13_03G005824;J2O13_05G011265;J2O13_06G013695;J2O13_07G016196;J2O13_07G017091;J2O13_10G023276</t>
  </si>
  <si>
    <t>J2O13_02G004404;J2O13_03G005504;J2O13_04G008327</t>
  </si>
  <si>
    <t>GO:0009903</t>
  </si>
  <si>
    <t>chloroplast avoidance movement</t>
  </si>
  <si>
    <t>J2O13_02G005024;J2O13_05G012403;J2O13_09G021411</t>
  </si>
  <si>
    <t>GO:0010449</t>
  </si>
  <si>
    <t>root meristem growth</t>
  </si>
  <si>
    <t>J2O13_02G003941;J2O13_08G019290;J2O13_10G024141</t>
  </si>
  <si>
    <t>J2O13_01G000008;J2O13_01G000082;J2O13_05G009802</t>
  </si>
  <si>
    <t>GO:0003746</t>
  </si>
  <si>
    <t>translation elongation factor activity</t>
  </si>
  <si>
    <t>J2O13_03G005901;J2O13_04G008169;J2O13_05G010415;J2O13_06G013134;J2O13_10G022696</t>
  </si>
  <si>
    <t>J2O13_01G000715;J2O13_02G005024;J2O13_03G005738;J2O13_04G007209;J2O13_04G009084</t>
  </si>
  <si>
    <t>J2O13_01G002369;J2O13_02G004935;J2O13_05G009852;J2O13_07G016269;J2O13_10G024000</t>
  </si>
  <si>
    <t>J2O13_05G011989;J2O13_06G013628;J2O13_09G019610;J2O13_09G019611;J2O13_09G021563</t>
  </si>
  <si>
    <t>J2O13_03G005409;J2O13_03G006265;J2O13_06G013395;J2O13_06G014332;J2O13_09G019964</t>
  </si>
  <si>
    <t>J2O13_01G000740;J2O13_02G004478;J2O13_05G010264;J2O13_08G017618;J2O13_09G020434;J2O13_09G020829;J2O13_10G024139</t>
  </si>
  <si>
    <t>J2O13_01G002003;J2O13_07G017269</t>
  </si>
  <si>
    <t>J2O13_05G011464;J2O13_10G022732</t>
  </si>
  <si>
    <t>GO:0005452</t>
  </si>
  <si>
    <t>solute:inorganic anion antiporter activity</t>
  </si>
  <si>
    <t>J2O13_01G001270;J2O13_07G016850</t>
  </si>
  <si>
    <t>GO:0005471</t>
  </si>
  <si>
    <t>ATP:ADP antiporter activity</t>
  </si>
  <si>
    <t>J2O13_04G008257;J2O13_07G016841</t>
  </si>
  <si>
    <t>GO:0005978</t>
  </si>
  <si>
    <t>glycogen biosynthetic process</t>
  </si>
  <si>
    <t>GO:0009815</t>
  </si>
  <si>
    <t>1-aminocyclopropane-1-carboxylate oxidase activity</t>
  </si>
  <si>
    <t>J2O13_05G011644;J2O13_09G020480</t>
  </si>
  <si>
    <t>J2O13_03G005572;J2O13_10G022773</t>
  </si>
  <si>
    <t>J2O13_01G000885;J2O13_09G021265</t>
  </si>
  <si>
    <t>J2O13_04G008389;J2O13_09G020930</t>
  </si>
  <si>
    <t>J2O13_08G017488;J2O13_08G017493</t>
  </si>
  <si>
    <t>GO:0052381</t>
  </si>
  <si>
    <t>tRNA dimethylallyltransferase activity</t>
  </si>
  <si>
    <t>GO:0060090</t>
  </si>
  <si>
    <t>molecular adaptor activity</t>
  </si>
  <si>
    <t>J2O13_03G005723;J2O13_03G007040</t>
  </si>
  <si>
    <t>J2O13_01G000549;J2O13_01G001150;J2O13_03G006464;J2O13_04G007699;J2O13_04G008335;J2O13_04G009102;J2O13_05G009726;J2O13_05G009803;J2O13_06G013107;J2O13_07G015199;J2O13_08G019539;J2O13_10G022270;J2O13_10G024272</t>
  </si>
  <si>
    <t>J2O13_01G002005;J2O13_02G004045;J2O13_02G004046;J2O13_04G008403;J2O13_09G019753;J2O13_09G021958</t>
  </si>
  <si>
    <t>J2O13_02G004767;J2O13_07G016114;J2O13_07G016118;J2O13_09G021876</t>
  </si>
  <si>
    <t>J2O13_02G004301;J2O13_04G008108;J2O13_05G010346;J2O13_08G017811;J2O13_09G020480</t>
  </si>
  <si>
    <t>J2O13_01G000978;J2O13_04G007388;J2O13_04G007842;J2O13_05G010619;J2O13_05G012427;J2O13_07G014923;J2O13_07G016241;J2O13_08G018756;J2O13_08G019214;J2O13_09G019758;J2O13_09G021349;J2O13_10G022539;J2O13_10G022605;J2O13_10G023953;J2O13_10G024006;J2O13_10G024429</t>
  </si>
  <si>
    <t>GO:0006108</t>
  </si>
  <si>
    <t>malate metabolic process</t>
  </si>
  <si>
    <t>J2O13_04G007859;J2O13_05G009901;J2O13_09G021838</t>
  </si>
  <si>
    <t>J2O13_04G007699;J2O13_06G013206;J2O13_08G019099</t>
  </si>
  <si>
    <t>J2O13_05G009946;J2O13_07G016470;J2O13_07G017187</t>
  </si>
  <si>
    <t>J2O13_07G017332;J2O13_08G019491;J2O13_09G020283</t>
  </si>
  <si>
    <t>J2O13_01G000008;J2O13_05G009802;J2O13_05G012248</t>
  </si>
  <si>
    <t>J2O13_01G000440;J2O13_03G006692;J2O13_03G006693;J2O13_05G009607;J2O13_05G010351;J2O13_05G010361</t>
  </si>
  <si>
    <t>J2O13_02G004417;J2O13_02G004574;J2O13_03G005387;J2O13_03G005505;J2O13_03G005738;J2O13_03G005824;J2O13_03G006073;J2O13_04G007894;J2O13_05G009927;J2O13_06G013098;J2O13_06G014540;J2O13_09G020283;J2O13_09G020908;J2O13_09G021200;J2O13_10G023792;J2O13_10G023901;J2O13_10G024442</t>
  </si>
  <si>
    <t>J2O13_03G005974;J2O13_03G006692;J2O13_03G006693;J2O13_04G008241;J2O13_05G009595;J2O13_06G012829;J2O13_07G016470;J2O13_09G019845;J2O13_09G021358;J2O13_10G022312</t>
  </si>
  <si>
    <t>J2O13_05G012049;J2O13_08G019290;J2O13_09G021467;J2O13_10G022365</t>
  </si>
  <si>
    <t>J2O13_01G000264;J2O13_01G002711;J2O13_04G007209;J2O13_04G007904</t>
  </si>
  <si>
    <t>J2O13_03G006084;J2O13_04G008215;J2O13_05G010106;J2O13_05G010407;J2O13_05G010409;J2O13_07G017115</t>
  </si>
  <si>
    <t>J2O13_02G004220;J2O13_04G007571</t>
  </si>
  <si>
    <t>GO:0006654</t>
  </si>
  <si>
    <t>phosphatidic acid biosynthetic process</t>
  </si>
  <si>
    <t>J2O13_09G020037;J2O13_10G024383</t>
  </si>
  <si>
    <t>GO:0006820</t>
  </si>
  <si>
    <t>anion transport</t>
  </si>
  <si>
    <t>J2O13_05G010362;J2O13_07G016131</t>
  </si>
  <si>
    <t>GO:0009308</t>
  </si>
  <si>
    <t>amine metabolic process</t>
  </si>
  <si>
    <t>J2O13_04G007894;J2O13_06G013154</t>
  </si>
  <si>
    <t>GO:0009642</t>
  </si>
  <si>
    <t>response to light intensity</t>
  </si>
  <si>
    <t>J2O13_01G000715;J2O13_02G003869</t>
  </si>
  <si>
    <t>GO:0010019</t>
  </si>
  <si>
    <t>chloroplast-nucleus signaling pathway</t>
  </si>
  <si>
    <t>J2O13_03G006084;J2O13_07G015509</t>
  </si>
  <si>
    <t>J2O13_05G009901;J2O13_09G021838</t>
  </si>
  <si>
    <t>J2O13_02G004592;J2O13_09G021719</t>
  </si>
  <si>
    <t>GO:0016597</t>
  </si>
  <si>
    <t>amino acid binding</t>
  </si>
  <si>
    <t>J2O13_06G013798;J2O13_09G021555</t>
  </si>
  <si>
    <t>GO:0016717</t>
  </si>
  <si>
    <t>oxidoreductase activity, acting on paired donors, with oxidation of a pair of donors resulting in the reduction of molecular oxygen to two molecules of water</t>
  </si>
  <si>
    <t>J2O13_08G019414;J2O13_10G023601</t>
  </si>
  <si>
    <t>GO:0019048</t>
  </si>
  <si>
    <t>modulation by virus of host process</t>
  </si>
  <si>
    <t>J2O13_03G006437;J2O13_08G017957</t>
  </si>
  <si>
    <t>GO:0031540</t>
  </si>
  <si>
    <t>regulation of anthocyanin biosynthetic process</t>
  </si>
  <si>
    <t>J2O13_01G000715;J2O13_03G005109</t>
  </si>
  <si>
    <t>GO:0042177</t>
  </si>
  <si>
    <t>negative regulation of protein catabolic process</t>
  </si>
  <si>
    <t>J2O13_09G019623;J2O13_10G023154</t>
  </si>
  <si>
    <t>GO:0047938</t>
  </si>
  <si>
    <t>glucose-6-phosphate 1-epimerase activity</t>
  </si>
  <si>
    <t>J2O13_05G011294;J2O13_10G024026</t>
  </si>
  <si>
    <t>GO:0052593</t>
  </si>
  <si>
    <t>tryptamine:oxygen oxidoreductase (deaminating) activity</t>
  </si>
  <si>
    <t>GO:0052594</t>
  </si>
  <si>
    <t>aminoacetone:oxygen oxidoreductase(deaminating) activity</t>
  </si>
  <si>
    <t>GO:0052596</t>
  </si>
  <si>
    <t>phenethylamine:oxygen oxidoreductase (deaminating) activity</t>
  </si>
  <si>
    <t>J2O13_05G010749;J2O13_06G014751</t>
  </si>
  <si>
    <t>J2O13_05G009486;J2O13_07G015134</t>
  </si>
  <si>
    <t>GO:1900140</t>
  </si>
  <si>
    <t>regulation of seedling development</t>
  </si>
  <si>
    <t>J2O13_01G000264;J2O13_04G007209</t>
  </si>
  <si>
    <t>J2O13_03G005109;J2O13_03G005500</t>
  </si>
  <si>
    <t>GO:0004499</t>
  </si>
  <si>
    <t>N,N-dimethylaniline monooxygenase activity</t>
  </si>
  <si>
    <t>J2O13_02G004980;J2O13_03G005713;J2O13_03G006174</t>
  </si>
  <si>
    <t>J2O13_01G000008;J2O13_05G009802;J2O13_07G015134</t>
  </si>
  <si>
    <t>J2O13_02G004837;J2O13_02G004839;J2O13_05G012142;J2O13_10G023568</t>
  </si>
  <si>
    <t>J2O13_01G000240;J2O13_01G000448;J2O13_01G000738;J2O13_01G000750;J2O13_01G000872;J2O13_01G001051;J2O13_01G001497;J2O13_01G001727;J2O13_01G002003;J2O13_01G002254;J2O13_01G002353;J2O13_01G002777;J2O13_01G002805;J2O13_02G003436;J2O13_02G003638;J2O13_02G003683;J2O13_02G003829;J2O13_02G003894;J2O13_02G003911;J2O13_02G004019;J2O13_02G004144;J2O13_02G004175;J2O13_02G004206;J2O13_02G004235;J2O13_02G004301;J2O13_02G004389;J2O13_02G004417;J2O13_02G004478;J2O13_02G004597;J2O13_02G004714;J2O13_02G004767;J2O13_02G004943;J2O13_03G005414;J2O13_03G005425;J2O13_03G005489;J2O13_03G005698;J2O13_03G005738;J2O13_03G005839;J2O13_03G005845;J2O13_03G005861;J2O13_03G005894;J2O13_03G006132;J2O13_03G006265;J2O13_03G006278;J2O13_03G006464;J2O13_03G006666;J2O13_04G007068;J2O13_04G007124;J2O13_04G007209;J2O13_04G007289;J2O13_04G007509;J2O13_04G007699;J2O13_04G007859;J2O13_04G007933;J2O13_04G007963;J2O13_04G008108;J2O13_04G008133;J2O13_04G008213;J2O13_04G008333;J2O13_04G008335;J2O13_04G008348;J2O13_04G008358;J2O13_04G008561;J2O13_04G009102;J2O13_05G009402;J2O13_05G009574;J2O13_05G009726;J2O13_05G009773;J2O13_05G009803;J2O13_05G010189;J2O13_05G010264;J2O13_05G010392;J2O13_05G010758;J2O13_05G011419;J2O13_05G011516;J2O13_05G011603;J2O13_05G011857;J2O13_05G011897;J2O13_05G012009;J2O13_05G012499;J2O13_05G012653;J2O13_05G012689;J2O13_05G012693;J2O13_05G012769;J2O13_06G012972;J2O13_06G013053;J2O13_06G013101;J2O13_06G013206;J2O13_06G013221;J2O13_06G013231;J2O13_06G013386;J2O13_06G013420;J2O13_06G013426;J2O13_06G013431;J2O13_06G013457;J2O13_06G013638;J2O13_06G014270;J2O13_06G014344;J2O13_06G014581;J2O13_06G014689;J2O13_06G014694;J2O13_06G014890;J2O13_07G014923;J2O13_07G014984;J2O13_07G015045;J2O13_07G015193;J2O13_07G015761;J2O13_07G016114;J2O13_07G016118;J2O13_07G016241;J2O13_07G016362;J2O13_07G016678;J2O13_07G016825;J2O13_07G016960;J2O13_07G017000;J2O13_07G017251;J2O13_07G017288;J2O13_07G017373;J2O13_08G017618;J2O13_08G017624;J2O13_08G017772;J2O13_08G017807;J2O13_08G017811;J2O13_08G017957;J2O13_08G018033;J2O13_08G018184;J2O13_08G018347;J2O13_08G018445;J2O13_08G019197;J2O13_08G019214;J2O13_08G019286;J2O13_08G019290;J2O13_08G019446;J2O13_08G019460;J2O13_09G019574;J2O13_09G019623;J2O13_09G019643;J2O13_09G019910;J2O13_09G019911;J2O13_09G020037;J2O13_09G020115;J2O13_09G020205;J2O13_09G020434;J2O13_09G020908;J2O13_09G020930;J2O13_09G021067;J2O13_09G021399;J2O13_09G021467;J2O13_09G021721;J2O13_09G021986;J2O13_10G022082;J2O13_10G022284;J2O13_10G022349;J2O13_10G022534;J2O13_10G022539;J2O13_10G022605;J2O13_10G022736;J2O13_10G023024;J2O13_10G023154;J2O13_10G023479;J2O13_10G023495;J2O13_10G023661;J2O13_10G023901;J2O13_10G023985;J2O13_10G024000;J2O13_10G024006;J2O13_10G024026;J2O13_10G024123;J2O13_10G024139;J2O13_10G024181;J2O13_10G024292;J2O13_10G024334;J2O13_10G024395;J2O13_10G024424;J2O13_10G024493;J2O13_UnG024735</t>
  </si>
  <si>
    <t>J2O13_08G018146;J2O13_09G019610;J2O13_09G019611;J2O13_09G021563;J2O13_10G022237</t>
  </si>
  <si>
    <t>GO:0006260</t>
  </si>
  <si>
    <t>J2O13_03G005108;J2O13_07G015107;J2O13_08G019231;J2O13_09G019943;J2O13_10G023375</t>
  </si>
  <si>
    <t>GO:0015995</t>
  </si>
  <si>
    <t>chlorophyll biosynthetic process</t>
  </si>
  <si>
    <t>J2O13_03G005121;J2O13_07G015509;J2O13_07G015694;J2O13_10G022711;J2O13_10G023044</t>
  </si>
  <si>
    <t>J2O13_01G000152;J2O13_01G000240;J2O13_01G000282;J2O13_01G000397;J2O13_01G000429;J2O13_01G000549;J2O13_01G000984;J2O13_01G001218;J2O13_01G001390;J2O13_01G001497;J2O13_01G001872;J2O13_01G002019;J2O13_01G002699;J2O13_02G003067;J2O13_02G003093;J2O13_02G003646;J2O13_02G003911;J2O13_02G003967;J2O13_02G004144;J2O13_02G004206;J2O13_02G004389;J2O13_02G004856;J2O13_02G004941;J2O13_02G005024;J2O13_03G005425;J2O13_03G005824;J2O13_03G005857;J2O13_03G006108;J2O13_03G006113;J2O13_03G006213;J2O13_03G006265;J2O13_03G006449;J2O13_03G006464;J2O13_03G006777;J2O13_04G007123;J2O13_04G007124;J2O13_04G007425;J2O13_04G007758;J2O13_04G007842;J2O13_04G007894;J2O13_04G008133;J2O13_04G008153;J2O13_04G008213;J2O13_04G008229;J2O13_04G008376;J2O13_04G008469;J2O13_04G009233;J2O13_05G009622;J2O13_05G009670;J2O13_05G009773;J2O13_05G010080;J2O13_05G010312;J2O13_05G010345;J2O13_05G010416;J2O13_05G010856;J2O13_05G011562;J2O13_05G011757;J2O13_05G012033;J2O13_05G012110;J2O13_05G012233;J2O13_05G012403;J2O13_05G012696;J2O13_06G012808;J2O13_06G012853;J2O13_06G013102;J2O13_06G013134;J2O13_06G013226;J2O13_06G013282;J2O13_06G013306;J2O13_06G013352;J2O13_06G013457;J2O13_06G013628;J2O13_06G013695;J2O13_06G013733;J2O13_06G013942;J2O13_06G013969;J2O13_06G014344;J2O13_06G014441;J2O13_06G014506;J2O13_06G014544;J2O13_06G014581;J2O13_07G015097;J2O13_07G015208;J2O13_07G015254;J2O13_07G016083;J2O13_07G016161;J2O13_07G016470;J2O13_07G016596;J2O13_07G016678;J2O13_07G016711;J2O13_07G016913;J2O13_07G016925;J2O13_07G017124;J2O13_07G017251;J2O13_07G017269;J2O13_07G017323;J2O13_08G017957;J2O13_08G018093;J2O13_08G018347;J2O13_08G019082;J2O13_08G019146;J2O13_08G019197;J2O13_08G019276;J2O13_08G019286;J2O13_08G019290;J2O13_09G019835;J2O13_09G019853;J2O13_09G020036;J2O13_09G020205;J2O13_09G020930;J2O13_09G021067;J2O13_09G021271;J2O13_09G021411;J2O13_09G021467;J2O13_09G021721;J2O13_09G021742;J2O13_09G021997;J2O13_10G022251;J2O13_10G022270;J2O13_10G022284;J2O13_10G022311;J2O13_10G022732;J2O13_10G023034;J2O13_10G023143;J2O13_10G023276;J2O13_10G023280;J2O13_10G023360;J2O13_10G023459;J2O13_10G023589;J2O13_10G023901;J2O13_10G024184;J2O13_10G024424;J2O13_10G024442;J2O13_UnG024735</t>
  </si>
  <si>
    <t>J2O13_01G001884;J2O13_01G002476;J2O13_01G002711;J2O13_02G003894;J2O13_02G004592;J2O13_03G005093;J2O13_03G005121;J2O13_03G005513;J2O13_03G005572;J2O13_03G006086;J2O13_05G009728;J2O13_05G010033;J2O13_05G010106;J2O13_05G012233;J2O13_06G013288;J2O13_06G014581;J2O13_07G016161;J2O13_07G017277;J2O13_07G017407;J2O13_08G018033;J2O13_08G018184;J2O13_08G018538;J2O13_09G019938;J2O13_09G021719;J2O13_10G022773;J2O13_10G023432;J2O13_10G023457</t>
  </si>
  <si>
    <t>J2O13_06G013292;J2O13_09G019758;J2O13_09G019910;J2O13_10G022093</t>
  </si>
  <si>
    <t>J2O13_04G007699;J2O13_05G012687;J2O13_06G013206</t>
  </si>
  <si>
    <t>J2O13_04G007699;J2O13_06G013206;J2O13_10G022311</t>
  </si>
  <si>
    <t>J2O13_01G000223;J2O13_03G006449;J2O13_04G008162;J2O13_04G008241;J2O13_05G009486;J2O13_05G009773;J2O13_05G009794;J2O13_07G015102;J2O13_07G015134;J2O13_08G019460;J2O13_10G023661;J2O13_10G024292;J2O13_UnG024717</t>
  </si>
  <si>
    <t>J2O13_03G005839;J2O13_03G005936;J2O13_04G007894;J2O13_05G009467;J2O13_06G013159</t>
  </si>
  <si>
    <t>J2O13_01G002459;J2O13_02G004897;J2O13_03G006084;J2O13_04G007699;J2O13_04G007963;J2O13_04G008062</t>
  </si>
  <si>
    <t>J2O13_01G002459;J2O13_03G005845;J2O13_04G009170;J2O13_05G010105;J2O13_07G015632;J2O13_10G024380</t>
  </si>
  <si>
    <t>J2O13_05G009607;J2O13_05G009922</t>
  </si>
  <si>
    <t>GO:0004373</t>
  </si>
  <si>
    <t>glycogen (starch) synthase activity</t>
  </si>
  <si>
    <t>J2O13_01G002420;J2O13_05G009978</t>
  </si>
  <si>
    <t>GO:0004407</t>
  </si>
  <si>
    <t>histone deacetylase activity</t>
  </si>
  <si>
    <t>J2O13_07G014923;J2O13_09G020930</t>
  </si>
  <si>
    <t>J2O13_06G014841;J2O13_08G017825</t>
  </si>
  <si>
    <t>J2O13_03G006768;J2O13_05G011581</t>
  </si>
  <si>
    <t>J2O13_01G000885;J2O13_05G009794</t>
  </si>
  <si>
    <t>J2O13_06G013442;J2O13_07G015073</t>
  </si>
  <si>
    <t>J2O13_05G009507;J2O13_09G019900</t>
  </si>
  <si>
    <t>J2O13_06G014274;J2O13_09G019872</t>
  </si>
  <si>
    <t>GO:0046653</t>
  </si>
  <si>
    <t>tetrahydrofolate metabolic process</t>
  </si>
  <si>
    <t>J2O13_05G012049;J2O13_09G021467</t>
  </si>
  <si>
    <t>GO:1901527</t>
  </si>
  <si>
    <t>abscisic acid-activated signaling pathway involved in stomatal movement</t>
  </si>
  <si>
    <t>J2O13_09G019756;J2O13_09G021721</t>
  </si>
  <si>
    <t>J2O13_02G003892;J2O13_04G008469;J2O13_08G018756;J2O13_09G021633</t>
  </si>
  <si>
    <t>J2O13_01G002459;J2O13_05G010105;J2O13_07G015632;J2O13_10G024380</t>
  </si>
  <si>
    <t>J2O13_03G006265;J2O13_05G012571;J2O13_06G013395;J2O13_06G014332;J2O13_09G019964</t>
  </si>
  <si>
    <t>GO:0005983</t>
  </si>
  <si>
    <t>starch catabolic process</t>
  </si>
  <si>
    <t>J2O13_05G009670;J2O13_10G023034;J2O13_10G023893</t>
  </si>
  <si>
    <t>GO:0015386</t>
  </si>
  <si>
    <t>potassium:proton antiporter activity</t>
  </si>
  <si>
    <t>J2O13_01G000008;J2O13_01G000264;J2O13_05G009802</t>
  </si>
  <si>
    <t>J2O13_04G007068;J2O13_04G008133;J2O13_06G014506;J2O13_06G014808;J2O13_08G017704</t>
  </si>
  <si>
    <t>J2O13_03G005857;J2O13_03G006740;J2O13_05G010749;J2O13_06G014751;J2O13_10G023901</t>
  </si>
  <si>
    <t>J2O13_01G000264;J2O13_05G009546;J2O13_05G012248;J2O13_08G017700;J2O13_08G017715;J2O13_08G019504;J2O13_10G023372</t>
  </si>
  <si>
    <t>J2O13_02G003093;J2O13_02G003911</t>
  </si>
  <si>
    <t>GO:0006189</t>
  </si>
  <si>
    <t>'de novo' IMP biosynthetic process</t>
  </si>
  <si>
    <t>J2O13_05G012049;J2O13_07G017288</t>
  </si>
  <si>
    <t>GO:0009657</t>
  </si>
  <si>
    <t>plastid organization</t>
  </si>
  <si>
    <t>J2O13_02G003837;J2O13_05G009290</t>
  </si>
  <si>
    <t>GO:0019344</t>
  </si>
  <si>
    <t>cysteine biosynthetic process</t>
  </si>
  <si>
    <t>J2O13_05G009341;J2O13_09G020585</t>
  </si>
  <si>
    <t>GO:0030048</t>
  </si>
  <si>
    <t>actin filament-based movement</t>
  </si>
  <si>
    <t>J2O13_02G005024;J2O13_10G024139</t>
  </si>
  <si>
    <t>J2O13_08G019396;J2O13_10G022096</t>
  </si>
  <si>
    <t>J2O13_08G019539;J2O13_09G020037</t>
  </si>
  <si>
    <t>GO:0006353</t>
  </si>
  <si>
    <t>DNA-templated transcription termination</t>
  </si>
  <si>
    <t>J2O13_01G001063;J2O13_05G011452;J2O13_06G013725</t>
  </si>
  <si>
    <t>J2O13_07G015208;J2O13_07G017288;J2O13_10G022886</t>
  </si>
  <si>
    <t>J2O13_02G002925;J2O13_10G022736;J2O13_10G023479</t>
  </si>
  <si>
    <t>J2O13_01G000008;J2O13_01G000082;J2O13_01G000282;J2O13_01G000440;J2O13_01G000529;J2O13_01G000696;J2O13_01G000740;J2O13_01G000885;J2O13_01G000915;J2O13_01G001039;J2O13_01G001270;J2O13_01G001370;J2O13_01G001544;J2O13_01G001727;J2O13_01G002011;J2O13_01G002019;J2O13_01G002170;J2O13_01G002297;J2O13_01G002459;J2O13_01G002709;J2O13_01G002782;J2O13_01G002846;J2O13_02G003683;J2O13_02G003939;J2O13_02G003941;J2O13_02G004043;J2O13_02G004045;J2O13_02G004046;J2O13_02G004107;J2O13_02G004121;J2O13_02G004201;J2O13_02G004204;J2O13_02G004205;J2O13_02G004478;J2O13_02G004573;J2O13_02G004837;J2O13_02G004839;J2O13_02G005015;J2O13_02G005024;J2O13_03G005104;J2O13_03G005109;J2O13_03G005147;J2O13_03G005387;J2O13_03G005410;J2O13_03G005489;J2O13_03G005504;J2O13_03G005511;J2O13_03G005738;J2O13_03G005861;J2O13_03G005901;J2O13_03G005936;J2O13_03G005974;J2O13_03G006093;J2O13_03G006129;J2O13_03G006265;J2O13_03G006464;J2O13_03G006624;J2O13_03G006648;J2O13_03G006692;J2O13_03G006693;J2O13_03G006733;J2O13_03G006832;J2O13_03G006868;J2O13_03G006990;J2O13_04G007324;J2O13_04G007394;J2O13_04G007679;J2O13_04G007963;J2O13_04G008062;J2O13_04G008162;J2O13_04G008229;J2O13_04G008327;J2O13_04G008358;J2O13_04G008403;J2O13_04G008489;J2O13_04G008868;J2O13_04G009102;J2O13_05G009486;J2O13_05G009546;J2O13_05G009565;J2O13_05G009567;J2O13_05G009622;J2O13_05G009698;J2O13_05G009773;J2O13_05G009794;J2O13_05G009802;J2O13_05G009941;J2O13_05G010007;J2O13_05G010056;J2O13_05G010070;J2O13_05G010123;J2O13_05G010264;J2O13_05G010361;J2O13_05G010362;J2O13_05G010376;J2O13_05G010377;J2O13_05G010566;J2O13_05G010587;J2O13_05G010588;J2O13_05G010800;J2O13_05G010935;J2O13_05G011664;J2O13_05G011760;J2O13_05G011780;J2O13_05G011865;J2O13_05G011897;J2O13_05G011939;J2O13_05G011991;J2O13_05G012107;J2O13_05G012142;J2O13_05G012276;J2O13_05G012499;J2O13_05G012566;J2O13_05G012571;J2O13_06G012972;J2O13_06G013049;J2O13_06G013370;J2O13_06G013420;J2O13_06G013452;J2O13_06G013702;J2O13_06G014032;J2O13_06G014662;J2O13_06G014868;J2O13_07G014949;J2O13_07G015134;J2O13_07G015199;J2O13_07G015213;J2O13_07G015254;J2O13_07G015262;J2O13_07G016054;J2O13_07G016131;J2O13_07G016241;J2O13_07G016248;J2O13_07G016333;J2O13_07G016334;J2O13_07G016335;J2O13_07G016373;J2O13_07G016470;J2O13_07G016673;J2O13_07G016721;J2O13_07G016745;J2O13_07G016789;J2O13_07G016850;J2O13_07G016925;J2O13_07G017013;J2O13_07G017022;J2O13_07G017103;J2O13_07G017220;J2O13_07G017269;J2O13_07G017309;J2O13_07G017328;J2O13_08G017618;J2O13_08G017700;J2O13_08G018347;J2O13_08G018654;J2O13_08G018756;J2O13_08G018801;J2O13_08G018978;J2O13_08G019137;J2O13_08G019197;J2O13_08G019367;J2O13_08G019460;J2O13_08G019504;J2O13_08G019539;J2O13_09G019659;J2O13_09G019753;J2O13_09G019926;J2O13_09G019955;J2O13_09G020340;J2O13_09G020363;J2O13_09G020549;J2O13_09G020858;J2O13_09G020970;J2O13_09G021067;J2O13_09G021101;J2O13_09G021172;J2O13_09G021265;J2O13_09G021349;J2O13_09G021358;J2O13_09G021411;J2O13_09G021461;J2O13_09G021536;J2O13_09G021721;J2O13_09G021892;J2O13_10G022054;J2O13_10G022241;J2O13_10G022254;J2O13_10G022907;J2O13_10G023143;J2O13_10G023293;J2O13_10G023357;J2O13_10G023568;J2O13_10G023589;J2O13_10G023661;J2O13_10G023840;J2O13_10G023953;J2O13_10G024012;J2O13_10G024061;J2O13_10G024177;J2O13_10G024383;J2O13_10G024513</t>
  </si>
  <si>
    <t>J2O13_02G005024;J2O13_03G005109;J2O13_05G012403;J2O13_07G016470;J2O13_08G017457</t>
  </si>
  <si>
    <t>J2O13_04G007425;J2O13_08G019082;J2O13_09G019728;J2O13_10G023817</t>
  </si>
  <si>
    <t>J2O13_01G000467;J2O13_02G004574;J2O13_02G004943;J2O13_05G010351;J2O13_05G010750;J2O13_05G010778;J2O13_05G010800;J2O13_05G010856;J2O13_05G011951;J2O13_05G012362;J2O13_06G013482;J2O13_09G019984</t>
  </si>
  <si>
    <t>J2O13_01G000264;J2O13_03G005147;J2O13_05G010070;J2O13_05G010152;J2O13_07G017309;J2O13_08G017715</t>
  </si>
  <si>
    <t>J2O13_02G003757;J2O13_05G009497;J2O13_05G011612;J2O13_08G018756;J2O13_08G019290;J2O13_09G021362;J2O13_10G023432</t>
  </si>
  <si>
    <t>J2O13_01G001727;J2O13_02G004897;J2O13_05G009794;J2O13_05G009911;J2O13_05G010362</t>
  </si>
  <si>
    <t>J2O13_02G004767;J2O13_03G006086;J2O13_06G013159;J2O13_07G016912;J2O13_09G019728</t>
  </si>
  <si>
    <t>J2O13_01G001390;J2O13_01G001675;J2O13_01G002584;J2O13_02G004977;J2O13_07G015779</t>
  </si>
  <si>
    <t>GO:0016554</t>
  </si>
  <si>
    <t>cytidine to uridine editing</t>
  </si>
  <si>
    <t>J2O13_05G012751;J2O13_06G013453;J2O13_08G018688</t>
  </si>
  <si>
    <t>J2O13_02G004206;J2O13_05G009724;J2O13_10G022170</t>
  </si>
  <si>
    <t>J2O13_02G004478;J2O13_03G005698;J2O13_03G005839;J2O13_03G005861;J2O13_05G010264;J2O13_07G017373;J2O13_08G017618;J2O13_08G019214;J2O13_10G022605</t>
  </si>
  <si>
    <t>J2O13_02G003627;J2O13_02G003753;J2O13_03G005500;J2O13_04G007509;J2O13_05G009567;J2O13_05G012681;J2O13_07G015629;J2O13_07G016241;J2O13_09G020056</t>
  </si>
  <si>
    <t>J2O13_06G013053;J2O13_06G013584;J2O13_08G019396;J2O13_09G020930</t>
  </si>
  <si>
    <t>GO:0005484</t>
  </si>
  <si>
    <t>SNAP receptor activity</t>
  </si>
  <si>
    <t>J2O13_01G000136;J2O13_01G000529;J2O13_07G015218;J2O13_10G024061</t>
  </si>
  <si>
    <t>J2O13_01G000031;J2O13_05G009384;J2O13_05G009674;J2O13_09G021271</t>
  </si>
  <si>
    <t>GO:0009832</t>
  </si>
  <si>
    <t>plant-type cell wall biogenesis</t>
  </si>
  <si>
    <t>J2O13_03G006470;J2O13_05G010749;J2O13_05G011757;J2O13_06G014751</t>
  </si>
  <si>
    <t>J2O13_01G000715;J2O13_01G001727;J2O13_02G004897;J2O13_02G005024;J2O13_03G005489;J2O13_03G006464;J2O13_04G007209;J2O13_04G007699;J2O13_04G008348;J2O13_05G009724;J2O13_05G009773;J2O13_05G010362;J2O13_05G010935;J2O13_05G012571;J2O13_06G012950;J2O13_06G012955;J2O13_06G012957;J2O13_07G016333;J2O13_07G016334;J2O13_07G016335;J2O13_07G016673;J2O13_08G019460;J2O13_09G020205;J2O13_10G023661</t>
  </si>
  <si>
    <t>J2O13_05G009803;J2O13_10G022270</t>
  </si>
  <si>
    <t>GO:0006002</t>
  </si>
  <si>
    <t>fructose 6-phosphate metabolic process</t>
  </si>
  <si>
    <t>GO:0008198</t>
  </si>
  <si>
    <t>ferrous iron binding</t>
  </si>
  <si>
    <t>J2O13_06G013267;J2O13_10G023985</t>
  </si>
  <si>
    <t>GO:0009682</t>
  </si>
  <si>
    <t>induced systemic resistance</t>
  </si>
  <si>
    <t>J2O13_02G004837;J2O13_02G004839</t>
  </si>
  <si>
    <t>GO:0015986</t>
  </si>
  <si>
    <t>proton motive force-driven ATP synthesis</t>
  </si>
  <si>
    <t>J2O13_02G003796;J2O13_05G009349</t>
  </si>
  <si>
    <t>J2O13_02G003630;J2O13_05G011276</t>
  </si>
  <si>
    <t>J2O13_05G010645;J2O13_10G024575</t>
  </si>
  <si>
    <t>GO:0051026</t>
  </si>
  <si>
    <t>chiasma assembly</t>
  </si>
  <si>
    <t>J2O13_05G011603;J2O13_09G019758</t>
  </si>
  <si>
    <t>J2O13_02G004856;J2O13_07G016083</t>
  </si>
  <si>
    <t>GO:0003755</t>
  </si>
  <si>
    <t>peptidyl-prolyl cis-trans isomerase activity</t>
  </si>
  <si>
    <t>J2O13_01G000438;J2O13_03G006230;J2O13_04G008907;J2O13_05G011516;J2O13_10G023024;J2O13_10G024200</t>
  </si>
  <si>
    <t>J2O13_01G001158;J2O13_01G002858;J2O13_02G004980;J2O13_03G005272;J2O13_03G005522;J2O13_03G006088;J2O13_03G006265;J2O13_04G008213;J2O13_04G008229;J2O13_04G008479;J2O13_05G009539;J2O13_05G010280;J2O13_05G012110;J2O13_07G016894</t>
  </si>
  <si>
    <t>J2O13_01G001021;J2O13_01G001872;J2O13_05G010935;J2O13_08G017772;J2O13_10G022089;J2O13_10G022378</t>
  </si>
  <si>
    <t>J2O13_01G000715;J2O13_04G007904;J2O13_07G016470;J2O13_09G019659</t>
  </si>
  <si>
    <t>J2O13_03G005859;J2O13_07G016673;J2O13_09G019623;J2O13_10G023154</t>
  </si>
  <si>
    <t>J2O13_02G003708;J2O13_02G004167;J2O13_07G017187</t>
  </si>
  <si>
    <t>GO:0061077</t>
  </si>
  <si>
    <t>chaperone-mediated protein folding</t>
  </si>
  <si>
    <t>J2O13_04G007255;J2O13_06G013627;J2O13_10G023024</t>
  </si>
  <si>
    <t>J2O13_03G006470;J2O13_03G006473;J2O13_07G015563;J2O13_09G019926;J2O13_09G020749;J2O13_09G021520;J2O13_10G022310</t>
  </si>
  <si>
    <t>J2O13_01G000429;J2O13_01G000978;J2O13_01G001538;J2O13_02G003067;J2O13_03G006162;J2O13_04G008376;J2O13_05G011374</t>
  </si>
  <si>
    <t>J2O13_02G004220;J2O13_03G005176;J2O13_03G005738;J2O13_05G010600;J2O13_05G011514;J2O13_06G013324;J2O13_06G013695;J2O13_06G014689;J2O13_07G015452;J2O13_07G016248;J2O13_08G018756;J2O13_09G020346;J2O13_09G021067;J2O13_09G021223;J2O13_09G021362;J2O13_10G023276;J2O13_10G023589</t>
  </si>
  <si>
    <t>J2O13_04G008469;J2O13_05G010416;J2O13_06G012857;J2O13_06G013134;J2O13_08G018756;J2O13_09G021223</t>
  </si>
  <si>
    <t>J2O13_06G013292;J2O13_10G024334</t>
  </si>
  <si>
    <t>J2O13_04G009233;J2O13_09G019911</t>
  </si>
  <si>
    <t>GO:0006265</t>
  </si>
  <si>
    <t>DNA topological change</t>
  </si>
  <si>
    <t>J2O13_10G022093;J2O13_10G022919</t>
  </si>
  <si>
    <t>GO:0006414</t>
  </si>
  <si>
    <t>translational elongation</t>
  </si>
  <si>
    <t>J2O13_03G005901;J2O13_06G013134</t>
  </si>
  <si>
    <t>GO:0006744</t>
  </si>
  <si>
    <t>ubiquinone biosynthetic process</t>
  </si>
  <si>
    <t>J2O13_03G006209;J2O13_09G019872</t>
  </si>
  <si>
    <t>GO:0009514</t>
  </si>
  <si>
    <t>glyoxysome</t>
  </si>
  <si>
    <t>J2O13_05G012499;J2O13_08G017704</t>
  </si>
  <si>
    <t>GO:0032541</t>
  </si>
  <si>
    <t>cortical endoplasmic reticulum</t>
  </si>
  <si>
    <t>J2O13_10G022736;J2O13_10G023479</t>
  </si>
  <si>
    <t>J2O13_06G013386;J2O13_10G024123</t>
  </si>
  <si>
    <t>GO:0071470</t>
  </si>
  <si>
    <t>cellular response to osmotic stress</t>
  </si>
  <si>
    <t>J2O13_01G001370;J2O13_03G006449</t>
  </si>
  <si>
    <t>GO:0090332</t>
  </si>
  <si>
    <t>stomatal closure</t>
  </si>
  <si>
    <t>J2O13_03G005857;J2O13_05G010362</t>
  </si>
  <si>
    <t>J2O13_03G005093;J2O13_06G014541</t>
  </si>
  <si>
    <t>J2O13_01G000264;J2O13_02G003627;J2O13_05G009567;J2O13_10G022239</t>
  </si>
  <si>
    <t>J2O13_02G004806;J2O13_03G005176;J2O13_03G005433;J2O13_03G005657;J2O13_03G006093;J2O13_03G006666;J2O13_05G010749;J2O13_05G011345;J2O13_06G014751;J2O13_06G014868;J2O13_07G016244;J2O13_07G016248;J2O13_07G016596;J2O13_09G019756;J2O13_09G019955;J2O13_09G021362;J2O13_09G021633;J2O13_10G022064;J2O13_10G022773;J2O13_10G023146</t>
  </si>
  <si>
    <t>J2O13_02G003967;J2O13_02G004153;J2O13_02G004603;J2O13_02G004941;J2O13_02G005033;J2O13_03G005800;J2O13_03G006093;J2O13_03G006132;J2O13_05G010070;J2O13_05G011925;J2O13_05G012296;J2O13_06G013969;J2O13_08G018578;J2O13_08G019146;J2O13_08G019150;J2O13_09G020883;J2O13_09G021721;J2O13_10G024341</t>
  </si>
  <si>
    <t>GO:0000137</t>
  </si>
  <si>
    <t>Golgi cis cisterna</t>
  </si>
  <si>
    <t>J2O13_07G016052;J2O13_08G019446;J2O13_09G021414</t>
  </si>
  <si>
    <t>GO:0006006</t>
  </si>
  <si>
    <t>glucose metabolic process</t>
  </si>
  <si>
    <t>J2O13_02G005013;J2O13_03G005857;J2O13_07G017091</t>
  </si>
  <si>
    <t>GO:0006413</t>
  </si>
  <si>
    <t>translational initiation</t>
  </si>
  <si>
    <t>J2O13_04G007071;J2O13_05G011255;J2O13_06G014694</t>
  </si>
  <si>
    <t>J2O13_08G019276;J2O13_08G019396;J2O13_10G023459</t>
  </si>
  <si>
    <t>J2O13_02G004574;J2O13_06G014646;J2O13_09G019682</t>
  </si>
  <si>
    <t>J2O13_01G000264;J2O13_05G009546;J2O13_08G019504</t>
  </si>
  <si>
    <t>J2O13_01G002011;J2O13_02G003941;J2O13_06G013702</t>
  </si>
  <si>
    <t>J2O13_01G002297;J2O13_04G008257;J2O13_05G010007;J2O13_06G013370;J2O13_06G014858;J2O13_09G019758</t>
  </si>
  <si>
    <t>GO:0000413</t>
  </si>
  <si>
    <t>protein peptidyl-prolyl isomerization</t>
  </si>
  <si>
    <t>J2O13_01G000438;J2O13_03G006230;J2O13_05G011516;J2O13_10G023024</t>
  </si>
  <si>
    <t>J2O13_03G006768;J2O13_05G011581;J2O13_05G012687;J2O13_09G020156</t>
  </si>
  <si>
    <t>GO:0031201</t>
  </si>
  <si>
    <t>SNARE complex</t>
  </si>
  <si>
    <t>J2O13_02G003547;J2O13_02G003871;J2O13_05G011603;J2O13_08G017624;J2O13_09G021399</t>
  </si>
  <si>
    <t>J2O13_01G000031;J2O13_02G004206;J2O13_05G009674;J2O13_05G010070;J2O13_09G021271</t>
  </si>
  <si>
    <t>J2O13_02G003627;J2O13_03G006265;J2O13_04G008103;J2O13_09G020283;J2O13_10G023589</t>
  </si>
  <si>
    <t>GO:0005198</t>
  </si>
  <si>
    <t>structural molecule activity</t>
  </si>
  <si>
    <t>J2O13_01G001253;J2O13_03G005723;J2O13_03G007040</t>
  </si>
  <si>
    <t>J2O13_03G006093;J2O13_10G024383</t>
  </si>
  <si>
    <t>J2O13_10G023432;J2O13_10G023817</t>
  </si>
  <si>
    <t>J2O13_05G010665;J2O13_05G011516</t>
  </si>
  <si>
    <t>J2O13_04G007904;J2O13_05G010687</t>
  </si>
  <si>
    <t>J2O13_05G010665;J2O13_09G021742</t>
  </si>
  <si>
    <t>J2O13_04G007209;J2O13_05G010758</t>
  </si>
  <si>
    <t>GO:0050801</t>
  </si>
  <si>
    <t>ion homeostasis</t>
  </si>
  <si>
    <t>J2O13_05G009728;J2O13_06G013288;J2O13_09G020246;J2O13_10G023848</t>
  </si>
  <si>
    <t>J2O13_05G009497;J2O13_05G011562;J2O13_07G017360;J2O13_09G019835</t>
  </si>
  <si>
    <t>J2O13_03G006470;J2O13_03G006473;J2O13_07G015563;J2O13_09G019926;J2O13_09G020749;J2O13_09G021520</t>
  </si>
  <si>
    <t>J2O13_03G006473;J2O13_04G008152;J2O13_07G015563;J2O13_09G019926;J2O13_09G020749;J2O13_09G021520</t>
  </si>
  <si>
    <t>J2O13_05G010600;J2O13_05G011514;J2O13_05G012499;J2O13_07G015452;J2O13_07G016248;J2O13_09G021362;J2O13_10G022284;J2O13_10G022732</t>
  </si>
  <si>
    <t>J2O13_03G006086;J2O13_06G013702;J2O13_09G019728</t>
  </si>
  <si>
    <t>J2O13_02G004837;J2O13_02G004839;J2O13_03G005093;J2O13_06G014541;J2O13_09G019810;J2O13_10G022651</t>
  </si>
  <si>
    <t>J2O13_01G000264;J2O13_02G004404;J2O13_07G015193;J2O13_08G017457</t>
  </si>
  <si>
    <t>GO:0000103</t>
  </si>
  <si>
    <t>sulfate assimilation</t>
  </si>
  <si>
    <t>J2O13_02G004854;J2O13_05G009341</t>
  </si>
  <si>
    <t>GO:0004175</t>
  </si>
  <si>
    <t>endopeptidase activity</t>
  </si>
  <si>
    <t>J2O13_05G010778;J2O13_06G013482</t>
  </si>
  <si>
    <t>GO:0009231</t>
  </si>
  <si>
    <t>riboflavin biosynthetic process</t>
  </si>
  <si>
    <t>J2O13_03G006992;J2O13_05G012427</t>
  </si>
  <si>
    <t>J2O13_07G014981;J2O13_10G022351</t>
  </si>
  <si>
    <t>J2O13_05G012403;J2O13_09G021411</t>
  </si>
  <si>
    <t>GO:0010256</t>
  </si>
  <si>
    <t>endomembrane system organization</t>
  </si>
  <si>
    <t>J2O13_08G017946;J2O13_10G024272</t>
  </si>
  <si>
    <t>GO:0016575</t>
  </si>
  <si>
    <t>histone deacetylation</t>
  </si>
  <si>
    <t>J2O13_06G013584;J2O13_09G020930</t>
  </si>
  <si>
    <t>J2O13_05G010056;J2O13_09G020549</t>
  </si>
  <si>
    <t>J2O13_01G001675;J2O13_02G004589</t>
  </si>
  <si>
    <t>J2O13_01G000135;J2O13_04G007437;J2O13_05G010205;J2O13_05G011488;J2O13_06G014270;J2O13_07G015266;J2O13_08G019396;J2O13_09G019574;J2O13_09G021997</t>
  </si>
  <si>
    <t>J2O13_01G002019;J2O13_01G002777;J2O13_03G006666;J2O13_05G009876;J2O13_05G010189;J2O13_05G010566;J2O13_05G012110;J2O13_07G015786;J2O13_08G019197;J2O13_09G021892</t>
  </si>
  <si>
    <t>J2O13_03G006086;J2O13_05G010853;J2O13_07G017323</t>
  </si>
  <si>
    <t>GO:0030544</t>
  </si>
  <si>
    <t>Hsp70 protein binding</t>
  </si>
  <si>
    <t>J2O13_05G010566;J2O13_07G015786;J2O13_09G021892</t>
  </si>
  <si>
    <t>J2O13_03G006666;J2O13_05G011857;J2O13_08G019197</t>
  </si>
  <si>
    <t>J2O13_01G001727;J2O13_02G003627;J2O13_03G005713;J2O13_03G005786;J2O13_03G006464;J2O13_04G007904;J2O13_05G009854;J2O13_05G009901;J2O13_05G012561;J2O13_06G012972;J2O13_09G021184;J2O13_09G021838;J2O13_10G024424</t>
  </si>
  <si>
    <t>J2O13_02G004235;J2O13_02G004977;J2O13_08G017957;J2O13_10G022251</t>
  </si>
  <si>
    <t>J2O13_01G000719;J2O13_02G003638;J2O13_04G007289;J2O13_08G017807</t>
  </si>
  <si>
    <t>J2O13_01G002019;J2O13_01G002777;J2O13_05G009401;J2O13_05G009876;J2O13_05G010566;J2O13_05G011516;J2O13_05G012110;J2O13_05G012693;J2O13_07G015786;J2O13_09G021892</t>
  </si>
  <si>
    <t>J2O13_01G000850;J2O13_01G000978;J2O13_03G005488;J2O13_04G008561;J2O13_06G013733;J2O13_06G014270;J2O13_08G017457;J2O13_09G019574;J2O13_09G021362</t>
  </si>
  <si>
    <t>J2O13_01G000031;J2O13_01G000082;J2O13_01G000135;J2O13_01G000152;J2O13_01G000209;J2O13_01G000594;J2O13_01G001051;J2O13_01G001074;J2O13_01G001082;J2O13_01G001623;J2O13_01G001707;J2O13_01G001818;J2O13_01G001998;J2O13_01G002584;J2O13_01G002662;J2O13_01G002821;J2O13_02G002925;J2O13_02G003282;J2O13_02G003911;J2O13_02G004206;J2O13_02G004300;J2O13_02G004301;J2O13_02G004322;J2O13_02G004373;J2O13_02G004478;J2O13_02G004767;J2O13_02G004965;J2O13_03G005375;J2O13_03G005414;J2O13_03G005513;J2O13_03G005698;J2O13_03G005786;J2O13_03G005792;J2O13_03G005824;J2O13_03G005894;J2O13_03G005935;J2O13_03G006084;J2O13_03G006313;J2O13_03G006868;J2O13_03G006990;J2O13_03G006992;J2O13_03G007058;J2O13_04G007209;J2O13_04G007394;J2O13_04G007509;J2O13_04G007842;J2O13_04G007867;J2O13_04G008057;J2O13_04G008108;J2O13_04G008127;J2O13_04G008153;J2O13_04G008348;J2O13_04G008736;J2O13_04G008756;J2O13_04G009233;J2O13_05G009290;J2O13_05G009341;J2O13_05G009402;J2O13_05G009518;J2O13_05G009539;J2O13_05G009579;J2O13_05G009674;J2O13_05G009676;J2O13_05G009698;J2O13_05G009728;J2O13_05G009730;J2O13_05G010264;J2O13_05G010346;J2O13_05G010361;J2O13_05G010392;J2O13_05G010566;J2O13_05G010600;J2O13_05G010645;J2O13_05G010758;J2O13_05G010832;J2O13_05G010894;J2O13_05G010935;J2O13_05G011070;J2O13_05G011152;J2O13_05G011514;J2O13_05G011612;J2O13_05G011627;J2O13_05G011630;J2O13_05G011644;J2O13_05G011927;J2O13_05G012138;J2O13_05G012355;J2O13_05G012473;J2O13_05G012499;J2O13_05G012681;J2O13_05G012687;J2O13_05G012696;J2O13_06G012808;J2O13_06G012853;J2O13_06G013053;J2O13_06G013107;J2O13_06G013159;J2O13_06G013352;J2O13_06G013397;J2O13_06G013398;J2O13_06G013461;J2O13_06G013493;J2O13_06G013638;J2O13_06G013695;J2O13_06G014544;J2O13_06G014581;J2O13_06G014689;J2O13_06G014720;J2O13_06G014890;J2O13_07G015098;J2O13_07G015107;J2O13_07G015329;J2O13_07G015452;J2O13_07G015786;J2O13_07G016248;J2O13_07G016612;J2O13_07G016613;J2O13_07G016645;J2O13_07G016711;J2O13_07G016834;J2O13_07G016952;J2O13_07G017085;J2O13_07G017090;J2O13_07G017288;J2O13_08G017455;J2O13_08G017618;J2O13_08G017730;J2O13_08G017811;J2O13_08G018347;J2O13_08G018445;J2O13_08G018985;J2O13_08G019093;J2O13_08G019290;J2O13_08G019335;J2O13_08G019377;J2O13_08G019386;J2O13_08G019429;J2O13_09G019758;J2O13_09G019865;J2O13_09G019911;J2O13_09G019938;J2O13_09G020156;J2O13_09G020205;J2O13_09G020418;J2O13_09G020480;J2O13_09G020585;J2O13_09G020804;J2O13_09G020908;J2O13_09G021184;J2O13_09G021271;J2O13_09G021349;J2O13_09G021362;J2O13_09G021690;J2O13_09G021814;J2O13_09G021892;J2O13_09G021997;J2O13_10G022082;J2O13_10G022239;J2O13_10G022311;J2O13_10G022349;J2O13_10G022886;J2O13_10G022919;J2O13_10G023044;J2O13_10G023143;J2O13_10G023276;J2O13_10G023506;J2O13_10G023959;J2O13_10G024006;J2O13_10G024177;J2O13_10G024395;J2O13_10G024429;J2O13_10G024575</t>
  </si>
  <si>
    <t>J2O13_06G014198;J2O13_07G015175</t>
  </si>
  <si>
    <t>J2O13_01G000467;J2O13_05G010800</t>
  </si>
  <si>
    <t>J2O13_01G002821;J2O13_06G013942</t>
  </si>
  <si>
    <t>J2O13_01G000738;J2O13_08G019396</t>
  </si>
  <si>
    <t>GO:0010074</t>
  </si>
  <si>
    <t>maintenance of meristem identity</t>
  </si>
  <si>
    <t>J2O13_01G002011;J2O13_02G003941</t>
  </si>
  <si>
    <t>GO:0047484</t>
  </si>
  <si>
    <t>regulation of response to osmotic stress</t>
  </si>
  <si>
    <t>J2O13_04G008348;J2O13_05G010482</t>
  </si>
  <si>
    <t>J2O13_06G013397;J2O13_06G013398</t>
  </si>
  <si>
    <t>J2O13_01G001727;J2O13_05G011152</t>
  </si>
  <si>
    <t>GO:0000012</t>
  </si>
  <si>
    <t>single strand break repair</t>
  </si>
  <si>
    <t>GO:0000179</t>
  </si>
  <si>
    <t>rRNA (adenine-N6,N6-)-dimethyltransferase activity</t>
  </si>
  <si>
    <t>GO:0000394</t>
  </si>
  <si>
    <t>RNA splicing, via endonucleolytic cleavage and ligation</t>
  </si>
  <si>
    <t>GO:0001678</t>
  </si>
  <si>
    <t>cellular glucose homeostasis</t>
  </si>
  <si>
    <t>GO:0001727</t>
  </si>
  <si>
    <t>lipid kinase activity</t>
  </si>
  <si>
    <t>GO:0004020</t>
  </si>
  <si>
    <t>adenylylsulfate kinase activity</t>
  </si>
  <si>
    <t>GO:0004049</t>
  </si>
  <si>
    <t>anthranilate synthase activity</t>
  </si>
  <si>
    <t>GO:0004534</t>
  </si>
  <si>
    <t>5'-3' exoribonuclease activity</t>
  </si>
  <si>
    <t>GO:0004749</t>
  </si>
  <si>
    <t>ribose phosphate diphosphokinase activity</t>
  </si>
  <si>
    <t>GO:0004825</t>
  </si>
  <si>
    <t>methionine-tRNA ligase activity</t>
  </si>
  <si>
    <t>GO:0005536</t>
  </si>
  <si>
    <t>glucose binding</t>
  </si>
  <si>
    <t>GO:0006272</t>
  </si>
  <si>
    <t>leading strand elongation</t>
  </si>
  <si>
    <t>GO:0006415</t>
  </si>
  <si>
    <t>translational termination</t>
  </si>
  <si>
    <t>GO:0006431</t>
  </si>
  <si>
    <t>methionyl-tRNA aminoacylation</t>
  </si>
  <si>
    <t>GO:0007021</t>
  </si>
  <si>
    <t>tubulin complex assembly</t>
  </si>
  <si>
    <t>GO:0008239</t>
  </si>
  <si>
    <t>dipeptidyl-peptidase activity</t>
  </si>
  <si>
    <t>GO:0008728</t>
  </si>
  <si>
    <t>GTP diphosphokinase activity</t>
  </si>
  <si>
    <t>GO:0008948</t>
  </si>
  <si>
    <t>oxaloacetate decarboxylase activity</t>
  </si>
  <si>
    <t>GO:0009245</t>
  </si>
  <si>
    <t>lipid A biosynthetic process</t>
  </si>
  <si>
    <t>GO:0009249</t>
  </si>
  <si>
    <t>protein lipoylation</t>
  </si>
  <si>
    <t>GO:0009538</t>
  </si>
  <si>
    <t>photosystem I reaction center</t>
  </si>
  <si>
    <t>GO:0009986</t>
  </si>
  <si>
    <t>cell surface</t>
  </si>
  <si>
    <t>GO:0010011</t>
  </si>
  <si>
    <t>auxin binding</t>
  </si>
  <si>
    <t>GO:0010113</t>
  </si>
  <si>
    <t>negative regulation of systemic acquired resistance</t>
  </si>
  <si>
    <t>GO:0010148</t>
  </si>
  <si>
    <t>transpiration</t>
  </si>
  <si>
    <t>GO:0010230</t>
  </si>
  <si>
    <t>alternative respiration</t>
  </si>
  <si>
    <t>GO:0010277</t>
  </si>
  <si>
    <t>chlorophyllide a oxygenase [overall] activity</t>
  </si>
  <si>
    <t>GO:0010321</t>
  </si>
  <si>
    <t>regulation of vegetative phase change</t>
  </si>
  <si>
    <t>GO:0010387</t>
  </si>
  <si>
    <t>COP9 signalosome assembly</t>
  </si>
  <si>
    <t>GO:0010447</t>
  </si>
  <si>
    <t>response to acidic pH</t>
  </si>
  <si>
    <t>GO:0010541</t>
  </si>
  <si>
    <t>acropetal auxin transport</t>
  </si>
  <si>
    <t>GO:0015713</t>
  </si>
  <si>
    <t>phosphoglycerate transmembrane transport</t>
  </si>
  <si>
    <t>GO:0016580</t>
  </si>
  <si>
    <t>Sin3 complex</t>
  </si>
  <si>
    <t>GO:0016773</t>
  </si>
  <si>
    <t>phosphotransferase activity, alcohol group as acceptor</t>
  </si>
  <si>
    <t>GO:0019284</t>
  </si>
  <si>
    <t>L-methionine salvage from S-adenosylmethionine</t>
  </si>
  <si>
    <t>GO:0019864</t>
  </si>
  <si>
    <t>IgG binding</t>
  </si>
  <si>
    <t>GO:0030775</t>
  </si>
  <si>
    <t>glucuronoxylan 4-O-methyltransferase activity</t>
  </si>
  <si>
    <t>GO:0033036</t>
  </si>
  <si>
    <t>macromolecule localization</t>
  </si>
  <si>
    <t>GO:0033356</t>
  </si>
  <si>
    <t>UDP-L-arabinose metabolic process</t>
  </si>
  <si>
    <t>GO:0045486</t>
  </si>
  <si>
    <t>naringenin 3-dioxygenase activity</t>
  </si>
  <si>
    <t>GO:0046975</t>
  </si>
  <si>
    <t>histone H3K36 methyltransferase activity</t>
  </si>
  <si>
    <t>GO:0048487</t>
  </si>
  <si>
    <t>beta-tubulin binding</t>
  </si>
  <si>
    <t>GO:0050308</t>
  </si>
  <si>
    <t>sugar-phosphatase activity</t>
  </si>
  <si>
    <t>GO:0052543</t>
  </si>
  <si>
    <t>callose deposition in cell wall</t>
  </si>
  <si>
    <t>GO:0052746</t>
  </si>
  <si>
    <t>inositol phosphorylation</t>
  </si>
  <si>
    <t>GO:0052793</t>
  </si>
  <si>
    <t>pectin acetylesterase activity</t>
  </si>
  <si>
    <t>GO:0055069</t>
  </si>
  <si>
    <t>zinc ion homeostasis</t>
  </si>
  <si>
    <t>GO:0055070</t>
  </si>
  <si>
    <t>copper ion homeostasis</t>
  </si>
  <si>
    <t>GO:0060149</t>
  </si>
  <si>
    <t>negative regulation of post-transcriptional gene silencing</t>
  </si>
  <si>
    <t>GO:0061025</t>
  </si>
  <si>
    <t>membrane fusion</t>
  </si>
  <si>
    <t>GO:0070125</t>
  </si>
  <si>
    <t>mitochondrial translational elongation</t>
  </si>
  <si>
    <t>GO:0070814</t>
  </si>
  <si>
    <t>hydrogen sulfide biosynthetic process</t>
  </si>
  <si>
    <t>GO:0071452</t>
  </si>
  <si>
    <t>cellular response to singlet oxygen</t>
  </si>
  <si>
    <t>GO:0071897</t>
  </si>
  <si>
    <t>DNA biosynthetic process</t>
  </si>
  <si>
    <t>GO:0080060</t>
  </si>
  <si>
    <t>integument development</t>
  </si>
  <si>
    <t>GO:0080143</t>
  </si>
  <si>
    <t>regulation of amino acid export</t>
  </si>
  <si>
    <t>GO:0090448</t>
  </si>
  <si>
    <t>glucosinolate:proton symporter activity</t>
  </si>
  <si>
    <t>GO:0090449</t>
  </si>
  <si>
    <t>phloem glucosinolate loading</t>
  </si>
  <si>
    <t>GO:0102387</t>
  </si>
  <si>
    <t>2-phenylethanol acetyltransferase activity</t>
  </si>
  <si>
    <t>GO:0102720</t>
  </si>
  <si>
    <t>acetyl-coenzyme A:acetyl alcohol acetyltransferase activity</t>
  </si>
  <si>
    <t>GO:0140581</t>
  </si>
  <si>
    <t>P-type monovalent copper transporter activity</t>
  </si>
  <si>
    <t>GO:1901349</t>
  </si>
  <si>
    <t>glucosinolate transport</t>
  </si>
  <si>
    <t>GO:1902289</t>
  </si>
  <si>
    <t>negative regulation of defense response to oomycetes</t>
  </si>
  <si>
    <t>GO:1902395</t>
  </si>
  <si>
    <t>regulation of 1-deoxy-D-xylulose-5-phosphate synthase activity</t>
  </si>
  <si>
    <t>GO:1904143</t>
  </si>
  <si>
    <t>positive regulation of carotenoid biosynthetic process</t>
  </si>
  <si>
    <t>GO:1904350</t>
  </si>
  <si>
    <t>regulation of protein catabolic process in the vacuole</t>
  </si>
  <si>
    <t>GO:1990136</t>
  </si>
  <si>
    <t>linoleate 9S-lipoxygenase activity</t>
  </si>
  <si>
    <t>GO:1990542</t>
  </si>
  <si>
    <t>mitochondrial transmembrane transport</t>
  </si>
  <si>
    <t>J2O13_02G003627;J2O13_03G005500;J2O13_09G021686</t>
  </si>
  <si>
    <t>J2O13_01G000915;J2O13_01G001074;J2O13_02G003436;J2O13_02G003811;J2O13_03G005109;J2O13_03G005387;J2O13_03G005928;J2O13_03G006464;J2O13_04G007124;J2O13_04G007963;J2O13_04G008162;J2O13_04G008389;J2O13_06G013221;J2O13_06G013542;J2O13_06G014032;J2O13_07G014924;J2O13_09G020346;J2O13_09G021223;J2O13_09G021473</t>
  </si>
  <si>
    <t>J2O13_01G001884;J2O13_03G005572;J2O13_05G010387;J2O13_05G011991;J2O13_09G021706;J2O13_10G022773</t>
  </si>
  <si>
    <t>J2O13_05G011603;J2O13_05G012696;J2O13_08G017624;J2O13_09G021399</t>
  </si>
  <si>
    <t>J2O13_01G001063;J2O13_05G011452;J2O13_06G013725;J2O13_07G015779</t>
  </si>
  <si>
    <t>J2O13_01G002170;J2O13_04G008335;J2O13_05G011484;J2O13_09G021769</t>
  </si>
  <si>
    <t>J2O13_01G002777;J2O13_03G006768;J2O13_05G009876;J2O13_05G012110;J2O13_05G012499;J2O13_08G018756;J2O13_09G021223</t>
  </si>
  <si>
    <t>J2O13_04G007963;J2O13_04G008162;J2O13_06G014032</t>
  </si>
  <si>
    <t>GO:0006906</t>
  </si>
  <si>
    <t>vesicle fusion</t>
  </si>
  <si>
    <t>J2O13_01G000136;J2O13_07G015218;J2O13_10G024061</t>
  </si>
  <si>
    <t>J2O13_02G003627;J2O13_06G014858;J2O13_10G023901</t>
  </si>
  <si>
    <t>J2O13_01G001218;J2O13_05G010776;J2O13_09G019911</t>
  </si>
  <si>
    <t>J2O13_02G004306;J2O13_02G004404;J2O13_03G005136;J2O13_03G005255;J2O13_03G005859;J2O13_03G006455;J2O13_05G009384;J2O13_05G010376;J2O13_05G010377</t>
  </si>
  <si>
    <t>GO:0009704</t>
  </si>
  <si>
    <t>de-etiolation</t>
  </si>
  <si>
    <t>J2O13_01G000449;J2O13_08G018225</t>
  </si>
  <si>
    <t>J2O13_06G014858;J2O13_09G021461</t>
  </si>
  <si>
    <t>GO:0015095</t>
  </si>
  <si>
    <t>magnesium ion transmembrane transporter activity</t>
  </si>
  <si>
    <t>J2O13_05G010152;J2O13_07G015073</t>
  </si>
  <si>
    <t>GO:0030674</t>
  </si>
  <si>
    <t>protein-macromolecule adaptor activity</t>
  </si>
  <si>
    <t>J2O13_03G005433;J2O13_10G022064</t>
  </si>
  <si>
    <t>J2O13_01G000984;J2O13_01G001158;J2O13_01G002711;J2O13_01G002858;J2O13_03G005657;J2O13_03G006470;J2O13_03G006473;J2O13_04G007124;J2O13_04G008133;J2O13_04G008153;J2O13_04G008379;J2O13_04G008791;J2O13_05G010351;J2O13_05G011345;J2O13_05G012553;J2O13_06G012857;J2O13_06G013098;J2O13_06G014858;J2O13_07G015563;J2O13_07G016244;J2O13_07G016511;J2O13_07G016596;J2O13_07G017269;J2O13_08G017772;J2O13_09G019926;J2O13_09G020749;J2O13_09G021520;J2O13_10G023432;J2O13_10G024442</t>
  </si>
  <si>
    <t>GO:1900865</t>
  </si>
  <si>
    <t>chloroplast RNA modification</t>
  </si>
  <si>
    <t>J2O13_04G007232;J2O13_05G010687;J2O13_05G012751</t>
  </si>
  <si>
    <t>GO:0000275</t>
  </si>
  <si>
    <t>mitochondrial proton-transporting ATP synthase complex, catalytic sector F(1)</t>
  </si>
  <si>
    <t>GO:0000956</t>
  </si>
  <si>
    <t>nuclear-transcribed mRNA catabolic process</t>
  </si>
  <si>
    <t>GO:0003886</t>
  </si>
  <si>
    <t>DNA (cytosine-5-)-methyltransferase activity</t>
  </si>
  <si>
    <t>GO:0003953</t>
  </si>
  <si>
    <t>NAD+ nucleosidase activity</t>
  </si>
  <si>
    <t>GO:0004024</t>
  </si>
  <si>
    <t>alcohol dehydrogenase activity, zinc-dependent</t>
  </si>
  <si>
    <t>GO:0004372</t>
  </si>
  <si>
    <t>glycine hydroxymethyltransferase activity</t>
  </si>
  <si>
    <t>GO:0004784</t>
  </si>
  <si>
    <t>superoxide dismutase activity</t>
  </si>
  <si>
    <t>GO:0005355</t>
  </si>
  <si>
    <t>glucose transmembrane transporter activity</t>
  </si>
  <si>
    <t>GO:0005664</t>
  </si>
  <si>
    <t>nuclear origin of replication recognition complex</t>
  </si>
  <si>
    <t>GO:0006572</t>
  </si>
  <si>
    <t>tyrosine catabolic process</t>
  </si>
  <si>
    <t>GO:0006996</t>
  </si>
  <si>
    <t>organelle organization</t>
  </si>
  <si>
    <t>GO:0008417</t>
  </si>
  <si>
    <t>fucosyltransferase activity</t>
  </si>
  <si>
    <t>GO:0008615</t>
  </si>
  <si>
    <t>pyridoxine biosynthetic process</t>
  </si>
  <si>
    <t>GO:0009247</t>
  </si>
  <si>
    <t>glycolipid biosynthetic process</t>
  </si>
  <si>
    <t>GO:0009298</t>
  </si>
  <si>
    <t>GDP-mannose biosynthetic process</t>
  </si>
  <si>
    <t>GO:0009558</t>
  </si>
  <si>
    <t>embryo sac cellularization</t>
  </si>
  <si>
    <t>GO:0009650</t>
  </si>
  <si>
    <t>UV protection</t>
  </si>
  <si>
    <t>GO:0009840</t>
  </si>
  <si>
    <t>chloroplastic endopeptidase Clp complex</t>
  </si>
  <si>
    <t>GO:0010050</t>
  </si>
  <si>
    <t>vegetative phase change</t>
  </si>
  <si>
    <t>GO:0010265</t>
  </si>
  <si>
    <t>SCF complex assembly</t>
  </si>
  <si>
    <t>GO:0010322</t>
  </si>
  <si>
    <t>regulation of isopentenyl diphosphate biosynthetic process, methylerythritol 4-phosphate pathway</t>
  </si>
  <si>
    <t>GO:0010439</t>
  </si>
  <si>
    <t>regulation of glucosinolate biosynthetic process</t>
  </si>
  <si>
    <t>GO:0012510</t>
  </si>
  <si>
    <t>trans-Golgi network transport vesicle membrane</t>
  </si>
  <si>
    <t>GO:0015120</t>
  </si>
  <si>
    <t>phosphoglycerate transmembrane transporter activity</t>
  </si>
  <si>
    <t>GO:0016149</t>
  </si>
  <si>
    <t>translation release factor activity, codon specific</t>
  </si>
  <si>
    <t>GO:0019264</t>
  </si>
  <si>
    <t>glycine biosynthetic process from serine</t>
  </si>
  <si>
    <t>GO:0019288</t>
  </si>
  <si>
    <t>isopentenyl diphosphate biosynthetic process, methylerythritol 4-phosphate pathway</t>
  </si>
  <si>
    <t>GO:0019375</t>
  </si>
  <si>
    <t>galactolipid biosynthetic process</t>
  </si>
  <si>
    <t>GO:0030267</t>
  </si>
  <si>
    <t>glyoxylate reductase (NADP+) activity</t>
  </si>
  <si>
    <t>GO:0030705</t>
  </si>
  <si>
    <t>cytoskeleton-dependent intracellular transport</t>
  </si>
  <si>
    <t>GO:0031167</t>
  </si>
  <si>
    <t>rRNA methylation</t>
  </si>
  <si>
    <t>GO:0031543</t>
  </si>
  <si>
    <t>peptidyl-proline dioxygenase activity</t>
  </si>
  <si>
    <t>GO:0036211</t>
  </si>
  <si>
    <t>protein modification process</t>
  </si>
  <si>
    <t>GO:0043169</t>
  </si>
  <si>
    <t>cation binding</t>
  </si>
  <si>
    <t>GO:0043171</t>
  </si>
  <si>
    <t>peptide catabolic process</t>
  </si>
  <si>
    <t>GO:0045040</t>
  </si>
  <si>
    <t>protein insertion into mitochondrial outer membrane</t>
  </si>
  <si>
    <t>GO:0046655</t>
  </si>
  <si>
    <t>folic acid metabolic process</t>
  </si>
  <si>
    <t>GO:0046685</t>
  </si>
  <si>
    <t>response to arsenic-containing substance</t>
  </si>
  <si>
    <t>GO:0046739</t>
  </si>
  <si>
    <t>transport of virus in multicellular host</t>
  </si>
  <si>
    <t>GO:0048578</t>
  </si>
  <si>
    <t>positive regulation of long-day photoperiodism, flowering</t>
  </si>
  <si>
    <t>GO:0051276</t>
  </si>
  <si>
    <t>chromosome organization</t>
  </si>
  <si>
    <t>GO:0051538</t>
  </si>
  <si>
    <t>3 iron, 4 sulfur cluster binding</t>
  </si>
  <si>
    <t>GO:0051903</t>
  </si>
  <si>
    <t>S-(hydroxymethyl)glutathione dehydrogenase activity</t>
  </si>
  <si>
    <t>GO:0062047</t>
  </si>
  <si>
    <t>pipecolic acid N-hydroxylase</t>
  </si>
  <si>
    <t>GO:0062091</t>
  </si>
  <si>
    <t>Ycf2/FtsHi complex</t>
  </si>
  <si>
    <t>GO:0070182</t>
  </si>
  <si>
    <t>DNA polymerase binding</t>
  </si>
  <si>
    <t>GO:0070370</t>
  </si>
  <si>
    <t>cellular heat acclimation</t>
  </si>
  <si>
    <t>GO:0070905</t>
  </si>
  <si>
    <t>serine binding</t>
  </si>
  <si>
    <t>GO:0071558</t>
  </si>
  <si>
    <t>histone H3K27me2/H3K27me3 demethylase activity</t>
  </si>
  <si>
    <t>GO:0071629</t>
  </si>
  <si>
    <t>cytoplasm protein quality control by the ubiquitin-proteasome system</t>
  </si>
  <si>
    <t>GO:0090691</t>
  </si>
  <si>
    <t>formation of plant organ boundary</t>
  </si>
  <si>
    <t>GO:0140021</t>
  </si>
  <si>
    <t>mitochondrial ADP transmembrane transport</t>
  </si>
  <si>
    <t>GO:1990544</t>
  </si>
  <si>
    <t>mitochondrial ATP transmembrane transport</t>
  </si>
  <si>
    <t>GO:1990837</t>
  </si>
  <si>
    <t>sequence-specific double-stranded DNA binding</t>
  </si>
  <si>
    <t>J2O13_03G006086;J2O13_04G007894;J2O13_04G007933;J2O13_05G010853;J2O13_05G011152;J2O13_05G012499;J2O13_06G014274;J2O13_07G016196;J2O13_07G016248;J2O13_09G019610;J2O13_09G019728;J2O13_09G019853;J2O13_09G020564;J2O13_10G022089;J2O13_10G024442</t>
  </si>
  <si>
    <t>J2O13_04G009084;J2O13_08G017700</t>
  </si>
  <si>
    <t>J2O13_03G006666;J2O13_08G019197</t>
  </si>
  <si>
    <t>J2O13_05G009467;J2O13_07G016470</t>
  </si>
  <si>
    <t>J2O13_03G005857;J2O13_03G005974</t>
  </si>
  <si>
    <t>J2O13_02G004404;J2O13_03G005859;J2O13_09G019697</t>
  </si>
  <si>
    <t>J2O13_01G001382;J2O13_05G009854;J2O13_09G021358</t>
  </si>
  <si>
    <t>J2O13_05G011603;J2O13_08G017624;J2O13_09G021399</t>
  </si>
  <si>
    <t>J2O13_03G006265;J2O13_05G012142;J2O13_10G023568</t>
  </si>
  <si>
    <t>J2O13_01G002777;J2O13_05G009876;J2O13_05G012110</t>
  </si>
  <si>
    <t>J2O13_01G001727;J2O13_04G007859;J2O13_05G009724;J2O13_05G012499;J2O13_05G012736;J2O13_09G020156;J2O13_10G024292</t>
  </si>
  <si>
    <t>J2O13_02G005052;J2O13_04G007894;J2O13_04G008335;J2O13_05G012142;J2O13_06G013702;J2O13_10G023568</t>
  </si>
  <si>
    <t>J2O13_01G002777;J2O13_02G003708;J2O13_02G004404;J2O13_03G005738;J2O13_03G006265;J2O13_03G006666;J2O13_04G008213;J2O13_05G009876;J2O13_05G010566;J2O13_05G011857;J2O13_05G012110;J2O13_07G015786;J2O13_08G019197;J2O13_09G021892;J2O13_10G023280</t>
  </si>
  <si>
    <t>J2O13_01G000209;J2O13_01G000594;J2O13_01G000715;J2O13_01G002815;J2O13_04G007209;J2O13_04G007437;J2O13_04G007509;J2O13_04G007904;J2O13_05G010503;J2O13_05G011927;J2O13_06G014270;J2O13_07G017220;J2O13_08G019338;J2O13_08G019396;J2O13_09G019574;J2O13_10G023297;J2O13_10G023959</t>
  </si>
  <si>
    <t>J2O13_01G000850;J2O13_01G002482;J2O13_07G016845;J2O13_08G017882;J2O13_08G019276;J2O13_08G019387;J2O13_09G021112;J2O13_09G021690;J2O13_10G023459</t>
  </si>
  <si>
    <t>J2O13_04G008335;J2O13_05G011991</t>
  </si>
  <si>
    <t>J2O13_07G016470;J2O13_10G024513</t>
  </si>
  <si>
    <t>J2O13_05G012693;J2O13_09G021411</t>
  </si>
  <si>
    <t>GO:0015743</t>
  </si>
  <si>
    <t>malate transport</t>
  </si>
  <si>
    <t>J2O13_05G009794;J2O13_10G023146</t>
  </si>
  <si>
    <t>J2O13_05G009730;J2O13_07G016952</t>
  </si>
  <si>
    <t>J2O13_02G003708;J2O13_10G024077</t>
  </si>
  <si>
    <t>GO:0048278</t>
  </si>
  <si>
    <t>vesicle docking</t>
  </si>
  <si>
    <t>J2O13_07G015218;J2O13_10G024061</t>
  </si>
  <si>
    <t>GO:0051453</t>
  </si>
  <si>
    <t>regulation of intracellular pH</t>
  </si>
  <si>
    <t>J2O13_01G000082;J2O13_10G023146</t>
  </si>
  <si>
    <t>J2O13_01G001109;J2O13_06G014005</t>
  </si>
  <si>
    <t>J2O13_05G010502;J2O13_08G019108</t>
  </si>
  <si>
    <t>J2O13_01G000264;J2O13_02G003627;J2O13_02G004404;J2O13_02G004592;J2O13_02G004897;J2O13_03G005522;J2O13_04G007209;J2O13_04G007699;J2O13_04G007859;J2O13_04G007894;J2O13_04G008103;J2O13_05G009567;J2O13_05G009724;J2O13_05G009901;J2O13_05G009911;J2O13_05G010362;J2O13_05G010776;J2O13_07G015193;J2O13_07G016673;J2O13_07G016718;J2O13_07G017269;J2O13_08G017457;J2O13_09G020125;J2O13_09G020205;J2O13_09G020283;J2O13_09G021838;J2O13_10G024292</t>
  </si>
  <si>
    <t>J2O13_01G000135;J2O13_01G001727;J2O13_09G021686</t>
  </si>
  <si>
    <t>GO:0090333</t>
  </si>
  <si>
    <t>regulation of stomatal closure</t>
  </si>
  <si>
    <t>J2O13_01G000449;J2O13_04G007963;J2O13_05G010362;J2O13_07G015199</t>
  </si>
  <si>
    <t>GO:0004715</t>
  </si>
  <si>
    <t>non-membrane spanning protein tyrosine kinase activity</t>
  </si>
  <si>
    <t>GO:0005459</t>
  </si>
  <si>
    <t>UDP-galactose transmembrane transporter activity</t>
  </si>
  <si>
    <t>GO:0006565</t>
  </si>
  <si>
    <t>L-serine catabolic process</t>
  </si>
  <si>
    <t>GO:0006972</t>
  </si>
  <si>
    <t>hyperosmotic response</t>
  </si>
  <si>
    <t>GO:0009011</t>
  </si>
  <si>
    <t>starch synthase activity</t>
  </si>
  <si>
    <t>GO:0010005</t>
  </si>
  <si>
    <t>cortical microtubule, transverse to long axis</t>
  </si>
  <si>
    <t>GO:0010239</t>
  </si>
  <si>
    <t>chloroplast mRNA processing</t>
  </si>
  <si>
    <t>GO:0015271</t>
  </si>
  <si>
    <t>outward rectifier potassium channel activity</t>
  </si>
  <si>
    <t>GO:0015742</t>
  </si>
  <si>
    <t>alpha-ketoglutarate transport</t>
  </si>
  <si>
    <t>GO:0016471</t>
  </si>
  <si>
    <t>vacuolar proton-transporting V-type ATPase complex</t>
  </si>
  <si>
    <t>GO:0019677</t>
  </si>
  <si>
    <t>NAD catabolic process</t>
  </si>
  <si>
    <t>GO:0019941</t>
  </si>
  <si>
    <t>modification-dependent protein catabolic process</t>
  </si>
  <si>
    <t>GO:0032876</t>
  </si>
  <si>
    <t>negative regulation of DNA endoreduplication</t>
  </si>
  <si>
    <t>GO:0033201</t>
  </si>
  <si>
    <t>alpha-1,4-glucan synthase activity</t>
  </si>
  <si>
    <t>GO:0035861</t>
  </si>
  <si>
    <t>site of double-strand break</t>
  </si>
  <si>
    <t>GO:0043481</t>
  </si>
  <si>
    <t>anthocyanin accumulation in tissues in response to UV light</t>
  </si>
  <si>
    <t>GO:0045116</t>
  </si>
  <si>
    <t>protein neddylation</t>
  </si>
  <si>
    <t>GO:0045165</t>
  </si>
  <si>
    <t>cell fate commitment</t>
  </si>
  <si>
    <t>GO:0046294</t>
  </si>
  <si>
    <t>formaldehyde catabolic process</t>
  </si>
  <si>
    <t>GO:0046873</t>
  </si>
  <si>
    <t>metal ion transmembrane transporter activity</t>
  </si>
  <si>
    <t>GO:0051131</t>
  </si>
  <si>
    <t>chaperone-mediated protein complex assembly</t>
  </si>
  <si>
    <t>GO:0102229</t>
  </si>
  <si>
    <t>amylopectin maltohydrolase activity</t>
  </si>
  <si>
    <t>GO:1901601</t>
  </si>
  <si>
    <t>strigolactone biosynthetic process</t>
  </si>
  <si>
    <t>GO:2000033</t>
  </si>
  <si>
    <t>regulation of seed dormancy process</t>
  </si>
  <si>
    <t>GO:0030145</t>
  </si>
  <si>
    <t>manganese ion binding</t>
  </si>
  <si>
    <t>J2O13_01G002353;J2O13_07G016511;J2O13_09G019778;J2O13_09G019779</t>
  </si>
  <si>
    <t>J2O13_03G005375;J2O13_07G016445;J2O13_07G017023</t>
  </si>
  <si>
    <t>J2O13_03G005147;J2O13_05G010152;J2O13_07G017309</t>
  </si>
  <si>
    <t>J2O13_03G006437;J2O13_08G017457;J2O13_08G019197</t>
  </si>
  <si>
    <t>J2O13_02G004574;J2O13_10G022411</t>
  </si>
  <si>
    <t>J2O13_01G001818;J2O13_05G011152</t>
  </si>
  <si>
    <t>J2O13_01G000978;J2O13_04G008335</t>
  </si>
  <si>
    <t>J2O13_02G003638;J2O13_02G004322;J2O13_02G004574;J2O13_02G004603;J2O13_03G005489;J2O13_04G007289;J2O13_04G007867;J2O13_05G009773;J2O13_05G011265;J2O13_07G017277;J2O13_08G017807;J2O13_08G019276;J2O13_08G019396;J2O13_08G019460;J2O13_09G020115;J2O13_09G021459;J2O13_10G023297;J2O13_10G023459;J2O13_10G023589;J2O13_10G023661</t>
  </si>
  <si>
    <t>J2O13_04G008241;J2O13_05G009366;J2O13_05G009595;J2O13_07G016470;J2O13_09G019756;J2O13_09G019845</t>
  </si>
  <si>
    <t>J2O13_02G004980;J2O13_03G005713;J2O13_03G006174;J2O13_06G012857;J2O13_06G013419;J2O13_08G018184</t>
  </si>
  <si>
    <t>J2O13_03G005738;J2O13_03G006464;J2O13_04G008335;J2O13_04G009084</t>
  </si>
  <si>
    <t>J2O13_01G000872;J2O13_02G003892;J2O13_02G004093;J2O13_02G004574;J2O13_03G005489;J2O13_03G006086;J2O13_05G009773;J2O13_05G010345;J2O13_07G017333;J2O13_08G017488;J2O13_08G017493;J2O13_08G019276;J2O13_09G021686;J2O13_10G022093;J2O13_10G022732;J2O13_10G023459</t>
  </si>
  <si>
    <t>J2O13_02G005052;J2O13_03G005505;J2O13_03G006464;J2O13_05G010105;J2O13_05G011416;J2O13_05G012561;J2O13_07G015193;J2O13_08G019197;J2O13_09G021633</t>
  </si>
  <si>
    <t>J2O13_05G010346;J2O13_05G010408</t>
  </si>
  <si>
    <t>J2O13_05G010362;J2O13_06G014858</t>
  </si>
  <si>
    <t>J2O13_02G004404;J2O13_03G005859</t>
  </si>
  <si>
    <t>J2O13_02G003547;J2O13_02G003871</t>
  </si>
  <si>
    <t>GO:0035091</t>
  </si>
  <si>
    <t>phosphatidylinositol binding</t>
  </si>
  <si>
    <t>GO:0042761</t>
  </si>
  <si>
    <t>very long-chain fatty acid biosynthetic process</t>
  </si>
  <si>
    <t>J2O13_05G011989;J2O13_06G013628</t>
  </si>
  <si>
    <t>GO:0046855</t>
  </si>
  <si>
    <t>inositol phosphate dephosphorylation</t>
  </si>
  <si>
    <t>J2O13_05G009724;J2O13_10G023143</t>
  </si>
  <si>
    <t>J2O13_02G005052;J2O13_04G008038</t>
  </si>
  <si>
    <t>GO:0000062</t>
  </si>
  <si>
    <t>fatty-acyl-CoA binding</t>
  </si>
  <si>
    <t>GO:0000156</t>
  </si>
  <si>
    <t>phosphorelay response regulator activity</t>
  </si>
  <si>
    <t>GO:0000177</t>
  </si>
  <si>
    <t>cytoplasmic exosome (RNase complex)</t>
  </si>
  <si>
    <t>GO:0000727</t>
  </si>
  <si>
    <t>double-strand break repair via break-induced replication</t>
  </si>
  <si>
    <t>GO:0000791</t>
  </si>
  <si>
    <t>euchromatin</t>
  </si>
  <si>
    <t>GO:0003774</t>
  </si>
  <si>
    <t>cytoskeletal motor activity</t>
  </si>
  <si>
    <t>GO:0004659</t>
  </si>
  <si>
    <t>prenyltransferase activity</t>
  </si>
  <si>
    <t>GO:0004869</t>
  </si>
  <si>
    <t>cysteine-type endopeptidase inhibitor activity</t>
  </si>
  <si>
    <t>GO:0005351</t>
  </si>
  <si>
    <t>carbohydrate:proton symporter activity</t>
  </si>
  <si>
    <t>GO:0005662</t>
  </si>
  <si>
    <t>DNA replication factor A complex</t>
  </si>
  <si>
    <t>GO:0009098</t>
  </si>
  <si>
    <t>leucine biosynthetic process</t>
  </si>
  <si>
    <t>GO:0009609</t>
  </si>
  <si>
    <t>response to symbiotic bacterium</t>
  </si>
  <si>
    <t>GO:0009898</t>
  </si>
  <si>
    <t>cytoplasmic side of plasma membrane</t>
  </si>
  <si>
    <t>GO:0009969</t>
  </si>
  <si>
    <t>xyloglucan biosynthetic process</t>
  </si>
  <si>
    <t>GO:0016459</t>
  </si>
  <si>
    <t>myosin complex</t>
  </si>
  <si>
    <t>GO:0016688</t>
  </si>
  <si>
    <t>L-ascorbate peroxidase activity</t>
  </si>
  <si>
    <t>GO:0019509</t>
  </si>
  <si>
    <t>L-methionine salvage from methylthioadenosine</t>
  </si>
  <si>
    <t>GO:0044205</t>
  </si>
  <si>
    <t>'de novo' UMP biosynthetic process</t>
  </si>
  <si>
    <t>GO:0046470</t>
  </si>
  <si>
    <t>phosphatidylcholine metabolic process</t>
  </si>
  <si>
    <t>GO:0051879</t>
  </si>
  <si>
    <t>Hsp90 protein binding</t>
  </si>
  <si>
    <t>GO:0070181</t>
  </si>
  <si>
    <t>small ribosomal subunit rRNA binding</t>
  </si>
  <si>
    <t>GO:0070273</t>
  </si>
  <si>
    <t>phosphatidylinositol-4-phosphate binding</t>
  </si>
  <si>
    <t>GO:0098656</t>
  </si>
  <si>
    <t>anion transmembrane transport</t>
  </si>
  <si>
    <t>GO:1900424</t>
  </si>
  <si>
    <t>regulation of defense response to bacterium</t>
  </si>
  <si>
    <t>GO:1901653</t>
  </si>
  <si>
    <t>cellular response to peptide</t>
  </si>
  <si>
    <t>GO:1902066</t>
  </si>
  <si>
    <t>regulation of cell wall pectin metabolic process</t>
  </si>
  <si>
    <t>GO:2000904</t>
  </si>
  <si>
    <t>regulation of starch metabolic process</t>
  </si>
  <si>
    <t>J2O13_01G000719;J2O13_01G001021;J2O13_02G003638;J2O13_03G006464;J2O13_04G007289;J2O13_04G007963;J2O13_07G017023;J2O13_08G017807;J2O13_09G020125;J2O13_10G022378;J2O13_10G023143</t>
  </si>
  <si>
    <t>J2O13_03G005738;J2O13_07G016333;J2O13_07G016334;J2O13_07G016335;J2O13_08G019469</t>
  </si>
  <si>
    <t>GO:0006004</t>
  </si>
  <si>
    <t>fucose metabolic process</t>
  </si>
  <si>
    <t>J2O13_07G016052;J2O13_09G021414;J2O13_10G024000</t>
  </si>
  <si>
    <t>J2O13_01G000666;J2O13_01G001109;J2O13_01G001310;J2O13_02G004373;J2O13_03G005657;J2O13_04G008469;J2O13_05G010200;J2O13_05G011265;J2O13_05G011294;J2O13_05G011345;J2O13_06G014005;J2O13_07G016244;J2O13_07G016596;J2O13_09G019865;J2O13_09G020363;J2O13_10G023893;J2O13_10G024026</t>
  </si>
  <si>
    <t>J2O13_01G001727;J2O13_02G003627;J2O13_06G014858;J2O13_09G020908;J2O13_10G023901;J2O13_10G024334</t>
  </si>
  <si>
    <t>J2O13_01G000048;J2O13_01G000318;J2O13_01G000438;J2O13_01G000449;J2O13_01G000467;J2O13_01G000666;J2O13_01G000959;J2O13_01G001063;J2O13_01G001253;J2O13_01G001537;J2O13_01G001538;J2O13_01G001818;J2O13_01G002369;J2O13_01G002858;J2O13_02G003837;J2O13_02G003967;J2O13_02G004837;J2O13_02G004839;J2O13_02G005033;J2O13_03G005121;J2O13_03G005414;J2O13_03G005499;J2O13_03G005723;J2O13_03G005857;J2O13_03G005869;J2O13_03G005894;J2O13_03G005901;J2O13_03G006262;J2O13_03G006265;J2O13_03G006621;J2O13_03G006740;J2O13_03G006992;J2O13_03G007040;J2O13_04G007124;J2O13_04G007232;J2O13_04G007327;J2O13_04G008133;J2O13_04G008159;J2O13_04G008965;J2O13_05G009290;J2O13_05G009328;J2O13_05G009775;J2O13_05G009800;J2O13_05G009852;J2O13_05G009927;J2O13_05G010312;J2O13_05G010415;J2O13_05G011844;J2O13_05G012047;J2O13_05G012049;J2O13_05G012530;J2O13_05G012696;J2O13_06G012857;J2O13_06G013134;J2O13_06G013217;J2O13_06G013482;J2O13_06G013542;J2O13_06G014544;J2O13_06G014568;J2O13_07G014924;J2O13_07G015097;J2O13_07G015107;J2O13_07G015694;J2O13_07G015779;J2O13_07G016248;J2O13_07G016269;J2O13_07G016825;J2O13_07G017036;J2O13_08G017730;J2O13_08G018688;J2O13_08G019190;J2O13_08G019197;J2O13_08G019290;J2O13_09G019763;J2O13_09G019845;J2O13_09G019853;J2O13_09G020418;J2O13_09G020564;J2O13_09G020930;J2O13_09G020970;J2O13_09G020992;J2O13_09G021446;J2O13_09G021467;J2O13_10G022349;J2O13_10G022354;J2O13_10G022711;J2O13_10G022919;J2O13_10G023864;J2O13_10G024395;J2O13_10G024588</t>
  </si>
  <si>
    <t>J2O13_06G012950;J2O13_06G012955;J2O13_06G012957;J2O13_08G017999</t>
  </si>
  <si>
    <t>J2O13_01G002019;J2O13_05G010189;J2O13_08G019197;J2O13_08G019204</t>
  </si>
  <si>
    <t>J2O13_03G005147;J2O13_07G017309</t>
  </si>
  <si>
    <t>J2O13_04G008244;J2O13_06G013112</t>
  </si>
  <si>
    <t>J2O13_03G006132;J2O13_07G015706</t>
  </si>
  <si>
    <t>GO:0009881</t>
  </si>
  <si>
    <t>photoreceptor activity</t>
  </si>
  <si>
    <t>J2O13_08G019276;J2O13_10G023459</t>
  </si>
  <si>
    <t>J2O13_07G016563;J2O13_09G021518</t>
  </si>
  <si>
    <t>J2O13_01G001727;J2O13_08G019119</t>
  </si>
  <si>
    <t>J2O13_03G005425;J2O13_07G016678</t>
  </si>
  <si>
    <t>J2O13_08G017457;J2O13_08G019396</t>
  </si>
  <si>
    <t>J2O13_09G021411;J2O13_10G023480;J2O13_10G024006</t>
  </si>
  <si>
    <t>J2O13_01G002805;J2O13_03G005499;J2O13_03G006777;J2O13_06G014441;J2O13_09G019853;J2O13_09G020246;J2O13_09G021467</t>
  </si>
  <si>
    <t>J2O13_01G000397;J2O13_01G001497;J2O13_01G001816;J2O13_02G003752;J2O13_02G003753;J2O13_02G004941;J2O13_03G005800;J2O13_03G005845;J2O13_03G005935;J2O13_03G006253;J2O13_03G006768;J2O13_04G009170;J2O13_05G009567;J2O13_05G009699;J2O13_05G009700;J2O13_05G009862;J2O13_05G010105;J2O13_05G010600;J2O13_05G010749;J2O13_05G010750;J2O13_05G011230;J2O13_05G011514;J2O13_05G011581;J2O13_05G011757;J2O13_05G011920;J2O13_05G012687;J2O13_05G012736;J2O13_05G012769;J2O13_06G013002;J2O13_06G013518;J2O13_06G014519;J2O13_06G014751;J2O13_07G015452;J2O13_07G015632;J2O13_07G016563;J2O13_08G018146;J2O13_08G018808;J2O13_08G019436;J2O13_09G019610;J2O13_09G019697;J2O13_09G019984;J2O13_09G020156;J2O13_09G020231;J2O13_09G020753;J2O13_09G021164;J2O13_09G021362;J2O13_09G021518;J2O13_09G021563;J2O13_10G022237;J2O13_10G022411;J2O13_10G023953;J2O13_10G024077;J2O13_10G024225;J2O13_10G024380;J2O13_10G024442;J2O13_10G024586</t>
  </si>
  <si>
    <t>J2O13_02G004980;J2O13_02G005013;J2O13_03G005713;J2O13_03G006174;J2O13_07G017091</t>
  </si>
  <si>
    <t>J2O13_03G006768;J2O13_05G010600;J2O13_05G011514;J2O13_07G015452;J2O13_09G021362</t>
  </si>
  <si>
    <t>GO:0003950</t>
  </si>
  <si>
    <t>NAD+ ADP-ribosyltransferase activity</t>
  </si>
  <si>
    <t>GO:0006048</t>
  </si>
  <si>
    <t>UDP-N-acetylglucosamine biosynthetic process</t>
  </si>
  <si>
    <t>GO:0006207</t>
  </si>
  <si>
    <t>'de novo' pyrimidine nucleobase biosynthetic process</t>
  </si>
  <si>
    <t>GO:0006646</t>
  </si>
  <si>
    <t>phosphatidylethanolamine biosynthetic process</t>
  </si>
  <si>
    <t>GO:0006829</t>
  </si>
  <si>
    <t>zinc ion transport</t>
  </si>
  <si>
    <t>GO:0006892</t>
  </si>
  <si>
    <t>post-Golgi vesicle-mediated transport</t>
  </si>
  <si>
    <t>GO:0007389</t>
  </si>
  <si>
    <t>pattern specification process</t>
  </si>
  <si>
    <t>GO:0008022</t>
  </si>
  <si>
    <t>protein C-terminus binding</t>
  </si>
  <si>
    <t>GO:0008553</t>
  </si>
  <si>
    <t>P-type proton-exporting transporter activity</t>
  </si>
  <si>
    <t>GO:0009368</t>
  </si>
  <si>
    <t>endopeptidase Clp complex</t>
  </si>
  <si>
    <t>GO:0010100</t>
  </si>
  <si>
    <t>negative regulation of photomorphogenesis</t>
  </si>
  <si>
    <t>GO:0016075</t>
  </si>
  <si>
    <t>rRNA catabolic process</t>
  </si>
  <si>
    <t>GO:0016363</t>
  </si>
  <si>
    <t>nuclear matrix</t>
  </si>
  <si>
    <t>GO:0031647</t>
  </si>
  <si>
    <t>regulation of protein stability</t>
  </si>
  <si>
    <t>GO:0048317</t>
  </si>
  <si>
    <t>seed morphogenesis</t>
  </si>
  <si>
    <t>GO:0103075</t>
  </si>
  <si>
    <t>indole-3-pyruvate monooxygenase activity</t>
  </si>
  <si>
    <t>GO:0120029</t>
  </si>
  <si>
    <t>proton export across plasma membrane</t>
  </si>
  <si>
    <t>J2O13_03G005800;J2O13_05G010935</t>
  </si>
  <si>
    <t>J2O13_03G005713;J2O13_05G012681</t>
  </si>
  <si>
    <t>J2O13_05G009941;J2O13_07G015102</t>
  </si>
  <si>
    <t>J2O13_05G010351;J2O13_06G014198</t>
  </si>
  <si>
    <t>J2O13_04G008133;J2O13_07G015055</t>
  </si>
  <si>
    <t>J2O13_10G022284;J2O13_10G022732</t>
  </si>
  <si>
    <t>J2O13_05G010963;J2O13_06G014858</t>
  </si>
  <si>
    <t>J2O13_02G004965;J2O13_05G011152;J2O13_05G012362</t>
  </si>
  <si>
    <t>J2O13_02G003547;J2O13_02G003871;J2O13_09G019943</t>
  </si>
  <si>
    <t>GO:0009877</t>
  </si>
  <si>
    <t>nodulation</t>
  </si>
  <si>
    <t>J2O13_06G014198;J2O13_08G018578;J2O13_09G021473</t>
  </si>
  <si>
    <t>GO:0031047</t>
  </si>
  <si>
    <t>RNA-mediated gene silencing</t>
  </si>
  <si>
    <t>J2O13_06G013457;J2O13_08G018099;J2O13_08G019456</t>
  </si>
  <si>
    <t>J2O13_02G003708;J2O13_03G005500;J2O13_04G007209;J2O13_08G017457</t>
  </si>
  <si>
    <t>J2O13_02G003446;J2O13_02G003683;J2O13_02G004204;J2O13_02G004205;J2O13_07G017103;J2O13_08G018978;J2O13_08G018985</t>
  </si>
  <si>
    <t>J2O13_01G002011;J2O13_02G003941;J2O13_04G007904;J2O13_10G022239</t>
  </si>
  <si>
    <t>J2O13_06G013386;J2O13_08G018578;J2O13_10G024123</t>
  </si>
  <si>
    <t>J2O13_07G015563;J2O13_09G020480;J2O13_09G020749</t>
  </si>
  <si>
    <t>J2O13_02G004592;J2O13_03G005093;J2O13_09G021719</t>
  </si>
  <si>
    <t>J2O13_03G005176;J2O13_05G010600;J2O13_07G015452;J2O13_07G016248;J2O13_09G021362</t>
  </si>
  <si>
    <t>J2O13_04G007255;J2O13_08G019197</t>
  </si>
  <si>
    <t>J2O13_01G001158;J2O13_02G004574;J2O13_02G004806;J2O13_04G008379;J2O13_04G008791;J2O13_05G010351;J2O13_06G014858;J2O13_07G016452;J2O13_10G023483</t>
  </si>
  <si>
    <t>GO:0000146</t>
  </si>
  <si>
    <t>microfilament motor activity</t>
  </si>
  <si>
    <t>GO:0004031</t>
  </si>
  <si>
    <t>aldehyde oxidase activity</t>
  </si>
  <si>
    <t>GO:0005742</t>
  </si>
  <si>
    <t>mitochondrial outer membrane translocase complex</t>
  </si>
  <si>
    <t>GO:0006097</t>
  </si>
  <si>
    <t>glyoxylate cycle</t>
  </si>
  <si>
    <t>GO:0008308</t>
  </si>
  <si>
    <t>voltage-gated anion channel activity</t>
  </si>
  <si>
    <t>GO:0015937</t>
  </si>
  <si>
    <t>coenzyme A biosynthetic process</t>
  </si>
  <si>
    <t>GO:0016464</t>
  </si>
  <si>
    <t>chloroplast protein-transporting ATPase activity</t>
  </si>
  <si>
    <t>GO:0030050</t>
  </si>
  <si>
    <t>vesicle transport along actin filament</t>
  </si>
  <si>
    <t>GO:0043562</t>
  </si>
  <si>
    <t>cellular response to nitrogen levels</t>
  </si>
  <si>
    <t>GO:0046513</t>
  </si>
  <si>
    <t>ceramide biosynthetic process</t>
  </si>
  <si>
    <t>GO:0050688</t>
  </si>
  <si>
    <t>regulation of defense response to virus</t>
  </si>
  <si>
    <t>J2O13_06G013397;J2O13_06G013398;J2O13_08G019276;J2O13_10G023459</t>
  </si>
  <si>
    <t>J2O13_05G010056;J2O13_05G011757;J2O13_06G014646;J2O13_09G020549</t>
  </si>
  <si>
    <t>J2O13_02G003672;J2O13_04G007478;J2O13_06G013969</t>
  </si>
  <si>
    <t>J2O13_01G002858;J2O13_02G004107;J2O13_02G004792;J2O13_02G004794;J2O13_03G005657;J2O13_04G008764;J2O13_05G011294;J2O13_05G011345;J2O13_07G016244;J2O13_07G016596;J2O13_09G021461;J2O13_10G022907;J2O13_10G024026;J2O13_10G024382</t>
  </si>
  <si>
    <t>GO:0005770</t>
  </si>
  <si>
    <t>late endosome</t>
  </si>
  <si>
    <t>J2O13_03G006437;J2O13_08G018654</t>
  </si>
  <si>
    <t>GO:0008233</t>
  </si>
  <si>
    <t>peptidase activity</t>
  </si>
  <si>
    <t>J2O13_05G011951;J2O13_06G013482</t>
  </si>
  <si>
    <t>J2O13_04G007904;J2O13_05G009328</t>
  </si>
  <si>
    <t>J2O13_03G005738;J2O13_10G023848</t>
  </si>
  <si>
    <t>J2O13_01G002711;J2O13_10G023432</t>
  </si>
  <si>
    <t>GO:0050897</t>
  </si>
  <si>
    <t>cobalt ion binding</t>
  </si>
  <si>
    <t>J2O13_06G012857;J2O13_06G013134</t>
  </si>
  <si>
    <t>J2O13_06G013733;J2O13_09G021997</t>
  </si>
  <si>
    <t>J2O13_01G001063;J2O13_02G004167;J2O13_05G011452;J2O13_06G013292;J2O13_06G013725;J2O13_07G015779</t>
  </si>
  <si>
    <t>J2O13_02G003446;J2O13_02G004204;J2O13_02G004205;J2O13_08G018985;J2O13_10G024424</t>
  </si>
  <si>
    <t>J2O13_01G000738;J2O13_02G003436;J2O13_02G004573;J2O13_03G005387;J2O13_03G006464;J2O13_04G007963;J2O13_04G008162;J2O13_05G012142;J2O13_06G013386;J2O13_06G014032;J2O13_07G015199;J2O13_08G018578;J2O13_09G021473;J2O13_10G023568;J2O13_10G024123</t>
  </si>
  <si>
    <t>J2O13_03G006464;J2O13_04G008561;J2O13_06G012972</t>
  </si>
  <si>
    <t>GO:0000781</t>
  </si>
  <si>
    <t>chromosome, telomeric region</t>
  </si>
  <si>
    <t>GO:0004445</t>
  </si>
  <si>
    <t>inositol-polyphosphate 5-phosphatase activity</t>
  </si>
  <si>
    <t>GO:0005663</t>
  </si>
  <si>
    <t>DNA replication factor C complex</t>
  </si>
  <si>
    <t>GO:0005801</t>
  </si>
  <si>
    <t>cis-Golgi network</t>
  </si>
  <si>
    <t>GO:0006665</t>
  </si>
  <si>
    <t>sphingolipid metabolic process</t>
  </si>
  <si>
    <t>GO:0008180</t>
  </si>
  <si>
    <t>COP9 signalosome</t>
  </si>
  <si>
    <t>GO:0008381</t>
  </si>
  <si>
    <t>mechanosensitive ion channel activity</t>
  </si>
  <si>
    <t>GO:0009880</t>
  </si>
  <si>
    <t>embryonic pattern specification</t>
  </si>
  <si>
    <t>GO:0010375</t>
  </si>
  <si>
    <t>stomatal complex patterning</t>
  </si>
  <si>
    <t>GO:0010726</t>
  </si>
  <si>
    <t>positive regulation of hydrogen peroxide metabolic process</t>
  </si>
  <si>
    <t>GO:0015662</t>
  </si>
  <si>
    <t>P-type ion transporter activity</t>
  </si>
  <si>
    <t>GO:0016018</t>
  </si>
  <si>
    <t>cyclosporin A binding</t>
  </si>
  <si>
    <t>GO:0034220</t>
  </si>
  <si>
    <t>ion transmembrane transport</t>
  </si>
  <si>
    <t>GO:0035197</t>
  </si>
  <si>
    <t>siRNA binding</t>
  </si>
  <si>
    <t>GO:0043484</t>
  </si>
  <si>
    <t>regulation of RNA splicing</t>
  </si>
  <si>
    <t>GO:0044877</t>
  </si>
  <si>
    <t>protein-containing complex binding</t>
  </si>
  <si>
    <t>GO:0048571</t>
  </si>
  <si>
    <t>long-day photoperiodism</t>
  </si>
  <si>
    <t>J2O13_02G005052;J2O13_10G022411</t>
  </si>
  <si>
    <t>J2O13_01G000209;J2O13_07G016470</t>
  </si>
  <si>
    <t>J2O13_03G006265;J2O13_06G012972</t>
  </si>
  <si>
    <t>J2O13_03G005936;J2O13_03G006242</t>
  </si>
  <si>
    <t>GO:0032580</t>
  </si>
  <si>
    <t>Golgi cisterna membrane</t>
  </si>
  <si>
    <t>J2O13_03G006449;J2O13_04G007327</t>
  </si>
  <si>
    <t>J2O13_05G009579;J2O13_05G010361;J2O13_05G010392;J2O13_06G013442;J2O13_06G014868;J2O13_07G016711</t>
  </si>
  <si>
    <t>J2O13_03G005520;J2O13_07G016470;J2O13_10G024513</t>
  </si>
  <si>
    <t>J2O13_03G006253;J2O13_10G024442</t>
  </si>
  <si>
    <t>J2O13_05G011297;J2O13_06G013628</t>
  </si>
  <si>
    <t>GO:0010152</t>
  </si>
  <si>
    <t>pollen maturation</t>
  </si>
  <si>
    <t>J2O13_03G005582;J2O13_05G009467</t>
  </si>
  <si>
    <t>J2O13_02G004574;J2O13_10G022096</t>
  </si>
  <si>
    <t>J2O13_04G008756;J2O13_05G009676</t>
  </si>
  <si>
    <t>J2O13_02G004621;J2O13_03G005273</t>
  </si>
  <si>
    <t>J2O13_03G005738;J2O13_08G019276;J2O13_10G023459;J2O13_10G023589;J2O13_10G023953</t>
  </si>
  <si>
    <t>GO:0003841</t>
  </si>
  <si>
    <t>1-acylglycerol-3-phosphate O-acyltransferase activity</t>
  </si>
  <si>
    <t>GO:0005982</t>
  </si>
  <si>
    <t>starch metabolic process</t>
  </si>
  <si>
    <t>GO:0031461</t>
  </si>
  <si>
    <t>cullin-RING ubiquitin ligase complex</t>
  </si>
  <si>
    <t>GO:0034485</t>
  </si>
  <si>
    <t>phosphatidylinositol-3,4,5-trisphosphate 5-phosphatase activity</t>
  </si>
  <si>
    <t>GO:0045010</t>
  </si>
  <si>
    <t>actin nucleation</t>
  </si>
  <si>
    <t>J2O13_03G005839;J2O13_03G006464;J2O13_05G010482;J2O13_09G021461</t>
  </si>
  <si>
    <t>J2O13_01G001727;J2O13_05G010415;J2O13_05G010587;J2O13_05G010588;J2O13_05G012693;J2O13_06G013134;J2O13_06G014694;J2O13_07G014984;J2O13_07G016745;J2O13_08G017511;J2O13_09G021101;J2O13_10G022696</t>
  </si>
  <si>
    <t>J2O13_01G002482;J2O13_06G013584;J2O13_08G019276;J2O13_08G019387;J2O13_10G023459</t>
  </si>
  <si>
    <t>J2O13_01G001370;J2O13_02G004107;J2O13_03G005522;J2O13_03G005861;J2O13_03G006777;J2O13_05G010033;J2O13_05G010963;J2O13_05G011865;J2O13_06G013206;J2O13_06G013386;J2O13_07G017373;J2O13_08G017999;J2O13_08G018578;J2O13_10G022907;J2O13_10G023024;J2O13_10G024123;J2O13_10G024139;J2O13_10G024177</t>
  </si>
  <si>
    <t>J2O13_05G010362;J2O13_06G013049;J2O13_09G019943</t>
  </si>
  <si>
    <t>J2O13_01G001160;J2O13_02G003708;J2O13_03G005500;J2O13_04G007209;J2O13_04G007699;J2O13_07G016445;J2O13_10G024141;J2O13_10G024442</t>
  </si>
  <si>
    <t>J2O13_03G005859;J2O13_10G024513</t>
  </si>
  <si>
    <t>J2O13_04G008169;J2O13_05G011255</t>
  </si>
  <si>
    <t>GO:0048471</t>
  </si>
  <si>
    <t>perinuclear region of cytoplasm</t>
  </si>
  <si>
    <t>J2O13_01G002019;J2O13_08G018099</t>
  </si>
  <si>
    <t>J2O13_01G000264;J2O13_06G013733</t>
  </si>
  <si>
    <t>J2O13_01G001525;J2O13_05G012108;J2O13_06G014646</t>
  </si>
  <si>
    <t>GO:0000165</t>
  </si>
  <si>
    <t>MAPK cascade</t>
  </si>
  <si>
    <t>GO:0000338</t>
  </si>
  <si>
    <t>protein deneddylation</t>
  </si>
  <si>
    <t>GO:0000427</t>
  </si>
  <si>
    <t>plastid-encoded plastid RNA polymerase complex</t>
  </si>
  <si>
    <t>GO:0005338</t>
  </si>
  <si>
    <t>nucleotide-sugar transmembrane transporter activity</t>
  </si>
  <si>
    <t>GO:0006515</t>
  </si>
  <si>
    <t>protein quality control for misfolded or incompletely synthesized proteins</t>
  </si>
  <si>
    <t>GO:0006782</t>
  </si>
  <si>
    <t>protoporphyrinogen IX biosynthetic process</t>
  </si>
  <si>
    <t>GO:0008080</t>
  </si>
  <si>
    <t>N-acetyltransferase activity</t>
  </si>
  <si>
    <t>GO:0008143</t>
  </si>
  <si>
    <t>poly(A) binding</t>
  </si>
  <si>
    <t>GO:0008574</t>
  </si>
  <si>
    <t>plus-end-directed microtubule motor activity</t>
  </si>
  <si>
    <t>GO:0016556</t>
  </si>
  <si>
    <t>mRNA modification</t>
  </si>
  <si>
    <t>GO:0035999</t>
  </si>
  <si>
    <t>tetrahydrofolate interconversion</t>
  </si>
  <si>
    <t>J2O13_01G001415;J2O13_05G009983;J2O13_07G015213;J2O13_09G019682</t>
  </si>
  <si>
    <t>GO:0006885</t>
  </si>
  <si>
    <t>regulation of pH</t>
  </si>
  <si>
    <t>J2O13_01G000264;J2O13_10G023372</t>
  </si>
  <si>
    <t>J2O13_04G007209;J2O13_08G019197</t>
  </si>
  <si>
    <t>GO:0031425</t>
  </si>
  <si>
    <t>chloroplast RNA processing</t>
  </si>
  <si>
    <t>J2O13_03G006874;J2O13_04G008935</t>
  </si>
  <si>
    <t>J2O13_03G005136;J2O13_04G008162</t>
  </si>
  <si>
    <t>J2O13_01G002353;J2O13_02G004417;J2O13_04G008229;J2O13_04G008814;J2O13_05G009726;J2O13_05G009803;J2O13_05G012427;J2O13_10G022093;J2O13_10G022270;J2O13_10G022505;J2O13_10G023360;J2O13_10G023458</t>
  </si>
  <si>
    <t>J2O13_01G001218;J2O13_01G002711;J2O13_03G006832;J2O13_04G007894;J2O13_06G012857;J2O13_06G013154;J2O13_06G014841;J2O13_08G017825;J2O13_10G023432</t>
  </si>
  <si>
    <t>J2O13_01G001727;J2O13_02G002925;J2O13_04G008257;J2O13_05G010749;J2O13_06G013159;J2O13_06G013725;J2O13_06G014751;J2O13_07G016470;J2O13_07G016960;J2O13_08G019290;J2O13_10G024383</t>
  </si>
  <si>
    <t>J2O13_01G000738;J2O13_01G001818;J2O13_02G003748;J2O13_02G004322;J2O13_03G005121;J2O13_03G005137;J2O13_04G007904;J2O13_04G008133;J2O13_04G008469;J2O13_05G010749;J2O13_05G011452;J2O13_05G012693;J2O13_06G014751;J2O13_07G015055;J2O13_08G017882;J2O13_09G020418;J2O13_10G022258;J2O13_10G022310;J2O13_10G024334</t>
  </si>
  <si>
    <t>GO:0005747</t>
  </si>
  <si>
    <t>mitochondrial respiratory chain complex I</t>
  </si>
  <si>
    <t>J2O13_06G012857;J2O13_10G024588</t>
  </si>
  <si>
    <t>J2O13_05G009946;J2O13_05G009987</t>
  </si>
  <si>
    <t>GO:0015299</t>
  </si>
  <si>
    <t>solute:proton antiporter activity</t>
  </si>
  <si>
    <t>J2O13_08G017715;J2O13_10G023372</t>
  </si>
  <si>
    <t>GO:0000421</t>
  </si>
  <si>
    <t>autophagosome membrane</t>
  </si>
  <si>
    <t>GO:0002221</t>
  </si>
  <si>
    <t>pattern recognition receptor signaling pathway</t>
  </si>
  <si>
    <t>GO:0006071</t>
  </si>
  <si>
    <t>glycerol metabolic process</t>
  </si>
  <si>
    <t>GO:0006270</t>
  </si>
  <si>
    <t>DNA replication initiation</t>
  </si>
  <si>
    <t>GO:0012501</t>
  </si>
  <si>
    <t>programmed cell death</t>
  </si>
  <si>
    <t>GO:0030036</t>
  </si>
  <si>
    <t>actin cytoskeleton organization</t>
  </si>
  <si>
    <t>GO:0030148</t>
  </si>
  <si>
    <t>sphingolipid biosynthetic process</t>
  </si>
  <si>
    <t>GO:0031386</t>
  </si>
  <si>
    <t>protein tag</t>
  </si>
  <si>
    <t>GO:0034051</t>
  </si>
  <si>
    <t>negative regulation of plant-type hypersensitive response</t>
  </si>
  <si>
    <t>GO:0043966</t>
  </si>
  <si>
    <t>histone H3 acetylation</t>
  </si>
  <si>
    <t>J2O13_03G005800;J2O13_04G009102;J2O13_05G009514;J2O13_06G013572;J2O13_09G020434;J2O13_10G024139</t>
  </si>
  <si>
    <t>J2O13_04G007509;J2O13_05G010687;J2O13_06G014506;J2O13_08G018662;J2O13_10G024141;J2O13_10G024334</t>
  </si>
  <si>
    <t>J2O13_01G000978;J2O13_01G001150;J2O13_05G010415;J2O13_05G010587;J2O13_05G010588;J2O13_05G012693;J2O13_06G013134;J2O13_06G014694;J2O13_07G014984;J2O13_07G016745;J2O13_08G017511;J2O13_09G020115;J2O13_09G021101;J2O13_10G022696;J2O13_10G024006</t>
  </si>
  <si>
    <t>J2O13_01G000008;J2O13_05G009730;J2O13_05G009802;J2O13_05G009901;J2O13_07G015193;J2O13_07G016952;J2O13_09G021223;J2O13_09G021838;J2O13_10G024230</t>
  </si>
  <si>
    <t>GO:0000302</t>
  </si>
  <si>
    <t>response to reactive oxygen species</t>
  </si>
  <si>
    <t>J2O13_03G006265;J2O13_07G016248</t>
  </si>
  <si>
    <t>J2O13_04G007699;J2O13_05G010192</t>
  </si>
  <si>
    <t>J2O13_01G000321;J2O13_08G018933</t>
  </si>
  <si>
    <t>J2O13_01G001039;J2O13_01G001270;J2O13_04G009084;J2O13_05G012437;J2O13_09G019756;J2O13_09G021101;J2O13_09G021633;J2O13_10G023146</t>
  </si>
  <si>
    <t>J2O13_01G002711;J2O13_02G003892;J2O13_02G004592;J2O13_02G004897;J2O13_03G005109;J2O13_03G005738;J2O13_03G006265;J2O13_03G006464;J2O13_04G008103;J2O13_05G009946;J2O13_05G012571;J2O13_06G013442;J2O13_06G013542;J2O13_07G014924;J2O13_07G016333;J2O13_07G016334;J2O13_07G016335;J2O13_09G020205;J2O13_09G021520;J2O13_10G023280;J2O13_10G024200</t>
  </si>
  <si>
    <t>GO:0015693</t>
  </si>
  <si>
    <t>magnesium ion transport</t>
  </si>
  <si>
    <t>J2O13_01G000984;J2O13_01G001415;J2O13_01G002699;J2O13_02G004117;J2O13_03G005565;J2O13_03G006125;J2O13_04G007327;J2O13_05G009654;J2O13_05G009983;J2O13_05G010482;J2O13_05G012681;J2O13_05G012714;J2O13_06G012972;J2O13_09G021863;J2O13_10G022170;J2O13_10G023280;J2O13_10G024442</t>
  </si>
  <si>
    <t>J2O13_01G002353;J2O13_04G007699;J2O13_06G013206;J2O13_08G019099</t>
  </si>
  <si>
    <t>J2O13_04G007904;J2O13_05G010687;J2O13_05G012050;J2O13_10G024334</t>
  </si>
  <si>
    <t>J2O13_01G002709;J2O13_03G005488</t>
  </si>
  <si>
    <t>GO:0009960</t>
  </si>
  <si>
    <t>endosperm development</t>
  </si>
  <si>
    <t>J2O13_01G002420;J2O13_05G012693</t>
  </si>
  <si>
    <t>J2O13_08G018347;J2O13_10G024139</t>
  </si>
  <si>
    <t>J2O13_01G001170;J2O13_06G014646</t>
  </si>
  <si>
    <t>J2O13_04G007904;J2O13_10G024141</t>
  </si>
  <si>
    <t>J2O13_01G000738;J2O13_03G005500;J2O13_06G012972</t>
  </si>
  <si>
    <t>J2O13_03G006470;J2O13_03G006473;J2O13_04G008489;J2O13_09G019926;J2O13_09G021520;J2O13_10G024421</t>
  </si>
  <si>
    <t>J2O13_01G001370;J2O13_05G009514;J2O13_05G010482</t>
  </si>
  <si>
    <t>J2O13_05G012296;J2O13_05G012553;J2O13_06G013969</t>
  </si>
  <si>
    <t>J2O13_06G014544;J2O13_08G018711</t>
  </si>
  <si>
    <t>J2O13_02G002925;J2O13_10G022082</t>
  </si>
  <si>
    <t>GO:0004439</t>
  </si>
  <si>
    <t>phosphatidylinositol-4,5-bisphosphate 5-phosphatase activity</t>
  </si>
  <si>
    <t>GO:0005689</t>
  </si>
  <si>
    <t>U12-type spliceosomal complex</t>
  </si>
  <si>
    <t>GO:0008374</t>
  </si>
  <si>
    <t>O-acyltransferase activity</t>
  </si>
  <si>
    <t>J2O13_01G001074;J2O13_02G003683;J2O13_02G004965;J2O13_05G009467;J2O13_07G015107;J2O13_08G017437;J2O13_10G024061;J2O13_10G024334</t>
  </si>
  <si>
    <t>J2O13_01G000750;J2O13_03G005800;J2O13_06G013572;J2O13_09G020156;J2O13_09G020434</t>
  </si>
  <si>
    <t>J2O13_01G000282;J2O13_04G007209;J2O13_07G015629;J2O13_09G020056</t>
  </si>
  <si>
    <t>J2O13_01G000719;J2O13_02G003638;J2O13_02G003678;J2O13_04G007123;J2O13_04G007124;J2O13_04G007289;J2O13_05G011000;J2O13_06G012939;J2O13_06G013878;J2O13_08G017807;J2O13_08G018801</t>
  </si>
  <si>
    <t>J2O13_06G014544;J2O13_08G019190</t>
  </si>
  <si>
    <t>GO:0009959</t>
  </si>
  <si>
    <t>negative gravitropism</t>
  </si>
  <si>
    <t>GO:1900056</t>
  </si>
  <si>
    <t>negative regulation of leaf senescence</t>
  </si>
  <si>
    <t>J2O13_02G004467;J2O13_03G006265;J2O13_05G011760</t>
  </si>
  <si>
    <t>J2O13_02G004980;J2O13_05G010853;J2O13_06G012972</t>
  </si>
  <si>
    <t>J2O13_02G004107;J2O13_06G014344;J2O13_08G019197;J2O13_10G022907;J2O13_10G024334</t>
  </si>
  <si>
    <t>J2O13_03G006262;J2O13_03G006621</t>
  </si>
  <si>
    <t>J2O13_04G007327;J2O13_07G016470</t>
  </si>
  <si>
    <t>J2O13_01G001158;J2O13_01G002459;J2O13_04G007124;J2O13_05G009862;J2O13_05G010600;J2O13_06G013134;J2O13_06G014568;J2O13_07G015452;J2O13_07G016596;J2O13_07G017090;J2O13_07G017288;J2O13_08G018347;J2O13_08G019197;J2O13_09G019697;J2O13_09G021362;J2O13_10G022443;J2O13_10G023432</t>
  </si>
  <si>
    <t>J2O13_01G000738;J2O13_03G005425;J2O13_03G005500;J2O13_07G016678</t>
  </si>
  <si>
    <t>J2O13_02G004897;J2O13_03G006464;J2O13_03G007058;J2O13_07G015761</t>
  </si>
  <si>
    <t>J2O13_01G002709;J2O13_04G007904;J2O13_04G008257;J2O13_06G013725</t>
  </si>
  <si>
    <t>J2O13_04G008348;J2O13_05G010935;J2O13_07G016673</t>
  </si>
  <si>
    <t>GO:0008320</t>
  </si>
  <si>
    <t>protein transmembrane transporter activity</t>
  </si>
  <si>
    <t>GO:0051117</t>
  </si>
  <si>
    <t>ATPase binding</t>
  </si>
  <si>
    <t>J2O13_01G001009;J2O13_01G001370;J2O13_01G001382;J2O13_03G005786;J2O13_05G009946;J2O13_05G010280;J2O13_07G015266;J2O13_07G016781;J2O13_08G017457;J2O13_09G020125</t>
  </si>
  <si>
    <t>J2O13_05G010687;J2O13_05G012050</t>
  </si>
  <si>
    <t>J2O13_03G005136;J2O13_03G005255;J2O13_04G007324;J2O13_05G009384</t>
  </si>
  <si>
    <t>J2O13_01G001727;J2O13_01G002011;J2O13_02G003941;J2O13_10G022239</t>
  </si>
  <si>
    <t>J2O13_02G004220;J2O13_02G004404;J2O13_02G005024;J2O13_03G005738;J2O13_05G012571;J2O13_07G016333;J2O13_07G016334;J2O13_07G016335</t>
  </si>
  <si>
    <t>J2O13_01G000984;J2O13_05G012473;J2O13_10G022696;J2O13_10G024442;J2O13_10G024493</t>
  </si>
  <si>
    <t>GO:0000278</t>
  </si>
  <si>
    <t>mitotic cell cycle</t>
  </si>
  <si>
    <t>J2O13_09G019943;J2O13_09G021721</t>
  </si>
  <si>
    <t>J2O13_03G005857;J2O13_04G008335</t>
  </si>
  <si>
    <t>J2O13_03G006162;J2O13_06G014274</t>
  </si>
  <si>
    <t>J2O13_03G005500;J2O13_09G021997</t>
  </si>
  <si>
    <t>J2O13_01G000397;J2O13_03G005800;J2O13_03G006093;J2O13_05G010619;J2O13_07G016452;J2O13_08G019436;J2O13_09G020858;J2O13_10G024077</t>
  </si>
  <si>
    <t>GO:0003743</t>
  </si>
  <si>
    <t>translation initiation factor activity</t>
  </si>
  <si>
    <t>J2O13_04G008169;J2O13_06G014694;J2O13_07G016054</t>
  </si>
  <si>
    <t>GO:0005797</t>
  </si>
  <si>
    <t>Golgi medial cisterna</t>
  </si>
  <si>
    <t>J2O13_01G000136;J2O13_09G019682;J2O13_09G021459</t>
  </si>
  <si>
    <t>J2O13_01G000136;J2O13_01G002858;J2O13_02G004467;J2O13_02G004806;J2O13_03G005147;J2O13_03G005504;J2O13_03G005857;J2O13_03G006265;J2O13_03G006446;J2O13_03G006455;J2O13_04G008133;J2O13_05G009384;J2O13_05G010935;J2O13_05G011581;J2O13_06G014568;J2O13_07G015102;J2O13_07G015199;J2O13_07G016248;J2O13_07G017309;J2O13_08G019197;J2O13_09G019610;J2O13_09G019756;J2O13_09G020858;J2O13_09G021633;J2O13_09G021958;J2O13_10G024292;J2O13_10G024442</t>
  </si>
  <si>
    <t>J2O13_01G000136;J2O13_01G000529;J2O13_04G007679;J2O13_05G010033;J2O13_05G010587;J2O13_05G010588;J2O13_05G011456;J2O13_05G012089;J2O13_05G012566;J2O13_06G013693;J2O13_06G014581;J2O13_07G016745;J2O13_07G017220;J2O13_08G017511;J2O13_08G017772;J2O13_09G021101;J2O13_10G023293</t>
  </si>
  <si>
    <t>J2O13_01G000397;J2O13_08G019436;J2O13_10G024077</t>
  </si>
  <si>
    <t>J2O13_03G005738;J2O13_04G009084</t>
  </si>
  <si>
    <t>GO:0005776</t>
  </si>
  <si>
    <t>autophagosome</t>
  </si>
  <si>
    <t>GO:0018230</t>
  </si>
  <si>
    <t>peptidyl-L-cysteine S-palmitoylation</t>
  </si>
  <si>
    <t>GO:0060320</t>
  </si>
  <si>
    <t>rejection of self pollen</t>
  </si>
  <si>
    <t>J2O13_02G003122;J2O13_05G009467;J2O13_10G024334</t>
  </si>
  <si>
    <t>J2O13_05G012233;J2O13_08G018801;J2O13_09G021690;J2O13_10G022105</t>
  </si>
  <si>
    <t>GO:0019706</t>
  </si>
  <si>
    <t>protein-cysteine S-palmitoyltransferase activity</t>
  </si>
  <si>
    <t>GO:0045814</t>
  </si>
  <si>
    <t>negative regulation of gene expression, epigenetic</t>
  </si>
  <si>
    <t>GO:0005759</t>
  </si>
  <si>
    <t>mitochondrial matrix</t>
  </si>
  <si>
    <t>J2O13_01G001675;J2O13_06G012857;J2O13_06G014808;J2O13_07G017085</t>
  </si>
  <si>
    <t>J2O13_02G004965;J2O13_05G011152</t>
  </si>
  <si>
    <t>J2O13_03G006086;J2O13_05G010502;J2O13_06G013159;J2O13_08G019108;J2O13_09G019728;J2O13_09G020363</t>
  </si>
  <si>
    <t>J2O13_03G005108;J2O13_06G013292;J2O13_09G021690</t>
  </si>
  <si>
    <t>GO:0045168</t>
  </si>
  <si>
    <t>cell-cell signaling involved in cell fate commitment</t>
  </si>
  <si>
    <t>GO:0046854</t>
  </si>
  <si>
    <t>phosphatidylinositol phosphate biosynthetic process</t>
  </si>
  <si>
    <t>GO:0046856</t>
  </si>
  <si>
    <t>phosphatidylinositol dephosphorylation</t>
  </si>
  <si>
    <t>GO:0005694</t>
  </si>
  <si>
    <t>chromosome</t>
  </si>
  <si>
    <t>J2O13_07G015343;J2O13_10G022919</t>
  </si>
  <si>
    <t>J2O13_06G014274;J2O13_07G016248</t>
  </si>
  <si>
    <t>J2O13_02G004980;J2O13_07G016452</t>
  </si>
  <si>
    <t>J2O13_04G007209;J2O13_06G014032</t>
  </si>
  <si>
    <t>GO:0003713</t>
  </si>
  <si>
    <t>transcription coactivator activity</t>
  </si>
  <si>
    <t>GO:0007005</t>
  </si>
  <si>
    <t>mitochondrion organization</t>
  </si>
  <si>
    <t>GO:0007059</t>
  </si>
  <si>
    <t>chromosome segregation</t>
  </si>
  <si>
    <t>J2O13_01G000136;J2O13_01G000240;J2O13_01G002782;J2O13_03G006464;J2O13_05G011897;J2O13_06G013420;J2O13_06G013896;J2O13_06G014646;J2O13_07G016052;J2O13_08G019446;J2O13_09G019682;J2O13_UnG024735</t>
  </si>
  <si>
    <t>GO:0009585</t>
  </si>
  <si>
    <t>red, far-red light phototransduction</t>
  </si>
  <si>
    <t>J2O13_05G012009;J2O13_08G019396</t>
  </si>
  <si>
    <t>J2O13_03G006360;J2O13_08G017518</t>
  </si>
  <si>
    <t>J2O13_02G003630;J2O13_04G008814</t>
  </si>
  <si>
    <t>J2O13_02G004980;J2O13_04G008335;J2O13_05G011865;J2O13_08G018801;J2O13_09G019623;J2O13_10G023154</t>
  </si>
  <si>
    <t>GO:0042254</t>
  </si>
  <si>
    <t>ribosome biogenesis</t>
  </si>
  <si>
    <t>J2O13_02G005052;J2O13_05G010758</t>
  </si>
  <si>
    <t>J2O13_05G011920;J2O13_06G014519</t>
  </si>
  <si>
    <t>J2O13_02G003122;J2O13_05G009467</t>
  </si>
  <si>
    <t>J2O13_01G000468;J2O13_01G001160;J2O13_01G001180;J2O13_02G003892;J2O13_03G005500;J2O13_03G005857;J2O13_03G006874;J2O13_04G007634;J2O13_04G008045;J2O13_04G008438;J2O13_04G008469;J2O13_04G008479;J2O13_04G008935;J2O13_05G009507;J2O13_05G010205;J2O13_05G010687;J2O13_05G012033;J2O13_05G012751;J2O13_06G012857;J2O13_06G013134;J2O13_06G013267;J2O13_06G013453;J2O13_06G014841;J2O13_07G014923;J2O13_07G014928;J2O13_07G016386;J2O13_07G016958;J2O13_08G017825;J2O13_08G018101;J2O13_09G019900;J2O13_09G020115;J2O13_09G020930;J2O13_09G021450;J2O13_09G021467;J2O13_10G022258;J2O13_10G022365;J2O13_10G023643;J2O13_10G023867;J2O13_10G023901;J2O13_10G023942;J2O13_10G023985;J2O13_10G024427;J2O13_10G024493</t>
  </si>
  <si>
    <t>J2O13_02G004117;J2O13_04G007894;J2O13_04G008335;J2O13_07G015193;J2O13_07G016452;J2O13_09G020283</t>
  </si>
  <si>
    <t>GO:0003730</t>
  </si>
  <si>
    <t>mRNA 3'-UTR binding</t>
  </si>
  <si>
    <t>GO:0006289</t>
  </si>
  <si>
    <t>nucleotide-excision repair</t>
  </si>
  <si>
    <t>GO:0030163</t>
  </si>
  <si>
    <t>protein catabolic process</t>
  </si>
  <si>
    <t>GO:0004712</t>
  </si>
  <si>
    <t>protein serine/threonine/tyrosine kinase activity</t>
  </si>
  <si>
    <t>J2O13_03G006464;J2O13_03G006740</t>
  </si>
  <si>
    <t>J2O13_04G008570;J2O13_08G019386</t>
  </si>
  <si>
    <t>J2O13_02G005024;J2O13_03G005500</t>
  </si>
  <si>
    <t>J2O13_08G017957;J2O13_08G018099</t>
  </si>
  <si>
    <t>J2O13_02G004837;J2O13_02G004839;J2O13_02G004980;J2O13_03G005505;J2O13_04G007904;J2O13_04G008133;J2O13_05G009497;J2O13_05G009676;J2O13_05G010482;J2O13_06G012939;J2O13_06G014858;J2O13_07G016452;J2O13_08G017957;J2O13_09G020283;J2O13_09G020858;J2O13_09G020908;J2O13_09G021461;J2O13_09G021633;J2O13_10G023901</t>
  </si>
  <si>
    <t>J2O13_01G001074;J2O13_03G005839</t>
  </si>
  <si>
    <t>J2O13_07G016452;J2O13_08G018756</t>
  </si>
  <si>
    <t>GO:0043161</t>
  </si>
  <si>
    <t>proteasome-mediated ubiquitin-dependent protein catabolic process</t>
  </si>
  <si>
    <t>J2O13_04G008756;J2O13_05G009676;J2O13_10G023643</t>
  </si>
  <si>
    <t>J2O13_01G000850;J2O13_01G001727;J2O13_02G003507;J2O13_02G003638;J2O13_02G004837;J2O13_02G004839;J2O13_02G004980;J2O13_03G006253;J2O13_03G006733;J2O13_04G007289;J2O13_05G009676;J2O13_05G011000;J2O13_06G012939;J2O13_06G014032;J2O13_07G016452;J2O13_07G016673;J2O13_07G017023;J2O13_07G017328;J2O13_08G017807;J2O13_10G023483;J2O13_10G024225</t>
  </si>
  <si>
    <t>J2O13_02G003436;J2O13_03G006449;J2O13_06G013221;J2O13_06G013386;J2O13_10G024123</t>
  </si>
  <si>
    <t>J2O13_01G000082;J2O13_01G002019;J2O13_01G002482;J2O13_02G004965;J2O13_03G006064;J2O13_03G006604;J2O13_03G006692;J2O13_03G006693;J2O13_03G006832;J2O13_03G006990;J2O13_04G008213;J2O13_04G008241;J2O13_05G009595;J2O13_05G010189;J2O13_05G011005;J2O13_05G011152;J2O13_05G011857;J2O13_07G016470;J2O13_07G016958;J2O13_07G016960;J2O13_07G017080;J2O13_08G019043;J2O13_08G019197;J2O13_08G019259;J2O13_08G019405;J2O13_09G019756;J2O13_09G019845;J2O13_09G021183;J2O13_09G021358;J2O13_10G023901;J2O13_10G024177;J2O13_10G024493</t>
  </si>
  <si>
    <t>J2O13_01G000984;J2O13_02G003748;J2O13_03G005935;J2O13_05G010468;J2O13_05G010632;J2O13_07G015097;J2O13_08G017518;J2O13_10G023420;J2O13_10G024442</t>
  </si>
  <si>
    <t>J2O13_07G015199;J2O13_09G021461</t>
  </si>
  <si>
    <t>J2O13_05G012089;J2O13_10G024383</t>
  </si>
  <si>
    <t>GO:0006612</t>
  </si>
  <si>
    <t>protein targeting to membrane</t>
  </si>
  <si>
    <t>GO:0006914</t>
  </si>
  <si>
    <t>autophagy</t>
  </si>
  <si>
    <t>GO:0009504</t>
  </si>
  <si>
    <t>cell plate</t>
  </si>
  <si>
    <t>J2O13_01G002353;J2O13_02G003282;J2O13_04G007699;J2O13_04G008057;J2O13_06G013206</t>
  </si>
  <si>
    <t>J2O13_05G012681;J2O13_05G012714;J2O13_07G015208;J2O13_10G023280;J2O13_10G023589</t>
  </si>
  <si>
    <t>J2O13_01G000984;J2O13_02G003748;J2O13_05G010054;J2O13_05G010468;J2O13_06G013709;J2O13_10G023420;J2O13_10G023557;J2O13_10G024442</t>
  </si>
  <si>
    <t>J2O13_05G009794;J2O13_07G015218;J2O13_07G016131;J2O13_08G018801;J2O13_10G023372;J2O13_10G023589;J2O13_10G024061</t>
  </si>
  <si>
    <t>J2O13_01G000529;J2O13_05G010587;J2O13_05G010588;J2O13_08G017511;J2O13_08G017772</t>
  </si>
  <si>
    <t>J2O13_01G001537;J2O13_02G004686;J2O13_04G008257;J2O13_05G009775;J2O13_05G012047;J2O13_06G014568;J2O13_08G019539;J2O13_09G021811</t>
  </si>
  <si>
    <t>J2O13_01G001270;J2O13_03G005859;J2O13_08G018347;J2O13_08G018978</t>
  </si>
  <si>
    <t>J2O13_03G005387;J2O13_03G006464;J2O13_07G016452</t>
  </si>
  <si>
    <t>J2O13_03G005108;J2O13_05G011603</t>
  </si>
  <si>
    <t>J2O13_02G004167;J2O13_03G005582;J2O13_03G005800;J2O13_05G011989;J2O13_05G012681;J2O13_07G015706;J2O13_09G019758;J2O13_09G021863;J2O13_10G024513</t>
  </si>
  <si>
    <t>J2O13_08G019043;J2O13_10G024334</t>
  </si>
  <si>
    <t>J2O13_01G001170;J2O13_03G006470;J2O13_03G006473;J2O13_04G008152;J2O13_05G009862;J2O13_05G010056;J2O13_05G011757;J2O13_05G011989;J2O13_06G013628;J2O13_07G015563;J2O13_09G020549;J2O13_09G020749;J2O13_09G021459;J2O13_09G021520;J2O13_10G023953</t>
  </si>
  <si>
    <t>J2O13_01G000136;J2O13_01G000240;J2O13_03G006464;J2O13_05G010587;J2O13_05G010588;J2O13_06G013896;J2O13_06G014646;J2O13_07G016052;J2O13_08G018347;J2O13_08G019446;J2O13_08G019469;J2O13_09G019682;J2O13_UnG024735</t>
  </si>
  <si>
    <t>J2O13_03G005488;J2O13_07G016470</t>
  </si>
  <si>
    <t>J2O13_01G000209;J2O13_04G007509;J2O13_04G009102;J2O13_06G014032</t>
  </si>
  <si>
    <t>J2O13_02G002925;J2O13_04G008045;J2O13_04G008348;J2O13_04G008479;J2O13_05G009574;J2O13_07G015329;J2O13_08G018445;J2O13_09G020205;J2O13_09G020908;J2O13_10G022082</t>
  </si>
  <si>
    <t>J2O13_01G000321;J2O13_02G003122;J2O13_04G008302;J2O13_04G008348;J2O13_04G008756;J2O13_05G009467;J2O13_05G009676;J2O13_08G018933;J2O13_08G019429;J2O13_09G020205;J2O13_09G020908;J2O13_10G022082</t>
  </si>
  <si>
    <t>GO:0004523</t>
  </si>
  <si>
    <t>RNA-DNA hybrid ribonuclease activity</t>
  </si>
  <si>
    <t>J2O13_01G001623;J2O13_03G006313;J2O13_04G008127;J2O13_05G009518;J2O13_05G011070</t>
  </si>
  <si>
    <t>J2O13_03G005698;J2O13_03G005839;J2O13_08G019043;J2O13_10G024061;J2O13_10G024334</t>
  </si>
  <si>
    <t>J2O13_07G014923;J2O13_07G016845;J2O13_08G019387;J2O13_09G020930</t>
  </si>
  <si>
    <t>J2O13_01G000088;J2O13_01G002699;J2O13_02G003627;J2O13_03G005137;J2O13_03G005488;J2O13_04G007209;J2O13_05G009654;J2O13_05G009946;J2O13_05G010963;J2O13_05G012714;J2O13_06G014771;J2O13_07G017187;J2O13_08G018101;J2O13_10G022096;J2O13_10G023280;J2O13_10G023419</t>
  </si>
  <si>
    <t>J2O13_01G002848;J2O13_04G008152;J2O13_05G011757</t>
  </si>
  <si>
    <t>GO:0070469</t>
  </si>
  <si>
    <t>respirasome</t>
  </si>
  <si>
    <t>J2O13_01G002777;J2O13_05G009876;J2O13_05G012110;J2O13_06G013102;J2O13_07G014984;J2O13_09G020930</t>
  </si>
  <si>
    <t>J2O13_02G004167;J2O13_05G009467;J2O13_05G012050;J2O13_05G012197;J2O13_05G012681;J2O13_06G014669;J2O13_07G015254;J2O13_07G016470;J2O13_07G016511;J2O13_09G019643;J2O13_10G024334;J2O13_10G024513</t>
  </si>
  <si>
    <t>J2O13_03G006064;J2O13_07G016958;J2O13_10G023901;J2O13_10G024493</t>
  </si>
  <si>
    <t>J2O13_01G000719;J2O13_01G000927;J2O13_01G001675;J2O13_01G001816;J2O13_02G003678;J2O13_02G003752;J2O13_02G004045;J2O13_02G004046;J2O13_02G004574;J2O13_03G005738;J2O13_03G005859;J2O13_03G006129;J2O13_03G006171;J2O13_04G008756;J2O13_05G009467;J2O13_05G010930;J2O13_05G010931;J2O13_05G010932;J2O13_05G011865;J2O13_05G012561;J2O13_06G012950;J2O13_06G012955;J2O13_06G012957;J2O13_06G013002;J2O13_06G013159;J2O13_06G013878;J2O13_07G015329;J2O13_07G016673;J2O13_08G017999;J2O13_08G018978;J2O13_09G021348;J2O13_10G022089;J2O13_10G022651;J2O13_10G023848</t>
  </si>
  <si>
    <t>J2O13_08G019043;J2O13_09G021411</t>
  </si>
  <si>
    <t>J2O13_02G003748;J2O13_05G010054;J2O13_05G010468;J2O13_06G013457;J2O13_06G013709;J2O13_08G017957;J2O13_10G022251;J2O13_10G022696;J2O13_10G023420;J2O13_10G023557</t>
  </si>
  <si>
    <t>J2O13_01G002804;J2O13_06G013733;J2O13_07G016958</t>
  </si>
  <si>
    <t>GO:0006888</t>
  </si>
  <si>
    <t>endoplasmic reticulum to Golgi vesicle-mediated transport</t>
  </si>
  <si>
    <t>J2O13_02G003708;J2O13_02G003757;J2O13_03G005582;J2O13_06G012853;J2O13_07G015629;J2O13_07G016114;J2O13_07G016118;J2O13_07G016315;J2O13_07G016718;J2O13_07G017333;J2O13_09G020056;J2O13_09G020721;J2O13_09G021686;J2O13_09G021876</t>
  </si>
  <si>
    <t>J2O13_01G000872;J2O13_02G003708;J2O13_03G005488;J2O13_03G005582;J2O13_05G010280;J2O13_07G016718;J2O13_09G020721</t>
  </si>
  <si>
    <t>J2O13_06G013572;J2O13_06G013702</t>
  </si>
  <si>
    <t>J2O13_01G002369;J2O13_01G002777;J2O13_02G004220;J2O13_03G005522;J2O13_03G006740;J2O13_04G007859;J2O13_04G008057;J2O13_04G008348;J2O13_05G009567;J2O13_05G009852;J2O13_05G009876;J2O13_05G010482;J2O13_05G012110;J2O13_06G013725;J2O13_06G013896;J2O13_07G016269;J2O13_09G019756;J2O13_10G023589;J2O13_10G024493</t>
  </si>
  <si>
    <t>J2O13_01G001074;J2O13_01G002837;J2O13_02G003683;J2O13_02G004965;J2O13_05G010749;J2O13_05G011603;J2O13_06G014751;J2O13_07G015107;J2O13_08G017624;J2O13_09G021399;J2O13_10G024061;J2O13_10G024141</t>
  </si>
  <si>
    <t>J2O13_04G007327;J2O13_09G019758</t>
  </si>
  <si>
    <t>J2O13_01G000467;J2O13_01G001818;J2O13_01G001998;J2O13_02G004574;J2O13_02G004943;J2O13_02G004965;J2O13_04G008736;J2O13_05G009901;J2O13_05G010351;J2O13_05G010750;J2O13_05G010778;J2O13_05G010856;J2O13_05G011152;J2O13_05G011951;J2O13_06G013482;J2O13_08G018146;J2O13_09G019610;J2O13_09G019611;J2O13_09G019984;J2O13_09G021563;J2O13_09G021838;J2O13_10G022054;J2O13_10G022237;J2O13_10G022411;J2O13_10G022443;J2O13_10G023867</t>
  </si>
  <si>
    <t>J2O13_01G000135;J2O13_01G001180;J2O13_01G001370;J2O13_01G001382;J2O13_01G002699;J2O13_02G004117;J2O13_02G004322;J2O13_03G005461;J2O13_03G005500;J2O13_03G006125;J2O13_04G008438;J2O13_05G011488;J2O13_05G011927;J2O13_05G012681;J2O13_05G012714;J2O13_06G012972;J2O13_06G013572;J2O13_06G014318;J2O13_07G015098;J2O13_07G015629;J2O13_07G016315;J2O13_07G016445;J2O13_07G017187;J2O13_08G019437;J2O13_09G020056;J2O13_09G021686;J2O13_09G021742;J2O13_10G023641;J2O13_10G023959</t>
  </si>
  <si>
    <t>J2O13_06G012853;J2O13_08G019456</t>
  </si>
  <si>
    <t>J2O13_01G000282;J2O13_01G000738;J2O13_01G002011;J2O13_02G003436;J2O13_02G003939;J2O13_02G003941;J2O13_02G004043;J2O13_02G004107;J2O13_02G004573;J2O13_03G005109;J2O13_03G005387;J2O13_03G005511;J2O13_03G005839;J2O13_03G006129;J2O13_03G006449;J2O13_03G006740;J2O13_04G007963;J2O13_04G008162;J2O13_04G008389;J2O13_04G008489;J2O13_04G009102;J2O13_05G012107;J2O13_05G012142;J2O13_06G013049;J2O13_06G013101;J2O13_06G013221;J2O13_06G013352;J2O13_06G013386;J2O13_06G013542;J2O13_06G013702;J2O13_06G014032;J2O13_07G014924;J2O13_07G014949;J2O13_07G016241;J2O13_07G016673;J2O13_07G017023;J2O13_08G019367;J2O13_09G019768;J2O13_09G020346;J2O13_09G021223;J2O13_09G021473;J2O13_10G022254;J2O13_10G022907;J2O13_10G023568;J2O13_10G024123;J2O13_10G024421</t>
  </si>
  <si>
    <t>GO:0000138</t>
  </si>
  <si>
    <t>Golgi trans cisterna</t>
  </si>
  <si>
    <t>J2O13_02G004300;J2O13_05G009539;J2O13_05G012138;J2O13_08G018033</t>
  </si>
  <si>
    <t>J2O13_03G005582;J2O13_10G022096;J2O13_10G024141</t>
  </si>
  <si>
    <t>J2O13_02G004117;J2O13_03G006464;J2O13_04G007627;J2O13_05G009467;J2O13_06G012972;J2O13_07G016445;J2O13_10G024334</t>
  </si>
  <si>
    <t>J2O13_01G000082;J2O13_01G000282;J2O13_01G000321;J2O13_01G000549;J2O13_01G000915;J2O13_01G000959;J2O13_01G001074;J2O13_01G001150;J2O13_01G002011;J2O13_01G002019;J2O13_01G002482;J2O13_02G003093;J2O13_02G003436;J2O13_02G003547;J2O13_02G003678;J2O13_02G003811;J2O13_02G003871;J2O13_02G003939;J2O13_02G003941;J2O13_02G004043;J2O13_02G004107;J2O13_02G004144;J2O13_02G004373;J2O13_02G004417;J2O13_02G004573;J2O13_02G004691;J2O13_02G004854;J2O13_02G004965;J2O13_03G005109;J2O13_03G005387;J2O13_03G005511;J2O13_03G005839;J2O13_03G005857;J2O13_03G005928;J2O13_03G005974;J2O13_03G006064;J2O13_03G006129;J2O13_03G006449;J2O13_03G006464;J2O13_03G006604;J2O13_03G006666;J2O13_03G006692;J2O13_03G006693;J2O13_03G006740;J2O13_03G006832;J2O13_03G006990;J2O13_04G007123;J2O13_04G007124;J2O13_04G007425;J2O13_04G007963;J2O13_04G008162;J2O13_04G008213;J2O13_04G008241;J2O13_04G008335;J2O13_04G008389;J2O13_04G008489;J2O13_04G009102;J2O13_04G009233;J2O13_05G009595;J2O13_05G009622;J2O13_05G009726;J2O13_05G009803;J2O13_05G009894;J2O13_05G009913;J2O13_05G010189;J2O13_05G010236;J2O13_05G010566;J2O13_05G011000;J2O13_05G011005;J2O13_05G011152;J2O13_05G011857;J2O13_05G012107;J2O13_05G012142;J2O13_05G012427;J2O13_05G012748;J2O13_06G012829;J2O13_06G012857;J2O13_06G012939;J2O13_06G013049;J2O13_06G013101;J2O13_06G013107;J2O13_06G013134;J2O13_06G013178;J2O13_06G013217;J2O13_06G013221;J2O13_06G013292;J2O13_06G013352;J2O13_06G013386;J2O13_06G013542;J2O13_06G013702;J2O13_06G013878;J2O13_06G014032;J2O13_06G014274;J2O13_06G014544;J2O13_07G014924;J2O13_07G014949;J2O13_07G015107;J2O13_07G015199;J2O13_07G015786;J2O13_07G016241;J2O13_07G016470;J2O13_07G016673;J2O13_07G016825;J2O13_07G016841;J2O13_07G016958;J2O13_07G016960;J2O13_07G017023;J2O13_07G017080;J2O13_07G017202;J2O13_07G017251;J2O13_08G018578;J2O13_08G018801;J2O13_08G018933;J2O13_08G019043;J2O13_08G019082;J2O13_08G019190;J2O13_08G019197;J2O13_08G019204;J2O13_08G019214;J2O13_08G019259;J2O13_08G019290;J2O13_08G019367;J2O13_08G019405;J2O13_08G019539;J2O13_09G019728;J2O13_09G019756;J2O13_09G019758;J2O13_09G019768;J2O13_09G019845;J2O13_09G019865;J2O13_09G020346;J2O13_09G020363;J2O13_09G020418;J2O13_09G021183;J2O13_09G021223;J2O13_09G021358;J2O13_09G021411;J2O13_09G021461;J2O13_09G021473;J2O13_09G021892;J2O13_10G022093;J2O13_10G022254;J2O13_10G022270;J2O13_10G022312;J2O13_10G022605;J2O13_10G022711;J2O13_10G022907;J2O13_10G022919;J2O13_10G023568;J2O13_10G023817;J2O13_10G023901;J2O13_10G024123;J2O13_10G024139;J2O13_10G024177;J2O13_10G024292;J2O13_10G024421;J2O13_10G024493</t>
  </si>
  <si>
    <t>J2O13_08G019386;J2O13_09G021200</t>
  </si>
  <si>
    <t>J2O13_02G004592;J2O13_03G005375;J2O13_03G005500;J2O13_03G005786;J2O13_05G009467;J2O13_05G012050;J2O13_07G016470;J2O13_09G019984;J2O13_10G024334</t>
  </si>
  <si>
    <t>J2O13_01G000136;J2O13_01G000240;J2O13_01G001158;J2O13_01G001170;J2O13_01G001525;J2O13_01G002858;J2O13_02G004404;J2O13_02G005015;J2O13_03G005136;J2O13_03G006265;J2O13_03G006473;J2O13_04G008358;J2O13_05G009384;J2O13_05G010152;J2O13_05G011664;J2O13_05G011757;J2O13_05G011897;J2O13_05G012108;J2O13_06G013420;J2O13_06G013612;J2O13_06G013896;J2O13_06G014646;J2O13_07G016052;J2O13_07G016925;J2O13_08G017511;J2O13_08G018347;J2O13_08G018756;J2O13_08G019197;J2O13_08G019386;J2O13_08G019446;J2O13_09G019682;J2O13_09G019955;J2O13_09G020858;J2O13_09G021459;J2O13_09G021633;J2O13_10G024000;J2O13_UnG024735</t>
  </si>
  <si>
    <t>J2O13_01G000136;J2O13_01G000240;J2O13_01G001170;J2O13_01G002782;J2O13_02G004019;J2O13_02G004404;J2O13_03G005136;J2O13_03G005255;J2O13_04G007679;J2O13_05G010056;J2O13_06G013420;J2O13_07G017220;J2O13_08G017700;J2O13_08G017715;J2O13_08G018347;J2O13_08G019446;J2O13_09G019682;J2O13_09G020549;J2O13_09G021459;J2O13_UnG024735</t>
  </si>
  <si>
    <t>GO:0030433</t>
  </si>
  <si>
    <t>ubiquitin-dependent ERAD pathway</t>
  </si>
  <si>
    <t>J2O13_01G002804;J2O13_06G013733;J2O13_08G018662;J2O13_10G023901</t>
  </si>
  <si>
    <t>J2O13_02G003748;J2O13_03G005180;J2O13_03G005935;J2O13_03G006360;J2O13_04G008446;J2O13_05G010054;J2O13_05G010468;J2O13_05G010632;J2O13_06G012861;J2O13_06G013427;J2O13_06G013709;J2O13_07G015097;J2O13_08G017518;J2O13_08G018225;J2O13_10G023420;J2O13_10G023901</t>
  </si>
  <si>
    <t>J2O13_01G000594;J2O13_01G001390;J2O13_01G001415;J2O13_01G002482;J2O13_01G002815;J2O13_02G004322;J2O13_02G004935;J2O13_03G005488;J2O13_03G005565;J2O13_03G005786;J2O13_03G006624;J2O13_04G007327;J2O13_04G007437;J2O13_04G007627;J2O13_04G007634;J2O13_04G008038;J2O13_04G008328;J2O13_05G009654;J2O13_05G009687;J2O13_05G009904;J2O13_05G009946;J2O13_05G009983;J2O13_05G010387;J2O13_05G010665;J2O13_05G011488;J2O13_05G011927;J2O13_05G012197;J2O13_05G012573;J2O13_05G012681;J2O13_05G012748;J2O13_06G012853;J2O13_06G012972;J2O13_06G013400;J2O13_06G014544;J2O13_06G014669;J2O13_06G014890;J2O13_07G015107;J2O13_07G015266;J2O13_07G016787;J2O13_07G017187;J2O13_08G017882;J2O13_08G019338;J2O13_08G019387;J2O13_09G019758;J2O13_09G019943;J2O13_09G021112;J2O13_09G021863;J2O13_09G021997;J2O13_10G022093;J2O13_10G022170;J2O13_10G022919;J2O13_10G023643;J2O13_10G023840;J2O13_10G023895;J2O13_10G023901;J2O13_10G023959;J2O13_10G024442</t>
  </si>
  <si>
    <t>J2O13_01G000872;J2O13_01G002482;J2O13_02G003708;J2O13_03G005488;J2O13_03G005582;J2O13_03G005857;J2O13_05G010280;J2O13_07G016718;J2O13_09G020721;J2O13_10G023280</t>
  </si>
  <si>
    <t>J2O13_01G000088;J2O13_02G003708;J2O13_03G005488;J2O13_03G005582;J2O13_05G009654;J2O13_07G016718;J2O13_09G020721;J2O13_10G023280</t>
  </si>
  <si>
    <t>J2O13_01G000136;J2O13_01G001039;J2O13_01G001370;J2O13_01G002170;J2O13_01G002506;J2O13_01G002782;J2O13_03G005513;J2O13_04G007904;J2O13_04G008215;J2O13_04G008257;J2O13_05G009401;J2O13_05G011297;J2O13_06G013420;J2O13_07G016912;J2O13_08G017700;J2O13_08G017946;J2O13_08G018347;J2O13_08G018978;J2O13_09G020829;J2O13_09G020858;J2O13_10G022275;J2O13_10G022736;J2O13_10G023479;J2O13_10G023762;J2O13_10G024513</t>
  </si>
  <si>
    <t>J2O13_03G005935;J2O13_04G008446</t>
  </si>
  <si>
    <t>J2O13_01G001727;J2O13_01G002170;J2O13_01G002848;J2O13_02G004206;J2O13_02G004837;J2O13_02G004839;J2O13_02G005015;J2O13_03G006093;J2O13_03G006265;J2O13_03G006464;J2O13_04G007209;J2O13_04G007933;J2O13_04G008244;J2O13_04G008907;J2O13_05G009401;J2O13_05G011297;J2O13_05G011664;J2O13_06G013102;J2O13_06G013427;J2O13_07G014984;J2O13_07G015761;J2O13_08G017946;J2O13_08G018347;J2O13_08G018756;J2O13_08G018985;J2O13_09G020858;J2O13_10G022275;J2O13_10G022365;J2O13_10G022736;J2O13_10G023372;J2O13_10G023479;J2O13_10G023557;J2O13_10G024513</t>
  </si>
  <si>
    <t>GO:0022627</t>
  </si>
  <si>
    <t>cytosolic small ribosomal subunit</t>
  </si>
  <si>
    <t>J2O13_01G000088;J2O13_01G000135;J2O13_01G000594;J2O13_01G000872;J2O13_01G001180;J2O13_01G001295;J2O13_01G001370;J2O13_01G001415;J2O13_01G002699;J2O13_02G003627;J2O13_02G003708;J2O13_02G004117;J2O13_02G004167;J2O13_02G004322;J2O13_02G004735;J2O13_02G004935;J2O13_03G005488;J2O13_03G005500;J2O13_03G005582;J2O13_03G005786;J2O13_03G007058;J2O13_04G007209;J2O13_04G007437;J2O13_04G007627;J2O13_04G007634;J2O13_04G008038;J2O13_04G008328;J2O13_04G008438;J2O13_05G009654;J2O13_05G009904;J2O13_05G009946;J2O13_05G009983;J2O13_05G010280;J2O13_05G010500;J2O13_05G010503;J2O13_05G010665;J2O13_05G010963;J2O13_05G011927;J2O13_05G012197;J2O13_05G012681;J2O13_05G012714;J2O13_06G012972;J2O13_06G013572;J2O13_06G014318;J2O13_06G014669;J2O13_06G014890;J2O13_07G015098;J2O13_07G015266;J2O13_07G015629;J2O13_07G016315;J2O13_07G016445;J2O13_07G016718;J2O13_07G017187;J2O13_08G019437;J2O13_08G019456;J2O13_09G020056;J2O13_09G020721;J2O13_09G021686;J2O13_09G021742;J2O13_09G021863;J2O13_10G022096;J2O13_10G023280;J2O13_10G023419;J2O13_10G023641;J2O13_10G023959</t>
  </si>
  <si>
    <t>J2O13_05G009946;J2O13_06G014771</t>
  </si>
  <si>
    <t>J2O13_05G012089;J2O13_08G019043;J2O13_09G021411;J2O13_10G023480;J2O13_10G024006</t>
  </si>
  <si>
    <t>GO:0005635</t>
  </si>
  <si>
    <t>nuclear envelope</t>
  </si>
  <si>
    <t>J2O13_04G007376;J2O13_04G007377;J2O13_04G008935;J2O13_07G017088;J2O13_09G021536;J2O13_10G024177;J2O13_10G024292</t>
  </si>
  <si>
    <t>J2O13_01G002804;J2O13_03G006874;J2O13_04G008935;J2O13_05G010687;J2O13_06G013733;J2O13_07G014928;J2O13_07G016386;J2O13_08G018688;J2O13_10G022105</t>
  </si>
  <si>
    <t>J2O13_01G000282;J2O13_01G002011;J2O13_02G003436;J2O13_02G003871;J2O13_02G003939;J2O13_02G003941;J2O13_02G004043;J2O13_02G004107;J2O13_02G004573;J2O13_03G005109;J2O13_03G005387;J2O13_03G005511;J2O13_03G005839;J2O13_03G006129;J2O13_03G006449;J2O13_03G006464;J2O13_03G006740;J2O13_04G007963;J2O13_04G008389;J2O13_04G008489;J2O13_04G009102;J2O13_05G012107;J2O13_05G012142;J2O13_06G013049;J2O13_06G013101;J2O13_06G013221;J2O13_06G013352;J2O13_06G013386;J2O13_06G013542;J2O13_06G013702;J2O13_07G014924;J2O13_07G014949;J2O13_07G017023;J2O13_08G018578;J2O13_08G019367;J2O13_09G019768;J2O13_09G020346;J2O13_09G021223;J2O13_09G021461;J2O13_09G021473;J2O13_10G022254;J2O13_10G022907;J2O13_10G023568;J2O13_10G024123;J2O13_10G024421</t>
  </si>
  <si>
    <t>J2O13_01G000594;J2O13_01G000738;J2O13_01G001063;J2O13_01G001370;J2O13_01G002699;J2O13_02G003627;J2O13_02G003708;J2O13_02G004167;J2O13_02G004322;J2O13_02G004935;J2O13_03G005500;J2O13_03G007058;J2O13_04G007634;J2O13_04G008438;J2O13_05G009904;J2O13_05G010500;J2O13_05G010665;J2O13_05G011452;J2O13_05G011927;J2O13_05G012197;J2O13_06G013572;J2O13_06G013725;J2O13_06G014890;J2O13_07G015098;J2O13_07G015779;J2O13_07G016718;J2O13_08G018101;J2O13_08G019437;J2O13_08G019456;J2O13_09G021742;J2O13_10G022096;J2O13_10G023419;J2O13_10G023641;J2O13_10G023840;J2O13_10G023895;J2O13_10G023942;J2O13_10G023959</t>
  </si>
  <si>
    <t>J2O13_01G002858;J2O13_03G006446</t>
  </si>
  <si>
    <t>J2O13_01G000468;J2O13_01G001732;J2O13_03G006874;J2O13_04G008935;J2O13_05G012413;J2O13_07G017088;J2O13_10G022258;J2O13_10G024427</t>
  </si>
  <si>
    <t>J2O13_01G000321;J2O13_04G008045;J2O13_04G008479;J2O13_06G014344;J2O13_10G024334</t>
  </si>
  <si>
    <t>J2O13_05G011488;J2O13_08G017437;J2O13_10G023360</t>
  </si>
  <si>
    <t>J2O13_02G002925;J2O13_02G004300;J2O13_02G004897;J2O13_04G008045;J2O13_04G008348;J2O13_04G008479;J2O13_05G009539;J2O13_06G014344;J2O13_07G016839;J2O13_08G018445;J2O13_08G019197;J2O13_08G019429;J2O13_09G019623;J2O13_09G020205;J2O13_10G022082;J2O13_10G023154;J2O13_10G023302;J2O13_10G024334</t>
  </si>
  <si>
    <t>J2O13_07G016052;J2O13_08G018347;J2O13_09G021414;J2O13_10G024000</t>
  </si>
  <si>
    <t>J2O13_03G006125;J2O13_05G010665;J2O13_06G014270;J2O13_09G019574</t>
  </si>
  <si>
    <t>J2O13_01G000282;J2O13_01G000915;J2O13_01G002011;J2O13_02G003436;J2O13_02G003547;J2O13_02G003811;J2O13_02G003871;J2O13_02G003939;J2O13_02G003941;J2O13_02G004043;J2O13_02G004107;J2O13_03G005109;J2O13_03G005511;J2O13_03G005928;J2O13_03G006129;J2O13_03G006449;J2O13_03G006740;J2O13_04G008389;J2O13_04G008489;J2O13_04G009102;J2O13_05G012107;J2O13_06G013049;J2O13_06G013101;J2O13_06G013221;J2O13_06G013352;J2O13_06G013542;J2O13_06G013702;J2O13_07G014924;J2O13_07G014949;J2O13_07G016241;J2O13_07G016673;J2O13_07G017023;J2O13_08G019367;J2O13_09G019768;J2O13_09G021461;J2O13_10G022254;J2O13_10G022907;J2O13_10G024123;J2O13_10G024421</t>
  </si>
  <si>
    <t>J2O13_01G001998;J2O13_01G002584;J2O13_04G008736;J2O13_07G015107</t>
  </si>
  <si>
    <t>J2O13_07G016922;J2O13_07G016958</t>
  </si>
  <si>
    <t>J2O13_01G000282;J2O13_01G001158;J2O13_01G002170;J2O13_01G002482;J2O13_03G006265;J2O13_04G007733;J2O13_05G009565;J2O13_05G011757;J2O13_05G012276;J2O13_06G013112;J2O13_06G013452;J2O13_06G013702;J2O13_06G014032;J2O13_06G014568;J2O13_07G015254;J2O13_07G016248;J2O13_07G016596;J2O13_07G016789;J2O13_08G018347;J2O13_08G018756;J2O13_08G018808;J2O13_09G019697;J2O13_09G019955;J2O13_09G021633;J2O13_10G023901;J2O13_10G023942;J2O13_10G024061;J2O13_10G024442</t>
  </si>
  <si>
    <t>J2O13_02G003748;J2O13_03G005935;J2O13_03G006360;J2O13_04G008446;J2O13_05G010054;J2O13_05G010468;J2O13_05G010632;J2O13_06G012861;J2O13_06G013427;J2O13_06G013709;J2O13_07G015097;J2O13_08G017518;J2O13_10G023420</t>
  </si>
  <si>
    <t>J2O13_01G001160;J2O13_01G001623;J2O13_01G001998;J2O13_02G003892;J2O13_03G006313;J2O13_04G008127;J2O13_04G008736;J2O13_05G009518;J2O13_05G009894;J2O13_05G011070;J2O13_10G023867;J2O13_10G024395</t>
  </si>
  <si>
    <t>J2O13_01G001998;J2O13_03G006262;J2O13_03G006621;J2O13_04G008736;J2O13_10G023867</t>
  </si>
  <si>
    <t>J2O13_01G001998;J2O13_04G008736;J2O13_05G012473;J2O13_07G016386;J2O13_10G023867</t>
  </si>
  <si>
    <t>J2O13_01G000984;J2O13_01G001063;J2O13_01G001675;J2O13_01G001732;J2O13_01G002804;J2O13_02G003837;J2O13_03G005935;J2O13_03G006064;J2O13_03G006874;J2O13_04G007071;J2O13_04G007232;J2O13_04G008057;J2O13_04G008169;J2O13_04G008935;J2O13_05G010687;J2O13_05G011255;J2O13_05G012413;J2O13_05G012473;J2O13_06G013453;J2O13_06G013709;J2O13_07G014928;J2O13_07G016845;J2O13_07G016958;J2O13_07G017000;J2O13_07G017088;J2O13_08G017957;J2O13_08G018225;J2O13_08G018688;J2O13_10G022251;J2O13_10G022258;J2O13_10G023901;J2O13_10G024442;J2O13_UnG024726</t>
  </si>
  <si>
    <t>J2O13_03G005108;J2O13_05G012748</t>
  </si>
  <si>
    <t>J2O13_01G001998;J2O13_04G008736;J2O13_10G023867</t>
  </si>
  <si>
    <t>J2O13_01G001998;J2O13_04G008736;J2O13_10G022054;J2O13_10G022443;J2O13_10G023867</t>
  </si>
  <si>
    <t>J2O13_01G000088;J2O13_01G000135;J2O13_01G000321;J2O13_01G000538;J2O13_01G000594;J2O13_01G000715;J2O13_01G000738;J2O13_01G000750;J2O13_01G000850;J2O13_01G000872;J2O13_01G000959;J2O13_01G001009;J2O13_01G001051;J2O13_01G001074;J2O13_01G001160;J2O13_01G001180;J2O13_01G001295;J2O13_01G001370;J2O13_01G001382;J2O13_01G001415;J2O13_01G001497;J2O13_01G001727;J2O13_01G002353;J2O13_01G002482;J2O13_01G002699;J2O13_01G002815;J2O13_01G002837;J2O13_02G003436;J2O13_02G003547;J2O13_02G003627;J2O13_02G003638;J2O13_02G003708;J2O13_02G003713;J2O13_02G003748;J2O13_02G003829;J2O13_02G003869;J2O13_02G003871;J2O13_02G003892;J2O13_02G003894;J2O13_02G004117;J2O13_02G004167;J2O13_02G004175;J2O13_02G004206;J2O13_02G004322;J2O13_02G004416;J2O13_02G004417;J2O13_02G004691;J2O13_02G004735;J2O13_02G004767;J2O13_02G004854;J2O13_02G004856;J2O13_02G004935;J2O13_02G005024;J2O13_03G005108;J2O13_03G005137;J2O13_03G005272;J2O13_03G005410;J2O13_03G005425;J2O13_03G005488;J2O13_03G005489;J2O13_03G005500;J2O13_03G005522;J2O13_03G005565;J2O13_03G005582;J2O13_03G005786;J2O13_03G005857;J2O13_03G006064;J2O13_03G006088;J2O13_03G006125;J2O13_03G006464;J2O13_03G006624;J2O13_03G006740;J2O13_03G007058;J2O13_04G007124;J2O13_04G007209;J2O13_04G007289;J2O13_04G007437;J2O13_04G007627;J2O13_04G007634;J2O13_04G008038;J2O13_04G008045;J2O13_04G008057;J2O13_04G008213;J2O13_04G008328;J2O13_04G008348;J2O13_04G008438;J2O13_04G008479;J2O13_04G008570;J2O13_04G008965;J2O13_04G009102;J2O13_04G009180;J2O13_05G009401;J2O13_05G009402;J2O13_05G009467;J2O13_05G009574;J2O13_05G009654;J2O13_05G009676;J2O13_05G009773;J2O13_05G009904;J2O13_05G009946;J2O13_05G009983;J2O13_05G010054;J2O13_05G010205;J2O13_05G010280;J2O13_05G010312;J2O13_05G010387;J2O13_05G010416;J2O13_05G010500;J2O13_05G010503;J2O13_05G010665;J2O13_05G010749;J2O13_05G010935;J2O13_05G010963;J2O13_05G011416;J2O13_05G011603;J2O13_05G011927;J2O13_05G012142;J2O13_05G012197;J2O13_05G012499;J2O13_05G012573;J2O13_05G012681;J2O13_05G012714;J2O13_05G012748;J2O13_06G012853;J2O13_06G012857;J2O13_06G012972;J2O13_06G013101;J2O13_06G013206;J2O13_06G013386;J2O13_06G013400;J2O13_06G013426;J2O13_06G013457;J2O13_06G013544;J2O13_06G013572;J2O13_06G013627;J2O13_06G013733;J2O13_06G014270;J2O13_06G014318;J2O13_06G014344;J2O13_06G014540;J2O13_06G014648;J2O13_06G014669;J2O13_06G014694;J2O13_06G014751;J2O13_06G014890;J2O13_07G014923;J2O13_07G014928;J2O13_07G014981;J2O13_07G015098;J2O13_07G015107;J2O13_07G015266;J2O13_07G015343;J2O13_07G015629;J2O13_07G015761;J2O13_07G016083;J2O13_07G016315;J2O13_07G016445;J2O13_07G016678;J2O13_07G016718;J2O13_07G016721;J2O13_07G016781;J2O13_07G016894;J2O13_07G016960;J2O13_07G017000;J2O13_07G017030;J2O13_07G017187;J2O13_07G017373;J2O13_08G017457;J2O13_08G017624;J2O13_08G017807;J2O13_08G017882;J2O13_08G017957;J2O13_08G018101;J2O13_08G018578;J2O13_08G018711;J2O13_08G018756;J2O13_08G018933;J2O13_08G019099;J2O13_08G019197;J2O13_08G019276;J2O13_08G019338;J2O13_08G019387;J2O13_08G019396;J2O13_08G019405;J2O13_08G019437;J2O13_08G019460;J2O13_09G019574;J2O13_09G019623;J2O13_09G019659;J2O13_09G019682;J2O13_09G019910;J2O13_09G019943;J2O13_09G020056;J2O13_09G020125;J2O13_09G020205;J2O13_09G020721;J2O13_09G020908;J2O13_09G020930;J2O13_09G021067;J2O13_09G021112;J2O13_09G021271;J2O13_09G021399;J2O13_09G021555;J2O13_09G021686;J2O13_09G021742;J2O13_09G021863;J2O13_09G021997;J2O13_10G022089;J2O13_10G022093;J2O13_10G022096;J2O13_10G022239;J2O13_10G022251;J2O13_10G022351;J2O13_10G022534;J2O13_10G022539;J2O13_10G023154;J2O13_10G023280;J2O13_10G023297;J2O13_10G023419;J2O13_10G023459;J2O13_10G023568;J2O13_10G023641;J2O13_10G023661;J2O13_10G023792;J2O13_10G023840;J2O13_10G023942;J2O13_10G023959;J2O13_10G024123;J2O13_10G024334;J2O13_10G024429;J2O13_10G024493</t>
  </si>
  <si>
    <t>J2O13_01G002353;J2O13_07G015107</t>
  </si>
  <si>
    <r>
      <rPr>
        <b/>
        <sz val="10"/>
        <color theme="1"/>
        <rFont val="Times New Roman"/>
        <charset val="134"/>
      </rPr>
      <t>Table S7</t>
    </r>
    <r>
      <rPr>
        <sz val="10"/>
        <color theme="1"/>
        <rFont val="Times New Roman"/>
        <charset val="134"/>
      </rPr>
      <t xml:space="preserve"> KEGG enrichment analysis of all up-regulated DEGs  from diploids and tetraploids.</t>
    </r>
  </si>
  <si>
    <t>Classification_level1</t>
  </si>
  <si>
    <t>Classification_level2</t>
  </si>
  <si>
    <t>hyperlink_only_excel</t>
  </si>
  <si>
    <t>Metabolism</t>
  </si>
  <si>
    <t>Carbohydrate metabolism</t>
  </si>
  <si>
    <t>J2O13_01G002004;J2O13_03G005200;J2O13_04G007351;J2O13_07G016492</t>
  </si>
  <si>
    <t>J2O13_01G002004;J2O13_02G004152;J2O13_03G005200;J2O13_05G010455;J2O13_06G014687</t>
  </si>
  <si>
    <t>J2O13_01G001144;J2O13_01G001148;J2O13_03G005621;J2O13_04G007652;J2O13_04G007847;J2O13_05G010455;J2O13_05G011262;J2O13_05G011287;J2O13_06G013941;J2O13_07G016877;J2O13_08G018232</t>
  </si>
  <si>
    <t>J2O13_01G000212;J2O13_01G001343;J2O13_01G002004;J2O13_02G004762</t>
  </si>
  <si>
    <t>J2O13_01G001240;J2O13_05G009493;J2O13_05G011226;J2O13_10G022699;J2O13_10G024444</t>
  </si>
  <si>
    <t>J2O13_05G011287;J2O13_06G014513;J2O13_07G015660;J2O13_07G016492;J2O13_07G016644;J2O13_08G018735</t>
  </si>
  <si>
    <t>ko00061</t>
  </si>
  <si>
    <t>Fatty acid biosynthesis</t>
  </si>
  <si>
    <t>Lipid metabolism</t>
  </si>
  <si>
    <t>ko00062</t>
  </si>
  <si>
    <t>Fatty acid elongation</t>
  </si>
  <si>
    <t>J2O13_04G007519;J2O13_09G019775</t>
  </si>
  <si>
    <t>J2O13_03G005917;J2O13_06G012979;J2O13_07G016492;J2O13_08G019178;J2O13_09G020201;J2O13_09G020482</t>
  </si>
  <si>
    <t>J2O13_04G007729;J2O13_05G010220;J2O13_07G015004;J2O13_07G015005;J2O13_07G016589</t>
  </si>
  <si>
    <t>Energy metabolism</t>
  </si>
  <si>
    <t>J2O13_01G000180;J2O13_01G001976;J2O13_02G002974;J2O13_03G005485;J2O13_04G009153;J2O13_06G014234;J2O13_06G014407;J2O13_06G014413;J2O13_08G018503;J2O13_08G018504;J2O13_08G018881;J2O13_08G018883;J2O13_08G018884;J2O13_08G018889;J2O13_09G022006</t>
  </si>
  <si>
    <t>J2O13_01G000180;J2O13_03G006895;J2O13_04G009153;J2O13_06G014234;J2O13_06G014413;J2O13_08G018503;J2O13_08G018504;J2O13_08G018609;J2O13_08G018878;J2O13_08G018880;J2O13_08G018881;J2O13_08G018889;J2O13_10G023214</t>
  </si>
  <si>
    <t>Nucleotide metabolism</t>
  </si>
  <si>
    <t>J2O13_03G005251;J2O13_04G008871</t>
  </si>
  <si>
    <t>J2O13_04G008944;J2O13_09G020071</t>
  </si>
  <si>
    <t>Amino acid metabolism</t>
  </si>
  <si>
    <t>J2O13_02G003307;J2O13_02G004546;J2O13_05G011555</t>
  </si>
  <si>
    <t>J2O13_03G005129;J2O13_03G006915;J2O13_05G009387;J2O13_07G016492</t>
  </si>
  <si>
    <t>J2O13_01G000355;J2O13_01G001287;J2O13_03G006373;J2O13_05G009999;J2O13_06G013117;J2O13_10G024216</t>
  </si>
  <si>
    <t>ko00280</t>
  </si>
  <si>
    <t>Valine, leucine and isoleucine degradation</t>
  </si>
  <si>
    <t>J2O13_04G008587;J2O13_06G012979;J2O13_07G016492;J2O13_09G020201</t>
  </si>
  <si>
    <t>ko00290</t>
  </si>
  <si>
    <t>Valine, leucine and isoleucine biosynthesis</t>
  </si>
  <si>
    <t>ko00310</t>
  </si>
  <si>
    <t>Lysine degradation</t>
  </si>
  <si>
    <t>J2O13_03G005129;J2O13_07G016492</t>
  </si>
  <si>
    <t>J2O13_03G006373;J2O13_04G007969;J2O13_06G013117;J2O13_07G014963;J2O13_07G016300;J2O13_07G016492</t>
  </si>
  <si>
    <t>ko00333</t>
  </si>
  <si>
    <t>Prodigiosin biosynthesis</t>
  </si>
  <si>
    <t>Biosynthesis of other secondary metabolites</t>
  </si>
  <si>
    <t>ko00340</t>
  </si>
  <si>
    <t>Histidine metabolism</t>
  </si>
  <si>
    <t>ko00350</t>
  </si>
  <si>
    <t>Tyrosine metabolism</t>
  </si>
  <si>
    <t>ko00360</t>
  </si>
  <si>
    <t>Phenylalanine metabolism</t>
  </si>
  <si>
    <t>J2O13_03G005721;J2O13_07G016300;J2O13_10G023673</t>
  </si>
  <si>
    <t>J2O13_01G000759;J2O13_01G001389;J2O13_02G004014;J2O13_02G004016;J2O13_07G016300;J2O13_07G016492;J2O13_09G019764;J2O13_10G022413</t>
  </si>
  <si>
    <t>J2O13_03G005190;J2O13_05G009387;J2O13_09G021356;J2O13_10G024253</t>
  </si>
  <si>
    <t>ko00410</t>
  </si>
  <si>
    <t>beta-Alanine metabolism</t>
  </si>
  <si>
    <t>Metabolism of other amino acids</t>
  </si>
  <si>
    <t>J2O13_04G007969;J2O13_04G008587;J2O13_05G011555;J2O13_07G016492;J2O13_09G020482</t>
  </si>
  <si>
    <t>ko00430</t>
  </si>
  <si>
    <t>Taurine and hypotaurine metabolism</t>
  </si>
  <si>
    <t>ko00460</t>
  </si>
  <si>
    <t>Cyanoamino acid metabolism</t>
  </si>
  <si>
    <t>J2O13_02G004546;J2O13_03G006749;J2O13_07G015811;J2O13_08G018379;J2O13_10G022413;J2O13_10G023997</t>
  </si>
  <si>
    <t>ko00480</t>
  </si>
  <si>
    <t>Glutathione metabolism</t>
  </si>
  <si>
    <t>J2O13_01G002765;J2O13_01G002766;J2O13_06G012844;J2O13_06G013495;J2O13_06G013496;J2O13_06G013497;J2O13_06G013498;J2O13_08G017877;J2O13_08G018735;J2O13_08G019094</t>
  </si>
  <si>
    <t>J2O13_01G000212;J2O13_01G000795;J2O13_01G001146;J2O13_01G001147;J2O13_02G003613;J2O13_02G004595;J2O13_03G005635;J2O13_03G006749;J2O13_05G010090;J2O13_05G010953;J2O13_05G011226;J2O13_05G011614;J2O13_06G014575;J2O13_07G015811;J2O13_08G018379;J2O13_09G019561;J2O13_09G021293;J2O13_10G023997</t>
  </si>
  <si>
    <t>J2O13_01G000212;J2O13_01G001169;J2O13_05G011287;J2O13_05G012515</t>
  </si>
  <si>
    <t>J2O13_01G000311;J2O13_05G012414;J2O13_06G014077;J2O13_07G016492;J2O13_09G022014</t>
  </si>
  <si>
    <t>J2O13_01G002539;J2O13_07G016644</t>
  </si>
  <si>
    <t>J2O13_01G000311;J2O13_01G002539;J2O13_02G003922;J2O13_03G005187;J2O13_04G008847;J2O13_05G010334;J2O13_05G012414;J2O13_06G014077;J2O13_09G022014</t>
  </si>
  <si>
    <t>ko00565</t>
  </si>
  <si>
    <t>Ether lipid metabolism</t>
  </si>
  <si>
    <t>J2O13_01G002539;J2O13_03G005187;J2O13_04G008847;J2O13_05G010334</t>
  </si>
  <si>
    <t>ko00590</t>
  </si>
  <si>
    <t>Arachidonic acid metabolism</t>
  </si>
  <si>
    <t>J2O13_01G001615;J2O13_04G007675;J2O13_04G008847</t>
  </si>
  <si>
    <t>J2O13_04G007203;J2O13_04G008847;J2O13_07G016498;J2O13_08G018376;J2O13_09G019727</t>
  </si>
  <si>
    <t>J2O13_02G004666;J2O13_03G005700;J2O13_03G005917;J2O13_04G007203;J2O13_04G008847;J2O13_05G011011;J2O13_07G016498;J2O13_08G018376;J2O13_09G019727;J2O13_09G020106;J2O13_09G020201;J2O13_09G020482;J2O13_09G020540;J2O13_09G020839</t>
  </si>
  <si>
    <t>ko00600</t>
  </si>
  <si>
    <t>Sphingolipid metabolism</t>
  </si>
  <si>
    <t>ko00603</t>
  </si>
  <si>
    <t>Glycosphingolipid biosynthesis - globo and isoglobo series</t>
  </si>
  <si>
    <t>Glycan biosynthesis and metabolism</t>
  </si>
  <si>
    <t>J2O13_04G007351;J2O13_05G012792;J2O13_07G016492</t>
  </si>
  <si>
    <t>ko00627</t>
  </si>
  <si>
    <t>Aminobenzoate degradation</t>
  </si>
  <si>
    <t>Xenobiotics biodegradation and metabolism</t>
  </si>
  <si>
    <t>J2O13_07G016300;J2O13_10G022413</t>
  </si>
  <si>
    <t>J2O13_03G006883;J2O13_05G010251</t>
  </si>
  <si>
    <t>ko00640</t>
  </si>
  <si>
    <t>Propanoate metabolism</t>
  </si>
  <si>
    <t>J2O13_04G008587;J2O13_09G020482</t>
  </si>
  <si>
    <t>ko00643</t>
  </si>
  <si>
    <t>Styrene degradation</t>
  </si>
  <si>
    <t>ko00650</t>
  </si>
  <si>
    <t>Butanoate metabolism</t>
  </si>
  <si>
    <t>J2O13_05G011555;J2O13_09G019564</t>
  </si>
  <si>
    <t>ko00660</t>
  </si>
  <si>
    <t>C5-Branched dibasic acid metabolism</t>
  </si>
  <si>
    <t>ko00680</t>
  </si>
  <si>
    <t>Methane metabolism</t>
  </si>
  <si>
    <t>J2O13_01G002004;J2O13_05G012792</t>
  </si>
  <si>
    <t>J2O13_01G002004;J2O13_03G006883;J2O13_05G010455;J2O13_05G012792</t>
  </si>
  <si>
    <t>ko00720</t>
  </si>
  <si>
    <t>Carbon fixation pathways in prokaryotes</t>
  </si>
  <si>
    <t>Metabolism of cofactors and vitamins</t>
  </si>
  <si>
    <t>J2O13_03G006442;J2O13_06G013943;J2O13_09G021438</t>
  </si>
  <si>
    <t>ko00770</t>
  </si>
  <si>
    <t>Pantothenate and CoA biosynthesis</t>
  </si>
  <si>
    <t>J2O13_01G001615;J2O13_03G005398;J2O13_04G007675</t>
  </si>
  <si>
    <t>Metabolism of terpenoids and polyketides</t>
  </si>
  <si>
    <t>J2O13_02G005036;J2O13_03G006442;J2O13_04G008550;J2O13_04G009251;J2O13_05G012447;J2O13_09G021438</t>
  </si>
  <si>
    <t>J2O13_01G000996;J2O13_03G006387;J2O13_04G007116;J2O13_07G016832</t>
  </si>
  <si>
    <t>J2O13_05G011275;J2O13_07G016500;J2O13_07G016603</t>
  </si>
  <si>
    <t>J2O13_05G010193;J2O13_05G010848;J2O13_06G013534;J2O13_06G014681;J2O13_08G017454;J2O13_08G018406</t>
  </si>
  <si>
    <t>J2O13_03G005757;J2O13_04G008457;J2O13_05G011068</t>
  </si>
  <si>
    <t>J2O13_02G003635;J2O13_05G009428;J2O13_06G013989</t>
  </si>
  <si>
    <t>J2O13_04G007957;J2O13_05G009506;J2O13_09G019868;J2O13_10G022215;J2O13_10G022413</t>
  </si>
  <si>
    <t>J2O13_01G000544;J2O13_01G001389;J2O13_02G003875;J2O13_02G003876;J2O13_02G004014;J2O13_02G004016;J2O13_02G004913;J2O13_03G005721;J2O13_03G006087;J2O13_04G007501;J2O13_04G007820;J2O13_04G008451;J2O13_04G008634;J2O13_06G012844;J2O13_06G014716;J2O13_07G015075;J2O13_07G017020;J2O13_07G017047;J2O13_08G017524;J2O13_08G019492;J2O13_09G021682;J2O13_09G021738;J2O13_10G022125</t>
  </si>
  <si>
    <t>J2O13_02G004759;J2O13_04G007820;J2O13_05G009427;J2O13_07G015075;J2O13_07G017047;J2O13_09G021078;J2O13_09G021682</t>
  </si>
  <si>
    <t>ko00945</t>
  </si>
  <si>
    <t>Stilbenoid, diarylheptanoid and gingerol biosynthesis</t>
  </si>
  <si>
    <t>J2O13_04G007820;J2O13_07G015075;J2O13_07G017047;J2O13_09G021682</t>
  </si>
  <si>
    <t>ko00946</t>
  </si>
  <si>
    <t>Degradation of flavonoids</t>
  </si>
  <si>
    <t>J2O13_03G006749;J2O13_07G015811;J2O13_10G023997</t>
  </si>
  <si>
    <t>J2O13_01G002736;J2O13_01G002739</t>
  </si>
  <si>
    <t>ko00966</t>
  </si>
  <si>
    <t>Glucosinolate biosynthesis</t>
  </si>
  <si>
    <t>Genetic Information Processing</t>
  </si>
  <si>
    <t>Translation</t>
  </si>
  <si>
    <t>ko00980</t>
  </si>
  <si>
    <t>Metabolism of xenobiotics by cytochrome P450</t>
  </si>
  <si>
    <t>J2O13_01G001615;J2O13_01G002765;J2O13_01G002766;J2O13_04G007675;J2O13_06G013495;J2O13_06G013496;J2O13_06G013497;J2O13_06G013498;J2O13_08G017877;J2O13_08G019094</t>
  </si>
  <si>
    <t>ko00982</t>
  </si>
  <si>
    <t>Drug metabolism - cytochrome P450</t>
  </si>
  <si>
    <t>J2O13_01G002765;J2O13_01G002766;J2O13_06G013495;J2O13_06G013496;J2O13_06G013497;J2O13_06G013498;J2O13_08G017877;J2O13_08G019094</t>
  </si>
  <si>
    <t>ko00983</t>
  </si>
  <si>
    <t>Drug metabolism - other enzymes</t>
  </si>
  <si>
    <t>J2O13_01G001287;J2O13_03G006749;J2O13_04G007162;J2O13_04G007163;J2O13_07G015811;J2O13_08G017490;J2O13_08G017831;J2O13_08G018379;J2O13_10G023997;J2O13_10G024253</t>
  </si>
  <si>
    <t>ko01040</t>
  </si>
  <si>
    <t>Biosynthesis of unsaturated fatty acids</t>
  </si>
  <si>
    <t>J2O13_09G019775;J2O13_09G020201;J2O13_09G020482</t>
  </si>
  <si>
    <t>ko01521</t>
  </si>
  <si>
    <t>EGFR tyrosine kinase inhibitor resistance</t>
  </si>
  <si>
    <t>Human Diseases</t>
  </si>
  <si>
    <t>Drug resistance: antineoplastic</t>
  </si>
  <si>
    <t>ko01522</t>
  </si>
  <si>
    <t>Endocrine resistance</t>
  </si>
  <si>
    <t>ko01523</t>
  </si>
  <si>
    <t>Antifolate resistance</t>
  </si>
  <si>
    <t>J2O13_04G007347;J2O13_08G018790</t>
  </si>
  <si>
    <t>ko01524</t>
  </si>
  <si>
    <t>Platinum drug resistance</t>
  </si>
  <si>
    <t>J2O13_01G000420;J2O13_01G002765;J2O13_01G002766;J2O13_03G005591;J2O13_04G007347;J2O13_06G013495;J2O13_06G013496;J2O13_06G013497;J2O13_06G013498;J2O13_08G017877;J2O13_08G019094</t>
  </si>
  <si>
    <t>Environmental Information Processing</t>
  </si>
  <si>
    <t>Membrane transport</t>
  </si>
  <si>
    <t>J2O13_03G005305;J2O13_04G007347;J2O13_07G015026;J2O13_07G016683;J2O13_07G016684;J2O13_07G016685;J2O13_08G018707;J2O13_08G018790</t>
  </si>
  <si>
    <t>ko02020</t>
  </si>
  <si>
    <t>Two-component system</t>
  </si>
  <si>
    <t>Signal transduction</t>
  </si>
  <si>
    <t>J2O13_01G001144;J2O13_01G001146;J2O13_02G003613;J2O13_03G005621;J2O13_04G007652;J2O13_05G010090;J2O13_05G010953;J2O13_06G013941;J2O13_09G019561</t>
  </si>
  <si>
    <t>ko02024</t>
  </si>
  <si>
    <t>Quorum sensing</t>
  </si>
  <si>
    <t>Cellular Processes</t>
  </si>
  <si>
    <t>Cellular community - prokaryotes</t>
  </si>
  <si>
    <t>J2O13_01G002539;J2O13_04G007847;J2O13_05G011262;J2O13_05G011555;J2O13_09G021356</t>
  </si>
  <si>
    <t>J2O13_01G001619;J2O13_01G002641;J2O13_01G002642;J2O13_02G002945;J2O13_02G003083;J2O13_05G010536;J2O13_05G011786;J2O13_08G017476;J2O13_09G020272;J2O13_10G023029</t>
  </si>
  <si>
    <t>J2O13_08G018121;J2O13_10G023644</t>
  </si>
  <si>
    <t>J2O13_06G012902;J2O13_08G018121</t>
  </si>
  <si>
    <t>Folding, sorting and degradation</t>
  </si>
  <si>
    <t>J2O13_05G009482;J2O13_07G014936;J2O13_10G024085</t>
  </si>
  <si>
    <t>Transcription</t>
  </si>
  <si>
    <t>J2O13_02G002944;J2O13_03G006898;J2O13_04G007473;J2O13_08G018505;J2O13_08G018879;J2O13_10G023263;J2O13_10G023264</t>
  </si>
  <si>
    <t>ko03040</t>
  </si>
  <si>
    <t>Spliceosome</t>
  </si>
  <si>
    <t>ko03320</t>
  </si>
  <si>
    <t>PPAR signaling pathway</t>
  </si>
  <si>
    <t>Organismal Systems</t>
  </si>
  <si>
    <t>Endocrine system</t>
  </si>
  <si>
    <t>J2O13_06G012979;J2O13_09G020201;J2O13_09G020482</t>
  </si>
  <si>
    <t>Replication and repair</t>
  </si>
  <si>
    <t>ko03420</t>
  </si>
  <si>
    <t>Nucleotide excision repair</t>
  </si>
  <si>
    <t>ko03430</t>
  </si>
  <si>
    <t>Mismatch repair</t>
  </si>
  <si>
    <t>J2O13_02G003399;J2O13_07G016132</t>
  </si>
  <si>
    <t>J2O13_03G005838;J2O13_03G005911;J2O13_07G017050</t>
  </si>
  <si>
    <t>ko04012</t>
  </si>
  <si>
    <t>ErbB signaling pathway</t>
  </si>
  <si>
    <t>ko04013</t>
  </si>
  <si>
    <t>MAPK signaling pathway - fly</t>
  </si>
  <si>
    <t>J2O13_03G005833;J2O13_03G005838;J2O13_03G005911</t>
  </si>
  <si>
    <t>ko04014</t>
  </si>
  <si>
    <t>Ras signaling pathway</t>
  </si>
  <si>
    <t>J2O13_03G005838;J2O13_03G005911;J2O13_04G008139;J2O13_04G008847;J2O13_05G010334</t>
  </si>
  <si>
    <t>ko04015</t>
  </si>
  <si>
    <t>Rap1 signaling pathway</t>
  </si>
  <si>
    <t>J2O13_03G005833;J2O13_03G005838;J2O13_03G005911;J2O13_04G008139</t>
  </si>
  <si>
    <t>J2O13_01G000355;J2O13_01G001427;J2O13_03G005267;J2O13_03G005863;J2O13_04G007516;J2O13_04G008139;J2O13_05G009319;J2O13_05G009658;J2O13_05G012515;J2O13_06G013355;J2O13_06G013821;J2O13_09G020845;J2O13_10G023687;J2O13_10G024579</t>
  </si>
  <si>
    <t>ko04020</t>
  </si>
  <si>
    <t>Calcium signaling pathway</t>
  </si>
  <si>
    <t>ko04022</t>
  </si>
  <si>
    <t>cGMP-PKG signaling pathway</t>
  </si>
  <si>
    <t>J2O13_03G005838;J2O13_04G008139</t>
  </si>
  <si>
    <t>ko04024</t>
  </si>
  <si>
    <t>cAMP signaling pathway</t>
  </si>
  <si>
    <t>J2O13_03G005838;J2O13_03G005911;J2O13_04G008139;J2O13_05G010334;J2O13_09G020482</t>
  </si>
  <si>
    <t>ko04062</t>
  </si>
  <si>
    <t>Chemokine signaling pathway</t>
  </si>
  <si>
    <t>Immune system</t>
  </si>
  <si>
    <t>J2O13_03G005838;J2O13_03G005911</t>
  </si>
  <si>
    <t>ko04066</t>
  </si>
  <si>
    <t>HIF-1 signaling pathway</t>
  </si>
  <si>
    <t>J2O13_01G002004;J2O13_03G005838</t>
  </si>
  <si>
    <t>ko04068</t>
  </si>
  <si>
    <t>FoxO signaling pathway</t>
  </si>
  <si>
    <t>J2O13_04G008139;J2O13_06G014077;J2O13_09G022014</t>
  </si>
  <si>
    <t>ko04071</t>
  </si>
  <si>
    <t>Sphingolipid signaling pathway</t>
  </si>
  <si>
    <t>J2O13_03G005838;J2O13_03G005911;J2O13_05G010334;J2O13_10G023520</t>
  </si>
  <si>
    <t>ko04072</t>
  </si>
  <si>
    <t>Phospholipase D signaling pathway</t>
  </si>
  <si>
    <t>J2O13_03G005838;J2O13_05G010334;J2O13_06G014077;J2O13_09G022014</t>
  </si>
  <si>
    <t>J2O13_01G000909;J2O13_01G001318;J2O13_01G001427;J2O13_01G001528;J2O13_01G002627;J2O13_02G004078;J2O13_02G004463;J2O13_02G004547;J2O13_02G004848;J2O13_02G004853;J2O13_03G005267;J2O13_03G005611;J2O13_03G005661;J2O13_03G005766;J2O13_03G005863;J2O13_03G006121;J2O13_04G007516;J2O13_04G008718;J2O13_05G009658;J2O13_05G011592;J2O13_05G012599;J2O13_06G013355;J2O13_06G013460;J2O13_06G014014;J2O13_07G016280;J2O13_07G016343;J2O13_07G016349;J2O13_07G016481;J2O13_07G016672;J2O13_07G016821;J2O13_08G017503;J2O13_08G017555;J2O13_09G020845;J2O13_09G021485;J2O13_09G021636;J2O13_10G022347;J2O13_10G024265</t>
  </si>
  <si>
    <t>Cell growth and death</t>
  </si>
  <si>
    <t>J2O13_02G005047;J2O13_07G016132;J2O13_10G023794</t>
  </si>
  <si>
    <t>J2O13_02G005047;J2O13_05G012271;J2O13_10G023794</t>
  </si>
  <si>
    <t>J2O13_02G005047;J2O13_10G023794</t>
  </si>
  <si>
    <t>ko04114</t>
  </si>
  <si>
    <t>Oocyte meiosis</t>
  </si>
  <si>
    <t>J2O13_02G005047;J2O13_03G005838;J2O13_04G008139;J2O13_10G023794</t>
  </si>
  <si>
    <t>ko04115</t>
  </si>
  <si>
    <t>p53 signaling pathway</t>
  </si>
  <si>
    <t>J2O13_03G005363;J2O13_07G015105;J2O13_07G016132</t>
  </si>
  <si>
    <t>J2O13_03G005363;J2O13_07G015105;J2O13_08G019195;J2O13_10G023794</t>
  </si>
  <si>
    <t>ko04140</t>
  </si>
  <si>
    <t>Autophagy - animal</t>
  </si>
  <si>
    <t>Transport and catabolism</t>
  </si>
  <si>
    <t>J2O13_01G002775;J2O13_01G002779;J2O13_02G004887;J2O13_03G005545;J2O13_03G005546;J2O13_07G015378;J2O13_07G015379;J2O13_07G016174;J2O13_07G017050;J2O13_08G018961;J2O13_08G019195;J2O13_10G024408</t>
  </si>
  <si>
    <t>J2O13_02G004775;J2O13_05G010418;J2O13_08G019059</t>
  </si>
  <si>
    <t>J2O13_04G007692;J2O13_05G010334;J2O13_07G015385;J2O13_07G017050</t>
  </si>
  <si>
    <t>ko04145</t>
  </si>
  <si>
    <t>Phagosome</t>
  </si>
  <si>
    <t>J2O13_03G005911;J2O13_10G024408</t>
  </si>
  <si>
    <t>ko04146</t>
  </si>
  <si>
    <t>Peroxisome</t>
  </si>
  <si>
    <t>J2O13_03G005129;J2O13_07G015004;J2O13_07G015005;J2O13_09G020201;J2O13_09G020482</t>
  </si>
  <si>
    <t>ko04150</t>
  </si>
  <si>
    <t>mTOR signaling pathway</t>
  </si>
  <si>
    <t>ko04151</t>
  </si>
  <si>
    <t>PI3K-Akt signaling pathway</t>
  </si>
  <si>
    <t>J2O13_02G004887;J2O13_03G005838;J2O13_03G005911</t>
  </si>
  <si>
    <t>ko04152</t>
  </si>
  <si>
    <t>AMPK signaling pathway</t>
  </si>
  <si>
    <t>ko04210</t>
  </si>
  <si>
    <t>Apoptosis</t>
  </si>
  <si>
    <t>J2O13_03G005838;J2O13_08G019059</t>
  </si>
  <si>
    <t>ko04212</t>
  </si>
  <si>
    <t>Longevity regulating pathway - worm</t>
  </si>
  <si>
    <t>Aging</t>
  </si>
  <si>
    <t>J2O13_01G002765;J2O13_01G002766;J2O13_06G013495;J2O13_06G013496;J2O13_06G013497;J2O13_06G013498;J2O13_07G015004;J2O13_07G015005;J2O13_08G017877;J2O13_08G019094</t>
  </si>
  <si>
    <t>ko04214</t>
  </si>
  <si>
    <t>Apoptosis - fly</t>
  </si>
  <si>
    <t>J2O13_01G001089;J2O13_07G016132</t>
  </si>
  <si>
    <t>ko04217</t>
  </si>
  <si>
    <t>Necroptosis</t>
  </si>
  <si>
    <t>J2O13_03G006020;J2O13_06G013977</t>
  </si>
  <si>
    <t>ko04218</t>
  </si>
  <si>
    <t>Cellular senescence</t>
  </si>
  <si>
    <t>J2O13_03G005838;J2O13_04G008139;J2O13_07G016132</t>
  </si>
  <si>
    <t>ko04260</t>
  </si>
  <si>
    <t>Cardiac muscle contraction</t>
  </si>
  <si>
    <t>Circulatory system</t>
  </si>
  <si>
    <t>ko04261</t>
  </si>
  <si>
    <t>Adrenergic signaling in cardiomyocytes</t>
  </si>
  <si>
    <t>ko04270</t>
  </si>
  <si>
    <t>Vascular smooth muscle contraction</t>
  </si>
  <si>
    <t>J2O13_03G005838;J2O13_04G008139;J2O13_04G008847</t>
  </si>
  <si>
    <t>ko04360</t>
  </si>
  <si>
    <t>Axon guidance</t>
  </si>
  <si>
    <t>Development and regeneration</t>
  </si>
  <si>
    <t>J2O13_03G005911;J2O13_07G016258</t>
  </si>
  <si>
    <t>J2O13_03G005911;J2O13_06G013296;J2O13_06G014077;J2O13_09G022014</t>
  </si>
  <si>
    <t>ko04370</t>
  </si>
  <si>
    <t>VEGF signaling pathway</t>
  </si>
  <si>
    <t>ko04371</t>
  </si>
  <si>
    <t>Apelin signaling pathway</t>
  </si>
  <si>
    <t>ko04380</t>
  </si>
  <si>
    <t>Osteoclast differentiation</t>
  </si>
  <si>
    <t>ko04510</t>
  </si>
  <si>
    <t>Focal adhesion</t>
  </si>
  <si>
    <t>Cellular community - eukaryotes</t>
  </si>
  <si>
    <t>ko04530</t>
  </si>
  <si>
    <t>Tight junction</t>
  </si>
  <si>
    <t>ko04540</t>
  </si>
  <si>
    <t>Gap junction</t>
  </si>
  <si>
    <t>J2O13_03G005838;J2O13_03G006137</t>
  </si>
  <si>
    <t>J2O13_05G010418;J2O13_06G013698;J2O13_07G017050;J2O13_10G023650;J2O13_10G024408</t>
  </si>
  <si>
    <t>ko04613</t>
  </si>
  <si>
    <t>Neutrophil extracellular trap formation</t>
  </si>
  <si>
    <t>J2O13_02G004827;J2O13_03G005838;J2O13_03G005911;J2O13_03G006020;J2O13_04G008249;J2O13_06G013977;J2O13_07G015287;J2O13_07G015349;J2O13_07G015870</t>
  </si>
  <si>
    <t>ko04620</t>
  </si>
  <si>
    <t>Toll-like receptor signaling pathway</t>
  </si>
  <si>
    <t>ko04623</t>
  </si>
  <si>
    <t>Cytosolic DNA-sensing pathway</t>
  </si>
  <si>
    <t>ko04625</t>
  </si>
  <si>
    <t>C-type lectin receptor signaling pathway</t>
  </si>
  <si>
    <t>Environmental adaptation</t>
  </si>
  <si>
    <t>J2O13_01G000783;J2O13_01G000862;J2O13_02G003484;J2O13_02G004020;J2O13_02G004887;J2O13_02G004917;J2O13_02G005061;J2O13_03G005838;J2O13_04G007519;J2O13_04G008139;J2O13_04G008903;J2O13_06G013302;J2O13_06G014086;J2O13_06G014087;J2O13_07G016811;J2O13_08G019059;J2O13_09G021805;J2O13_10G022496;J2O13_10G023687;J2O13_10G023837;J2O13_10G024579</t>
  </si>
  <si>
    <t>ko04650</t>
  </si>
  <si>
    <t>Natural killer cell mediated cytotoxicity</t>
  </si>
  <si>
    <t>ko04657</t>
  </si>
  <si>
    <t>IL-17 signaling pathway</t>
  </si>
  <si>
    <t>ko04660</t>
  </si>
  <si>
    <t>T cell receptor signaling pathway</t>
  </si>
  <si>
    <t>ko04662</t>
  </si>
  <si>
    <t>B cell receptor signaling pathway</t>
  </si>
  <si>
    <t>ko04664</t>
  </si>
  <si>
    <t>Fc epsilon RI signaling pathway</t>
  </si>
  <si>
    <t>ko04666</t>
  </si>
  <si>
    <t>Fc gamma R-mediated phagocytosis</t>
  </si>
  <si>
    <t>J2O13_03G005838;J2O13_03G005911;J2O13_05G010334;J2O13_07G016258</t>
  </si>
  <si>
    <t>ko04668</t>
  </si>
  <si>
    <t>TNF signaling pathway</t>
  </si>
  <si>
    <t>ko04670</t>
  </si>
  <si>
    <t>Leukocyte transendothelial migration</t>
  </si>
  <si>
    <t>ko04713</t>
  </si>
  <si>
    <t>Circadian entrainment</t>
  </si>
  <si>
    <t>J2O13_01G001976;J2O13_03G005485;J2O13_05G010546</t>
  </si>
  <si>
    <t>ko04720</t>
  </si>
  <si>
    <t>Long-term potentiation</t>
  </si>
  <si>
    <t>Nervous system</t>
  </si>
  <si>
    <t>ko04721</t>
  </si>
  <si>
    <t>Synaptic vesicle cycle</t>
  </si>
  <si>
    <t>J2O13_01G000605;J2O13_05G011937</t>
  </si>
  <si>
    <t>ko04722</t>
  </si>
  <si>
    <t>Neurotrophin signaling pathway</t>
  </si>
  <si>
    <t>J2O13_03G005838;J2O13_03G005911;J2O13_04G008139;J2O13_09G020290</t>
  </si>
  <si>
    <t>ko04723</t>
  </si>
  <si>
    <t>Retrograde endocannabinoid signaling</t>
  </si>
  <si>
    <t>ko04724</t>
  </si>
  <si>
    <t>Glutamatergic synapse</t>
  </si>
  <si>
    <t>ko04725</t>
  </si>
  <si>
    <t>Cholinergic synapse</t>
  </si>
  <si>
    <t>ko04726</t>
  </si>
  <si>
    <t>Serotonergic synapse</t>
  </si>
  <si>
    <t>ko04727</t>
  </si>
  <si>
    <t>GABAergic synapse</t>
  </si>
  <si>
    <t>J2O13_01G000605;J2O13_05G011555;J2O13_05G011937</t>
  </si>
  <si>
    <t>ko04728</t>
  </si>
  <si>
    <t>Dopaminergic synapse</t>
  </si>
  <si>
    <t>ko04730</t>
  </si>
  <si>
    <t>Long-term depression</t>
  </si>
  <si>
    <t>ko04740</t>
  </si>
  <si>
    <t>Olfactory transduction</t>
  </si>
  <si>
    <t>Sensory system</t>
  </si>
  <si>
    <t>ko04744</t>
  </si>
  <si>
    <t>Phototransduction</t>
  </si>
  <si>
    <t>ko04745</t>
  </si>
  <si>
    <t>Phototransduction - fly</t>
  </si>
  <si>
    <t>ko04750</t>
  </si>
  <si>
    <t>Inflammatory mediator regulation of TRP channels</t>
  </si>
  <si>
    <t>ko04810</t>
  </si>
  <si>
    <t>Regulation of actin cytoskeleton</t>
  </si>
  <si>
    <t>Cell motility</t>
  </si>
  <si>
    <t>J2O13_03G005833;J2O13_03G005838;J2O13_03G005911;J2O13_07G016258</t>
  </si>
  <si>
    <t>J2O13_06G013970;J2O13_06G014695;J2O13_10G022859</t>
  </si>
  <si>
    <t>ko04910</t>
  </si>
  <si>
    <t>Insulin signaling pathway</t>
  </si>
  <si>
    <t>J2O13_03G005838;J2O13_04G008139;J2O13_10G023340</t>
  </si>
  <si>
    <t>ko04912</t>
  </si>
  <si>
    <t>GnRH signaling pathway</t>
  </si>
  <si>
    <t>J2O13_03G005838;J2O13_04G008139;J2O13_05G010334</t>
  </si>
  <si>
    <t>ko04914</t>
  </si>
  <si>
    <t>Progesterone-mediated oocyte maturation</t>
  </si>
  <si>
    <t>J2O13_02G005047;J2O13_03G005838</t>
  </si>
  <si>
    <t>ko04915</t>
  </si>
  <si>
    <t>Estrogen signaling pathway</t>
  </si>
  <si>
    <t>J2O13_02G004887;J2O13_03G005838;J2O13_04G008139;J2O13_07G017050</t>
  </si>
  <si>
    <t>ko04916</t>
  </si>
  <si>
    <t>Melanogenesis</t>
  </si>
  <si>
    <t>ko04917</t>
  </si>
  <si>
    <t>Prolactin signaling pathway</t>
  </si>
  <si>
    <t>ko04918</t>
  </si>
  <si>
    <t>Thyroid hormone synthesis</t>
  </si>
  <si>
    <t>ko04919</t>
  </si>
  <si>
    <t>Thyroid hormone signaling pathway</t>
  </si>
  <si>
    <t>J2O13_01G002539;J2O13_03G005838</t>
  </si>
  <si>
    <t>ko04921</t>
  </si>
  <si>
    <t>Oxytocin signaling pathway</t>
  </si>
  <si>
    <t>ko04922</t>
  </si>
  <si>
    <t>Glucagon signaling pathway</t>
  </si>
  <si>
    <t>J2O13_04G007351;J2O13_04G008139</t>
  </si>
  <si>
    <t>ko04924</t>
  </si>
  <si>
    <t>Renin secretion</t>
  </si>
  <si>
    <t>ko04925</t>
  </si>
  <si>
    <t>Aldosterone synthesis and secretion</t>
  </si>
  <si>
    <t>ko04926</t>
  </si>
  <si>
    <t>Relaxin signaling pathway</t>
  </si>
  <si>
    <t>ko04928</t>
  </si>
  <si>
    <t>Parathyroid hormone synthesis, secretion and action</t>
  </si>
  <si>
    <t>J2O13_03G005838;J2O13_05G010334</t>
  </si>
  <si>
    <t>ko04930</t>
  </si>
  <si>
    <t>Type II diabetes mellitus</t>
  </si>
  <si>
    <t>Endocrine and metabolic disease</t>
  </si>
  <si>
    <t>ko04931</t>
  </si>
  <si>
    <t>Insulin resistance</t>
  </si>
  <si>
    <t>J2O13_03G005863;J2O13_04G007516</t>
  </si>
  <si>
    <t>ko04932</t>
  </si>
  <si>
    <t>Non-alcoholic fatty liver disease</t>
  </si>
  <si>
    <t>J2O13_01G001976;J2O13_03G005911</t>
  </si>
  <si>
    <t>ko04933</t>
  </si>
  <si>
    <t>AGE-RAGE signaling pathway in diabetic complications</t>
  </si>
  <si>
    <t>J2O13_03G005838;J2O13_10G024157</t>
  </si>
  <si>
    <t>ko04935</t>
  </si>
  <si>
    <t>Growth hormone synthesis, secretion and action</t>
  </si>
  <si>
    <t>ko04936</t>
  </si>
  <si>
    <t>Alcoholic liver disease</t>
  </si>
  <si>
    <t>J2O13_06G012979;J2O13_07G016492;J2O13_09G020482</t>
  </si>
  <si>
    <t>ko04940</t>
  </si>
  <si>
    <t>Type I diabetes mellitus</t>
  </si>
  <si>
    <t>ko04962</t>
  </si>
  <si>
    <t>Vasopressin-regulated water reabsorption</t>
  </si>
  <si>
    <t>Excretory system</t>
  </si>
  <si>
    <t>ko04970</t>
  </si>
  <si>
    <t>Salivary secretion</t>
  </si>
  <si>
    <t>Digestive system</t>
  </si>
  <si>
    <t>J2O13_02G004595;J2O13_04G008139</t>
  </si>
  <si>
    <t>ko04971</t>
  </si>
  <si>
    <t>Gastric acid secretion</t>
  </si>
  <si>
    <t>ko04972</t>
  </si>
  <si>
    <t>Pancreatic secretion</t>
  </si>
  <si>
    <t>J2O13_02G004595;J2O13_03G005911;J2O13_04G008847</t>
  </si>
  <si>
    <t>ko04973</t>
  </si>
  <si>
    <t>Carbohydrate digestion and absorption</t>
  </si>
  <si>
    <t>ko04975</t>
  </si>
  <si>
    <t>Fat digestion and absorption</t>
  </si>
  <si>
    <t>ko04976</t>
  </si>
  <si>
    <t>Bile secretion</t>
  </si>
  <si>
    <t>J2O13_02G005036;J2O13_04G007347;J2O13_04G009251;J2O13_05G012447;J2O13_08G018790</t>
  </si>
  <si>
    <t>ko04978</t>
  </si>
  <si>
    <t>Mineral absorption</t>
  </si>
  <si>
    <t>ko04979</t>
  </si>
  <si>
    <t>Cholesterol metabolism</t>
  </si>
  <si>
    <t>ko05010</t>
  </si>
  <si>
    <t>Alzheimer disease</t>
  </si>
  <si>
    <t>Neurodegenerative disease</t>
  </si>
  <si>
    <t>J2O13_01G001976;J2O13_03G005838;J2O13_04G008139</t>
  </si>
  <si>
    <t>ko05012</t>
  </si>
  <si>
    <t>Parkinson disease</t>
  </si>
  <si>
    <t>J2O13_01G001976;J2O13_04G008139;J2O13_08G019195</t>
  </si>
  <si>
    <t>ko05014</t>
  </si>
  <si>
    <t>Amyotrophic lateral sclerosis</t>
  </si>
  <si>
    <t>J2O13_01G001976;J2O13_03G005833;J2O13_03G005911</t>
  </si>
  <si>
    <t>ko05016</t>
  </si>
  <si>
    <t>Huntington disease</t>
  </si>
  <si>
    <t>J2O13_01G001976;J2O13_04G007473</t>
  </si>
  <si>
    <t>J2O13_01G001976;J2O13_03G005911;J2O13_07G017050</t>
  </si>
  <si>
    <t>ko05022</t>
  </si>
  <si>
    <t>Pathways of neurodegeneration - multiple diseases</t>
  </si>
  <si>
    <t>J2O13_01G001976;J2O13_03G005838;J2O13_03G005911;J2O13_04G008139;J2O13_08G019195</t>
  </si>
  <si>
    <t>ko05031</t>
  </si>
  <si>
    <t>Amphetamine addiction</t>
  </si>
  <si>
    <t>Substance dependence</t>
  </si>
  <si>
    <t>ko05032</t>
  </si>
  <si>
    <t>Morphine addiction</t>
  </si>
  <si>
    <t>ko05033</t>
  </si>
  <si>
    <t>Nicotine addiction</t>
  </si>
  <si>
    <t>ko05034</t>
  </si>
  <si>
    <t>Alcoholism</t>
  </si>
  <si>
    <t>J2O13_02G004827;J2O13_03G005838;J2O13_03G006020;J2O13_04G008139;J2O13_04G008249;J2O13_06G013977;J2O13_07G015287;J2O13_07G015349;J2O13_07G015870</t>
  </si>
  <si>
    <t>ko05100</t>
  </si>
  <si>
    <t>Bacterial invasion of epithelial cells</t>
  </si>
  <si>
    <t>Infectious disease: bacterial</t>
  </si>
  <si>
    <t>ko05120</t>
  </si>
  <si>
    <t>Epithelial cell signaling in Helicobacter pylori infection</t>
  </si>
  <si>
    <t>ko05130</t>
  </si>
  <si>
    <t>Pathogenic Escherichia coli infection</t>
  </si>
  <si>
    <t>ko05131</t>
  </si>
  <si>
    <t>Shigellosis</t>
  </si>
  <si>
    <t>J2O13_02G004827;J2O13_03G005833;J2O13_03G005911;J2O13_07G015870</t>
  </si>
  <si>
    <t>ko05132</t>
  </si>
  <si>
    <t>Salmonella infection</t>
  </si>
  <si>
    <t>J2O13_02G004887;J2O13_03G005833;J2O13_03G005838;J2O13_03G005911;J2O13_10G023340</t>
  </si>
  <si>
    <t>ko05133</t>
  </si>
  <si>
    <t>Pertussis</t>
  </si>
  <si>
    <t>J2O13_04G008139;J2O13_07G016258</t>
  </si>
  <si>
    <t>ko05134</t>
  </si>
  <si>
    <t>Legionellosis</t>
  </si>
  <si>
    <t>ko05135</t>
  </si>
  <si>
    <t>Yersinia infection</t>
  </si>
  <si>
    <t>ko05142</t>
  </si>
  <si>
    <t>Chagas disease</t>
  </si>
  <si>
    <t>Infectious disease: parasitic</t>
  </si>
  <si>
    <t>ko05145</t>
  </si>
  <si>
    <t>Toxoplasmosis</t>
  </si>
  <si>
    <t>J2O13_02G004917;J2O13_07G017050;J2O13_10G022496</t>
  </si>
  <si>
    <t>ko05152</t>
  </si>
  <si>
    <t>Tuberculosis</t>
  </si>
  <si>
    <t>J2O13_04G008139;J2O13_06G013698</t>
  </si>
  <si>
    <t>ko05160</t>
  </si>
  <si>
    <t>Hepatitis C</t>
  </si>
  <si>
    <t>Infectious disease: viral</t>
  </si>
  <si>
    <t>ko05161</t>
  </si>
  <si>
    <t>Hepatitis B</t>
  </si>
  <si>
    <t>ko05162</t>
  </si>
  <si>
    <t>Measles</t>
  </si>
  <si>
    <t>J2O13_03G005363;J2O13_07G015105;J2O13_07G017050</t>
  </si>
  <si>
    <t>ko05163</t>
  </si>
  <si>
    <t>Human cytomegalovirus infection</t>
  </si>
  <si>
    <t>J2O13_03G005838;J2O13_03G005911;J2O13_04G008139;J2O13_10G024408</t>
  </si>
  <si>
    <t>ko05164</t>
  </si>
  <si>
    <t>Influenza A</t>
  </si>
  <si>
    <t>ko05165</t>
  </si>
  <si>
    <t>Human papillomavirus infection</t>
  </si>
  <si>
    <t>J2O13_03G005838;J2O13_04G007351;J2O13_07G016132</t>
  </si>
  <si>
    <t>J2O13_01G001089;J2O13_03G005838;J2O13_05G011636;J2O13_05G012537;J2O13_06G013698;J2O13_07G016132;J2O13_07G016792;J2O13_10G023794;J2O13_10G024408</t>
  </si>
  <si>
    <t>ko05167</t>
  </si>
  <si>
    <t>Kaposi sarcoma-associated herpesvirus infection</t>
  </si>
  <si>
    <t>J2O13_03G005838;J2O13_03G005911;J2O13_04G008139</t>
  </si>
  <si>
    <t>ko05169</t>
  </si>
  <si>
    <t>Epstein-Barr virus infection</t>
  </si>
  <si>
    <t>ko05170</t>
  </si>
  <si>
    <t>Human immunodeficiency virus 1 infection</t>
  </si>
  <si>
    <t>J2O13_03G005838;J2O13_03G005911;J2O13_04G008139;J2O13_07G016132;J2O13_07G016258;J2O13_10G024408</t>
  </si>
  <si>
    <t>ko05171</t>
  </si>
  <si>
    <t>Coronavirus disease - COVID-19</t>
  </si>
  <si>
    <t>J2O13_05G011786;J2O13_08G017476;J2O13_09G020272</t>
  </si>
  <si>
    <t>ko05200</t>
  </si>
  <si>
    <t>Pathways in cancer</t>
  </si>
  <si>
    <t>Cancer: overview</t>
  </si>
  <si>
    <t>J2O13_01G000420;J2O13_01G002765;J2O13_01G002766;J2O13_02G004887;J2O13_03G005838;J2O13_03G005911;J2O13_04G008139;J2O13_05G010334;J2O13_06G013495;J2O13_06G013496;J2O13_06G013497;J2O13_06G013498;J2O13_08G017877;J2O13_08G019094</t>
  </si>
  <si>
    <t>ko05202</t>
  </si>
  <si>
    <t>Transcriptional misregulation in cancer</t>
  </si>
  <si>
    <t>J2O13_02G004827;J2O13_07G015870</t>
  </si>
  <si>
    <t>ko05203</t>
  </si>
  <si>
    <t>Viral carcinogenesis</t>
  </si>
  <si>
    <t>J2O13_03G005911;J2O13_04G007351;J2O13_04G008249;J2O13_05G011636;J2O13_07G015287;J2O13_07G015349;J2O13_10G023794</t>
  </si>
  <si>
    <t>ko05204</t>
  </si>
  <si>
    <t>Chemical carcinogenesis - DNA adducts</t>
  </si>
  <si>
    <t>ko05205</t>
  </si>
  <si>
    <t>Proteoglycans in cancer</t>
  </si>
  <si>
    <t>ko05206</t>
  </si>
  <si>
    <t>MicroRNAs in cancer</t>
  </si>
  <si>
    <t>ko05207</t>
  </si>
  <si>
    <t>Chemical carcinogenesis - receptor activation</t>
  </si>
  <si>
    <t>J2O13_01G002765;J2O13_01G002766;J2O13_02G004887;J2O13_03G005838;J2O13_06G013495;J2O13_06G013496;J2O13_06G013497;J2O13_06G013498;J2O13_08G017877;J2O13_08G019094;J2O13_10G023644</t>
  </si>
  <si>
    <t>ko05208</t>
  </si>
  <si>
    <t>Chemical carcinogenesis - reactive oxygen species</t>
  </si>
  <si>
    <t>J2O13_01G001615;J2O13_01G001976;J2O13_01G002765;J2O13_01G002766;J2O13_03G005838;J2O13_03G005911;J2O13_04G007675;J2O13_05G010334;J2O13_06G013495;J2O13_06G013496;J2O13_06G013497;J2O13_06G013498;J2O13_08G017877;J2O13_08G019094</t>
  </si>
  <si>
    <t>ko05210</t>
  </si>
  <si>
    <t>Colorectal cancer</t>
  </si>
  <si>
    <t>Cancer: specific types</t>
  </si>
  <si>
    <t>J2O13_01G000420;J2O13_03G005838;J2O13_03G005911</t>
  </si>
  <si>
    <t>ko05211</t>
  </si>
  <si>
    <t>Renal cell carcinoma</t>
  </si>
  <si>
    <t>ko05212</t>
  </si>
  <si>
    <t>Pancreatic cancer</t>
  </si>
  <si>
    <t>J2O13_03G005838;J2O13_03G005911;J2O13_05G010334</t>
  </si>
  <si>
    <t>ko05213</t>
  </si>
  <si>
    <t>Endometrial cancer</t>
  </si>
  <si>
    <t>ko05214</t>
  </si>
  <si>
    <t>Glioma</t>
  </si>
  <si>
    <t>ko05215</t>
  </si>
  <si>
    <t>Prostate cancer</t>
  </si>
  <si>
    <t>J2O13_02G004887;J2O13_03G005838</t>
  </si>
  <si>
    <t>ko05216</t>
  </si>
  <si>
    <t>Thyroid cancer</t>
  </si>
  <si>
    <t>ko05218</t>
  </si>
  <si>
    <t>Melanoma</t>
  </si>
  <si>
    <t>ko05219</t>
  </si>
  <si>
    <t>Bladder cancer</t>
  </si>
  <si>
    <t>ko05220</t>
  </si>
  <si>
    <t>Chronic myeloid leukemia</t>
  </si>
  <si>
    <t>ko05221</t>
  </si>
  <si>
    <t>Acute myeloid leukemia</t>
  </si>
  <si>
    <t>ko05223</t>
  </si>
  <si>
    <t>Non-small cell lung cancer</t>
  </si>
  <si>
    <t>ko05224</t>
  </si>
  <si>
    <t>Breast cancer</t>
  </si>
  <si>
    <t>ko05225</t>
  </si>
  <si>
    <t>Hepatocellular carcinoma</t>
  </si>
  <si>
    <t>J2O13_01G002765;J2O13_01G002766;J2O13_03G005838;J2O13_06G013495;J2O13_06G013496;J2O13_06G013497;J2O13_06G013498;J2O13_08G017877;J2O13_08G019094</t>
  </si>
  <si>
    <t>ko05226</t>
  </si>
  <si>
    <t>Gastric cancer</t>
  </si>
  <si>
    <t>ko05230</t>
  </si>
  <si>
    <t>Central carbon metabolism in cancer</t>
  </si>
  <si>
    <t>J2O13_03G005838;J2O13_04G007351</t>
  </si>
  <si>
    <t>J2O13_03G005838;J2O13_03G005911;J2O13_05G010334;J2O13_06G014077;J2O13_09G022014;J2O13_UnG024632</t>
  </si>
  <si>
    <t>ko05235</t>
  </si>
  <si>
    <t>PD-L1 expression and PD-1 checkpoint pathway in cancer</t>
  </si>
  <si>
    <t>ko05322</t>
  </si>
  <si>
    <t>Systemic lupus erythematosus</t>
  </si>
  <si>
    <t>Immune disease</t>
  </si>
  <si>
    <t>ko05415</t>
  </si>
  <si>
    <t>Diabetic cardiomyopathy</t>
  </si>
  <si>
    <t>Cardiovascular disease</t>
  </si>
  <si>
    <t>ko05416</t>
  </si>
  <si>
    <t>Viral myocarditis</t>
  </si>
  <si>
    <t>ko05417</t>
  </si>
  <si>
    <t>Lipid and atherosclerosis</t>
  </si>
  <si>
    <t>J2O13_02G004887;J2O13_03G005911;J2O13_04G008139;J2O13_07G017050</t>
  </si>
  <si>
    <t>ko05418</t>
  </si>
  <si>
    <t>Fluid shear stress and atherosclerosis</t>
  </si>
  <si>
    <t>J2O13_01G002765;J2O13_01G002766;J2O13_02G004887;J2O13_03G005911;J2O13_04G008139;J2O13_06G013495;J2O13_06G013496;J2O13_06G013497;J2O13_06G013498;J2O13_08G017877;J2O13_08G019094</t>
  </si>
  <si>
    <r>
      <rPr>
        <b/>
        <sz val="10"/>
        <color theme="1"/>
        <rFont val="Times New Roman"/>
        <charset val="134"/>
      </rPr>
      <t>Table S8</t>
    </r>
    <r>
      <rPr>
        <sz val="10"/>
        <color theme="1"/>
        <rFont val="Times New Roman"/>
        <charset val="134"/>
      </rPr>
      <t xml:space="preserve"> KEGG enrichment analysis of all down-regulated DEGs  from diploids and tetraploids.</t>
    </r>
  </si>
  <si>
    <t>J2O13_01G002003;J2O13_02G003911;J2O13_02G004714;J2O13_03G005857;J2O13_03G006278;J2O13_04G007123;J2O13_04G008229;J2O13_05G009803;J2O13_05G011294;J2O13_05G012033;J2O13_05G012751;J2O13_06G012857;J2O13_06G013107;J2O13_07G016316;J2O13_07G017269;J2O13_10G022270;J2O13_10G023506</t>
  </si>
  <si>
    <t>ko00020</t>
  </si>
  <si>
    <t>Citrate cycle (TCA cycle)</t>
  </si>
  <si>
    <t>J2O13_04G008133;J2O13_06G012857;J2O13_06G014808;J2O13_08G017704</t>
  </si>
  <si>
    <t>J2O13_01G000152;J2O13_01G002003;J2O13_02G003911;J2O13_02G004714;J2O13_03G006278;J2O13_04G008153;J2O13_04G008561;J2O13_04G008670;J2O13_05G009726;J2O13_07G017269;J2O13_10G023506;J2O13_10G024184</t>
  </si>
  <si>
    <t>J2O13_03G005845;J2O13_04G008153;J2O13_07G017251;J2O13_10G024380</t>
  </si>
  <si>
    <t>J2O13_01G002003;J2O13_02G003093;J2O13_02G003911;J2O13_03G005857;J2O13_04G008469;J2O13_05G012736;J2O13_07G016316;J2O13_07G017269;J2O13_10G023506</t>
  </si>
  <si>
    <t>J2O13_03G005857;J2O13_09G019911</t>
  </si>
  <si>
    <t>J2O13_07G016248;J2O13_10G023143</t>
  </si>
  <si>
    <t>J2O13_01G000860;J2O13_06G014274;J2O13_06G014441;J2O13_09G019872;J2O13_10G023817;J2O13_10G023878</t>
  </si>
  <si>
    <t>J2O13_01G000082;J2O13_02G003711;J2O13_05G009349;J2O13_10G023360;J2O13_10G024588</t>
  </si>
  <si>
    <t>J2O13_02G004093;J2O13_02G004885;J2O13_04G008570;J2O13_05G009349;J2O13_05G012553;J2O13_06G013969;J2O13_08G019146;J2O13_09G019778;J2O13_09G019779;J2O13_09G020036;J2O13_09G020250;J2O13_09G020804;J2O13_10G024586</t>
  </si>
  <si>
    <t>ko00220</t>
  </si>
  <si>
    <t>Arginine biosynthesis</t>
  </si>
  <si>
    <t>J2O13_01G001150;J2O13_02G004854;J2O13_05G009726;J2O13_07G016925;J2O13_07G017288;J2O13_08G019335</t>
  </si>
  <si>
    <t>J2O13_04G008335;J2O13_06G013414;J2O13_06G013798</t>
  </si>
  <si>
    <t>J2O13_03G006777;J2O13_06G013798;J2O13_07G017288;J2O13_08G019335;J2O13_09G019853</t>
  </si>
  <si>
    <t>J2O13_03G005499;J2O13_04G007894;J2O13_05G009328;J2O13_05G009800;J2O13_06G012857;J2O13_06G013154;J2O13_07G016196;J2O13_07G016825;J2O13_09G019853;J2O13_09G021467</t>
  </si>
  <si>
    <t>ko00261</t>
  </si>
  <si>
    <t>Monobactam biosynthesis</t>
  </si>
  <si>
    <t>J2O13_01G000318;J2O13_04G008133;J2O13_04G008342;J2O13_05G009927;J2O13_05G010236;J2O13_06G013231;J2O13_06G013267;J2O13_06G014441;J2O13_06G014808;J2O13_08G017704;J2O13_08G017882;J2O13_09G020480;J2O13_10G023985</t>
  </si>
  <si>
    <t>J2O13_04G008342;J2O13_08G018184</t>
  </si>
  <si>
    <t>J2O13_03G006971;J2O13_04G007894;J2O13_05G012033;J2O13_06G013154;J2O13_06G014441;J2O13_09G020246</t>
  </si>
  <si>
    <t>J2O13_03G006971;J2O13_04G007894;J2O13_06G013154;J2O13_06G014441;J2O13_09G020246</t>
  </si>
  <si>
    <t>J2O13_02G003757;J2O13_03G005713;J2O13_04G007904;J2O13_04G008333;J2O13_05G012499;J2O13_06G012857;J2O13_07G016114;J2O13_07G016118;J2O13_07G017333;J2O13_09G020246</t>
  </si>
  <si>
    <t>J2O13_06G014441;J2O13_08G019377;J2O13_08G019412</t>
  </si>
  <si>
    <t>J2O13_03G006777;J2O13_04G007894;J2O13_06G013154;J2O13_08G018184</t>
  </si>
  <si>
    <t>J2O13_02G004980;J2O13_03G006174;J2O13_03G006777</t>
  </si>
  <si>
    <t>J2O13_02G004854;J2O13_08G019190;J2O13_10G022732;J2O13_10G023985</t>
  </si>
  <si>
    <t>J2O13_01G000318;J2O13_05G009927;J2O13_09G021467</t>
  </si>
  <si>
    <t>J2O13_03G005176;J2O13_05G010236;J2O13_07G016248</t>
  </si>
  <si>
    <t>J2O13_01G002420;J2O13_01G002805;J2O13_02G003646;J2O13_02G004220;J2O13_02G004714;J2O13_02G004941;J2O13_03G005242;J2O13_03G005857;J2O13_04G007571;J2O13_05G009670;J2O13_05G009978;J2O13_05G010749;J2O13_06G013178;J2O13_06G013612;J2O13_06G014751;J2O13_07G017202;J2O13_10G022310;J2O13_10G022505;J2O13_10G023034</t>
  </si>
  <si>
    <t>J2O13_02G004714;J2O13_03G005857;J2O13_04G008469;J2O13_04G009233;J2O13_05G011757;J2O13_06G013178;J2O13_07G017202</t>
  </si>
  <si>
    <t>ko00521</t>
  </si>
  <si>
    <t>Streptomycin biosynthesis</t>
  </si>
  <si>
    <t>ko00524</t>
  </si>
  <si>
    <t>Neomycin, kanamycin and gentamicin biosynthesis</t>
  </si>
  <si>
    <t>ko00541</t>
  </si>
  <si>
    <t>O-Antigen nucleotide sugar biosynthesis</t>
  </si>
  <si>
    <t>J2O13_03G006162;J2O13_03G006992;J2O13_05G009922;J2O13_06G012808;J2O13_07G016825;J2O13_08G019435</t>
  </si>
  <si>
    <t>J2O13_02G004417;J2O13_05G009724;J2O13_07G016316;J2O13_10G023143</t>
  </si>
  <si>
    <t>J2O13_03G006093;J2O13_05G009922;J2O13_05G011265;J2O13_05G012047;J2O13_10G024383</t>
  </si>
  <si>
    <t>J2O13_02G004767;J2O13_03G006086;J2O13_05G012033;J2O13_08G019082</t>
  </si>
  <si>
    <t>J2O13_03G005414;J2O13_03G005894;J2O13_04G007068;J2O13_04G008133;J2O13_05G009803;J2O13_05G012033;J2O13_06G012857;J2O13_06G013107;J2O13_06G014506;J2O13_06G014808;J2O13_08G017704;J2O13_10G022270</t>
  </si>
  <si>
    <t>J2O13_01G001559;J2O13_03G005499;J2O13_04G007425;J2O13_04G008133;J2O13_04G008443;J2O13_05G009328;J2O13_05G009800;J2O13_05G010853;J2O13_05G011055;J2O13_05G012049;J2O13_05G012499;J2O13_06G012857;J2O13_06G014808;J2O13_07G016196;J2O13_07G016825;J2O13_08G017704;J2O13_09G019576;J2O13_09G019853;J2O13_09G021467;J2O13_10G022886</t>
  </si>
  <si>
    <t>ko00670</t>
  </si>
  <si>
    <t>One carbon pool by folate</t>
  </si>
  <si>
    <t>J2O13_05G009328;J2O13_05G012049;J2O13_09G021467</t>
  </si>
  <si>
    <t>J2O13_01G002003;J2O13_02G003911;J2O13_04G007068;J2O13_06G014506;J2O13_07G017269;J2O13_09G021467;J2O13_10G023506</t>
  </si>
  <si>
    <t>J2O13_01G000152;J2O13_01G001559;J2O13_01G002003;J2O13_02G003911;J2O13_02G005013;J2O13_04G007068;J2O13_04G007123;J2O13_04G008133;J2O13_04G008153;J2O13_04G008443;J2O13_04G008561;J2O13_04G008670;J2O13_05G009913;J2O13_05G011055;J2O13_06G013107;J2O13_06G014506;J2O13_06G014808;J2O13_07G016316;J2O13_07G017091;J2O13_07G017269;J2O13_08G017704;J2O13_09G019853;J2O13_10G023506;J2O13_10G024184</t>
  </si>
  <si>
    <t>J2O13_04G007068;J2O13_06G013107;J2O13_06G014506</t>
  </si>
  <si>
    <t>J2O13_03G006768;J2O13_05G011581;J2O13_05G012427</t>
  </si>
  <si>
    <t>J2O13_01G002254;J2O13_03G005792;J2O13_07G015208;J2O13_07G016612;J2O13_07G016613;J2O13_10G023589</t>
  </si>
  <si>
    <t>J2O13_01G001327;J2O13_04G007867</t>
  </si>
  <si>
    <t>J2O13_08G019290;J2O13_09G020115</t>
  </si>
  <si>
    <t>J2O13_03G005933;J2O13_03G006084;J2O13_06G013282;J2O13_06G013493;J2O13_07G015694;J2O13_10G022711</t>
  </si>
  <si>
    <t>J2O13_01G000549;J2O13_01G002848;J2O13_03G006846;J2O13_06G013638;J2O13_06G014720;J2O13_07G015694;J2O13_09G021814</t>
  </si>
  <si>
    <t>J2O13_01G000209;J2O13_04G007509;J2O13_05G010832;J2O13_10G023458</t>
  </si>
  <si>
    <t>J2O13_01G000848;J2O13_01G001884;J2O13_01G001978;J2O13_02G004592;J2O13_04G007388;J2O13_05G012169;J2O13_09G021706;J2O13_09G021719;J2O13_10G022823;J2O13_10G024061;J2O13_10G024201</t>
  </si>
  <si>
    <t>J2O13_01G000959;J2O13_03G005572;J2O13_06G013217;J2O13_10G022230;J2O13_10G022773</t>
  </si>
  <si>
    <t>J2O13_05G009486;J2O13_05G009507;J2O13_07G015134;J2O13_08G017455;J2O13_09G019900;J2O13_10G022365;J2O13_10G022886</t>
  </si>
  <si>
    <t>J2O13_01G000318;J2O13_02G004854;J2O13_05G009341;J2O13_05G009927;J2O13_06G013231;J2O13_09G020585</t>
  </si>
  <si>
    <t>J2O13_02G003757;J2O13_05G010600;J2O13_05G011514;J2O13_05G011612;J2O13_07G015452;J2O13_08G018756;J2O13_09G021362;J2O13_10G023817</t>
  </si>
  <si>
    <t>J2O13_04G008215;J2O13_05G010346;J2O13_05G011612;J2O13_07G017115</t>
  </si>
  <si>
    <t>ko00944</t>
  </si>
  <si>
    <t>Flavone and flavonol biosynthesis</t>
  </si>
  <si>
    <t>ko00950</t>
  </si>
  <si>
    <t>Isoquinoline alkaloid biosynthesis</t>
  </si>
  <si>
    <t>J2O13_04G007894;J2O13_06G013154;J2O13_06G014441;J2O13_09G020246</t>
  </si>
  <si>
    <t>J2O13_04G007894;J2O13_06G013154;J2O13_06G014441;J2O13_07G017115</t>
  </si>
  <si>
    <t>J2O13_06G014544;J2O13_08G019190;J2O13_09G020418</t>
  </si>
  <si>
    <t>J2O13_02G004980;J2O13_03G006174</t>
  </si>
  <si>
    <t>J2O13_05G011562;J2O13_08G017488;J2O13_08G017493;J2O13_09G019835</t>
  </si>
  <si>
    <t>J2O13_03G006692;J2O13_03G006693;J2O13_08G019290;J2O13_09G021358;J2O13_09G021467</t>
  </si>
  <si>
    <t>J2O13_03G006692;J2O13_03G006693;J2O13_05G009595;J2O13_06G012829;J2O13_07G016470;J2O13_09G021358;J2O13_10G022312</t>
  </si>
  <si>
    <t>J2O13_03G005845;J2O13_10G024380</t>
  </si>
  <si>
    <t>J2O13_03G006777;J2O13_07G015369;J2O13_08G019377;J2O13_09G019780</t>
  </si>
  <si>
    <t>ko02026</t>
  </si>
  <si>
    <t>Biofilm formation - Escherichia coli</t>
  </si>
  <si>
    <t>J2O13_01G002420;J2O13_01G002805;J2O13_06G013178;J2O13_07G017202</t>
  </si>
  <si>
    <t>J2O13_02G003748;J2O13_02G003837;J2O13_03G005935;J2O13_03G006360;J2O13_04G008446;J2O13_05G010054;J2O13_05G010632;J2O13_06G012861;J2O13_06G013427;J2O13_06G013709;J2O13_07G015097;J2O13_08G017518</t>
  </si>
  <si>
    <t>J2O13_03G005109;J2O13_06G013733;J2O13_10G022251</t>
  </si>
  <si>
    <t>J2O13_05G012473;J2O13_10G022251</t>
  </si>
  <si>
    <t>J2O13_03G005108;J2O13_05G012748;J2O13_07G015107;J2O13_09G021690</t>
  </si>
  <si>
    <t>J2O13_08G019197;J2O13_08G019204</t>
  </si>
  <si>
    <t>J2O13_05G010800;J2O13_07G015369;J2O13_09G019780</t>
  </si>
  <si>
    <t>ko03070</t>
  </si>
  <si>
    <t>Bacterial secretion system</t>
  </si>
  <si>
    <t>J2O13_07G015369;J2O13_09G019780</t>
  </si>
  <si>
    <t>J2O13_04G008965;J2O13_05G012748;J2O13_07G015107</t>
  </si>
  <si>
    <t>J2O13_03G005108;J2O13_05G012748;J2O13_07G015107</t>
  </si>
  <si>
    <t>J2O13_03G005108;J2O13_06G012995;J2O13_07G015071</t>
  </si>
  <si>
    <t>J2O13_01G002353;J2O13_03G005839;J2O13_08G019197;J2O13_08G019204</t>
  </si>
  <si>
    <t>ko04011</t>
  </si>
  <si>
    <t>MAPK signaling pathway - yeast</t>
  </si>
  <si>
    <t>J2O13_05G011265;J2O13_05G012499</t>
  </si>
  <si>
    <t>J2O13_03G005839;J2O13_03G006093;J2O13_05G011925;J2O13_10G024383</t>
  </si>
  <si>
    <t>J2O13_03G005839;J2O13_05G011925</t>
  </si>
  <si>
    <t>J2O13_03G005489;J2O13_03G006832;J2O13_05G009773;J2O13_05G011925;J2O13_05G012499;J2O13_08G019460;J2O13_10G023661</t>
  </si>
  <si>
    <t>J2O13_02G004686;J2O13_04G008257;J2O13_05G011925;J2O13_09G021811</t>
  </si>
  <si>
    <t>J2O13_03G005839;J2O13_04G008257;J2O13_05G011925</t>
  </si>
  <si>
    <t>J2O13_01G002003;J2O13_02G003093;J2O13_03G005839;J2O13_03G005857;J2O13_04G007123;J2O13_07G017269</t>
  </si>
  <si>
    <t>J2O13_03G005839;J2O13_05G012089;J2O13_05G012499</t>
  </si>
  <si>
    <t>J2O13_02G004417;J2O13_05G009622;J2O13_05G011925;J2O13_10G023143</t>
  </si>
  <si>
    <t>J2O13_03G005839;J2O13_03G006093;J2O13_10G024383</t>
  </si>
  <si>
    <t>J2O13_03G005839;J2O13_03G006093;J2O13_08G017511;J2O13_10G024383</t>
  </si>
  <si>
    <t>J2O13_01G000282;J2O13_01G000738;J2O13_03G005425;J2O13_03G005489;J2O13_03G006470;J2O13_05G009467;J2O13_05G009773;J2O13_07G015563;J2O13_07G016678;J2O13_08G019460;J2O13_09G019643;J2O13_09G021986;J2O13_10G023661</t>
  </si>
  <si>
    <t>J2O13_01G001074;J2O13_01G002837;J2O13_09G019943;J2O13_10G023375</t>
  </si>
  <si>
    <t>J2O13_01G002837;J2O13_03G005698;J2O13_05G009752;J2O13_10G023375</t>
  </si>
  <si>
    <t>J2O13_01G001601;J2O13_05G012362;J2O13_07G014984</t>
  </si>
  <si>
    <t>J2O13_01G002837;J2O13_05G009752;J2O13_06G013292;J2O13_09G019758;J2O13_10G022093;J2O13_10G023375</t>
  </si>
  <si>
    <t>J2O13_01G000321;J2O13_02G004691;J2O13_08G018933</t>
  </si>
  <si>
    <t>J2O13_01G000136;J2O13_07G015218</t>
  </si>
  <si>
    <t>ko04136</t>
  </si>
  <si>
    <t>Autophagy - other</t>
  </si>
  <si>
    <t>ko04137</t>
  </si>
  <si>
    <t>Mitophagy - animal</t>
  </si>
  <si>
    <t>J2O13_05G012089;J2O13_07G016745;J2O13_09G021101</t>
  </si>
  <si>
    <t>ko04138</t>
  </si>
  <si>
    <t>Autophagy - yeast</t>
  </si>
  <si>
    <t>ko04139</t>
  </si>
  <si>
    <t>Mitophagy - yeast</t>
  </si>
  <si>
    <t>J2O13_03G005839;J2O13_05G012089;J2O13_07G016745;J2O13_09G021101</t>
  </si>
  <si>
    <t>J2O13_01G000448;J2O13_01G002019;J2O13_01G002777;J2O13_05G009876;J2O13_05G010189;J2O13_07G015786;J2O13_08G019197;J2O13_08G019204;J2O13_10G023495</t>
  </si>
  <si>
    <t>J2O13_02G004806;J2O13_03G006768;J2O13_05G011581;J2O13_07G017022;J2O13_09G021633</t>
  </si>
  <si>
    <t>J2O13_03G006093;J2O13_05G010587;J2O13_05G010588;J2O13_07G016745;J2O13_08G017511;J2O13_08G019197;J2O13_08G019204;J2O13_09G021101;J2O13_10G024383</t>
  </si>
  <si>
    <t>J2O13_02G003711;J2O13_07G016745;J2O13_09G021101;J2O13_10G024006</t>
  </si>
  <si>
    <t>J2O13_05G010853;J2O13_05G012499</t>
  </si>
  <si>
    <t>J2O13_02G003711;J2O13_03G005839</t>
  </si>
  <si>
    <t>J2O13_01G002019;J2O13_03G005839;J2O13_05G010189</t>
  </si>
  <si>
    <t>J2O13_02G003093;J2O13_02G003911;J2O13_10G023506</t>
  </si>
  <si>
    <t>J2O13_02G004806;J2O13_03G005839;J2O13_10G024006</t>
  </si>
  <si>
    <t>ko04211</t>
  </si>
  <si>
    <t>Longevity regulating pathway</t>
  </si>
  <si>
    <t>J2O13_05G012089;J2O13_05G012362;J2O13_05G012499</t>
  </si>
  <si>
    <t>J2O13_04G008213;J2O13_05G011857;J2O13_05G012499;J2O13_08G019197;J2O13_08G019204</t>
  </si>
  <si>
    <t>ko04216</t>
  </si>
  <si>
    <t>Ferroptosis</t>
  </si>
  <si>
    <t>J2O13_07G017022;J2O13_09G021633</t>
  </si>
  <si>
    <t>J2O13_01G002019;J2O13_01G002805;J2O13_04G008257;J2O13_05G010189;J2O13_05G011516</t>
  </si>
  <si>
    <t>J2O13_02G004686;J2O13_03G005839;J2O13_04G008257;J2O13_05G009752;J2O13_05G011516;J2O13_05G011925;J2O13_09G021811</t>
  </si>
  <si>
    <t>J2O13_03G006313;J2O13_05G009518;J2O13_08G017957;J2O13_09G020246</t>
  </si>
  <si>
    <t>J2O13_03G005839;J2O13_03G006768;J2O13_05G011581</t>
  </si>
  <si>
    <t>ko04390</t>
  </si>
  <si>
    <t>Hippo signaling pathway</t>
  </si>
  <si>
    <t>ko04391</t>
  </si>
  <si>
    <t>Hippo signaling pathway - fly</t>
  </si>
  <si>
    <t>ko04392</t>
  </si>
  <si>
    <t>Hippo signaling pathway - multiple species</t>
  </si>
  <si>
    <t>J2O13_03G005839;J2O13_10G024006</t>
  </si>
  <si>
    <t>J2O13_01G002019;J2O13_05G010189;J2O13_08G019197;J2O13_08G019204;J2O13_10G023280</t>
  </si>
  <si>
    <t>J2O13_03G005839;J2O13_04G008257</t>
  </si>
  <si>
    <t>J2O13_02G004943;J2O13_07G015713;J2O13_10G022411</t>
  </si>
  <si>
    <t>ko04621</t>
  </si>
  <si>
    <t>NOD-like receptor signaling pathway</t>
  </si>
  <si>
    <t>J2O13_01G002019;J2O13_02G003974;J2O13_02G004686;J2O13_05G010189;J2O13_05G012089;J2O13_05G012689;J2O13_09G019607;J2O13_09G021811</t>
  </si>
  <si>
    <t>ko04622</t>
  </si>
  <si>
    <t>RIG-I-like receptor signaling pathway</t>
  </si>
  <si>
    <t>J2O13_01G002019;J2O13_02G004806;J2O13_03G005839;J2O13_05G010189;J2O13_05G010502;J2O13_05G011865;J2O13_05G011925;J2O13_06G014198;J2O13_07G015175;J2O13_08G018578;J2O13_08G019108;J2O13_09G021721</t>
  </si>
  <si>
    <t>J2O13_01G002019;J2O13_05G010189</t>
  </si>
  <si>
    <t>ko04659</t>
  </si>
  <si>
    <t>Th17 cell differentiation</t>
  </si>
  <si>
    <t>J2O13_01G001382;J2O13_06G014270;J2O13_07G017115;J2O13_09G019574</t>
  </si>
  <si>
    <t>J2O13_05G009775;J2O13_10G024588</t>
  </si>
  <si>
    <t>J2O13_01G000529;J2O13_02G003711</t>
  </si>
  <si>
    <t>J2O13_01G001872;J2O13_03G005839;J2O13_05G011925</t>
  </si>
  <si>
    <t>J2O13_03G005839;J2O13_09G020246</t>
  </si>
  <si>
    <t>J2O13_03G006777;J2O13_05G012089</t>
  </si>
  <si>
    <t>J2O13_05G011925;J2O13_09G020246</t>
  </si>
  <si>
    <t>J2O13_08G019214;J2O13_10G022605;J2O13_10G023480;J2O13_10G024006;J2O13_10G024139</t>
  </si>
  <si>
    <t>J2O13_01G002805;J2O13_02G003911;J2O13_03G005839;J2O13_03G005857;J2O13_05G011925;J2O13_10G023506</t>
  </si>
  <si>
    <t>J2O13_01G002019;J2O13_03G005839;J2O13_05G010189;J2O13_05G011925;J2O13_08G019197;J2O13_08G019204</t>
  </si>
  <si>
    <t>J2O13_01G002805;J2O13_02G003911;J2O13_05G009803;J2O13_05G011925;J2O13_10G022270;J2O13_10G023506</t>
  </si>
  <si>
    <t>J2O13_03G005857;J2O13_05G009803;J2O13_10G022270</t>
  </si>
  <si>
    <t>ko04961</t>
  </si>
  <si>
    <t>Endocrine and other factor-regulated calcium reabsorption</t>
  </si>
  <si>
    <t>J2O13_05G010587;J2O13_05G010588</t>
  </si>
  <si>
    <t>J2O13_01G001872;J2O13_05G010587;J2O13_05G010588;J2O13_07G016333;J2O13_07G016334;J2O13_07G016335;J2O13_10G023480</t>
  </si>
  <si>
    <t>ko04966</t>
  </si>
  <si>
    <t>Collecting duct acid secretion</t>
  </si>
  <si>
    <t>J2O13_02G004941;J2O13_05G011925</t>
  </si>
  <si>
    <t>J2O13_02G004941;J2O13_05G010587;J2O13_05G010588</t>
  </si>
  <si>
    <t>J2O13_02G004941;J2O13_03G005857</t>
  </si>
  <si>
    <t>ko04974</t>
  </si>
  <si>
    <t>Protein digestion and absorption</t>
  </si>
  <si>
    <t>J2O13_03G006692;J2O13_03G006693;J2O13_05G009595;J2O13_07G016333;J2O13_07G016334;J2O13_07G016335;J2O13_07G016470;J2O13_09G021358</t>
  </si>
  <si>
    <t>J2O13_03G006832;J2O13_07G017022;J2O13_09G021633</t>
  </si>
  <si>
    <t>J2O13_02G004686;J2O13_03G005504;J2O13_03G005839;J2O13_04G008257;J2O13_04G008327;J2O13_04G008868;J2O13_05G011516;J2O13_05G011780;J2O13_05G011925;J2O13_07G017022;J2O13_09G021633;J2O13_09G021811;J2O13_10G024006;J2O13_10G024588</t>
  </si>
  <si>
    <t>J2O13_02G003974;J2O13_02G004686;J2O13_03G005504;J2O13_04G008257;J2O13_04G008327;J2O13_04G008868;J2O13_05G011780;J2O13_05G011925;J2O13_05G012689;J2O13_07G017022;J2O13_09G019607;J2O13_09G021633;J2O13_09G021811;J2O13_10G024006;J2O13_10G024588</t>
  </si>
  <si>
    <t>J2O13_02G004686;J2O13_03G005176;J2O13_05G012499;J2O13_09G021811;J2O13_10G024006;J2O13_10G024588</t>
  </si>
  <si>
    <t>J2O13_03G005176;J2O13_04G008257;J2O13_10G024006;J2O13_10G024588</t>
  </si>
  <si>
    <t>ko05017</t>
  </si>
  <si>
    <t>Spinocerebellar ataxia</t>
  </si>
  <si>
    <t>J2O13_02G004686;J2O13_04G008257;J2O13_09G021811</t>
  </si>
  <si>
    <t>J2O13_02G004686;J2O13_04G008257;J2O13_05G010416;J2O13_08G019197;J2O13_08G019204;J2O13_09G021811;J2O13_10G024006;J2O13_10G024588</t>
  </si>
  <si>
    <t>J2O13_02G004686;J2O13_03G005176;J2O13_03G005839;J2O13_04G008257;J2O13_05G011516;J2O13_05G011925;J2O13_05G012499;J2O13_09G021811;J2O13_10G024006;J2O13_10G024588</t>
  </si>
  <si>
    <t>J2O13_03G005839;J2O13_05G011925;J2O13_09G020246</t>
  </si>
  <si>
    <t>ko05110</t>
  </si>
  <si>
    <t>Vibrio cholerae infection</t>
  </si>
  <si>
    <t>J2O13_02G003711;J2O13_08G017511</t>
  </si>
  <si>
    <t>J2O13_08G017511;J2O13_10G024006;J2O13_10G024139</t>
  </si>
  <si>
    <t>J2O13_03G005857;J2O13_05G011516;J2O13_08G017511</t>
  </si>
  <si>
    <t>J2O13_01G002019;J2O13_02G003974;J2O13_03G005839;J2O13_05G010189;J2O13_05G012689;J2O13_07G016745;J2O13_08G017511;J2O13_09G019607;J2O13_09G021101;J2O13_10G023480;J2O13_10G024006</t>
  </si>
  <si>
    <t>J2O13_03G005109;J2O13_08G017511;J2O13_08G019197;J2O13_08G019204</t>
  </si>
  <si>
    <t>ko05143</t>
  </si>
  <si>
    <t>African trypanosomiasis</t>
  </si>
  <si>
    <t>J2O13_08G018578;J2O13_08G019197;J2O13_08G019204</t>
  </si>
  <si>
    <t>ko05146</t>
  </si>
  <si>
    <t>Amoebiasis</t>
  </si>
  <si>
    <t>J2O13_07G016745;J2O13_09G021101</t>
  </si>
  <si>
    <t>J2O13_05G011925;J2O13_07G016745;J2O13_09G021101;J2O13_10G023280</t>
  </si>
  <si>
    <t>J2O13_03G005839;J2O13_03G006064</t>
  </si>
  <si>
    <t>J2O13_03G005839;J2O13_04G008257;J2O13_05G010587;J2O13_05G010588;J2O13_06G013638</t>
  </si>
  <si>
    <t>J2O13_02G003711;J2O13_03G005839;J2O13_05G009803;J2O13_10G022270</t>
  </si>
  <si>
    <t>J2O13_03G005839;J2O13_04G008257;J2O13_06G013638;J2O13_10G023280</t>
  </si>
  <si>
    <t>J2O13_01G001074;J2O13_03G005839;J2O13_05G011925</t>
  </si>
  <si>
    <t>J2O13_01G002019;J2O13_03G005839;J2O13_03G006093;J2O13_05G010189;J2O13_05G011925;J2O13_10G024383</t>
  </si>
  <si>
    <t>J2O13_03G006064;J2O13_05G009803;J2O13_10G022270</t>
  </si>
  <si>
    <t>J2O13_03G005839;J2O13_05G009595;J2O13_07G016470;J2O13_08G017882</t>
  </si>
  <si>
    <t>J2O13_01G002019;J2O13_01G002837;J2O13_03G005839;J2O13_05G010189</t>
  </si>
  <si>
    <t>J2O13_03G005839;J2O13_03G006093;J2O13_04G008257;J2O13_05G012499;J2O13_10G024383;J2O13_10G024588</t>
  </si>
  <si>
    <t>J2O13_03G005839;J2O13_05G009595;J2O13_07G016470</t>
  </si>
  <si>
    <t>J2O13_03G005839;J2O13_03G005857;J2O13_05G009803;J2O13_10G022270</t>
  </si>
  <si>
    <t>ko05323</t>
  </si>
  <si>
    <t>Rheumatoid arthritis</t>
  </si>
  <si>
    <t>J2O13_02G003711;J2O13_03G006768;J2O13_05G011581</t>
  </si>
  <si>
    <t>J2O13_04G008257;J2O13_10G024588</t>
  </si>
  <si>
    <t>J2O13_01G002019;J2O13_05G010189;J2O13_05G011925;J2O13_08G019197;J2O13_08G019204</t>
  </si>
  <si>
    <t>J2O13_01G002019;J2O13_02G003974;J2O13_05G010189;J2O13_05G011925;J2O13_05G012689;J2O13_09G019607</t>
  </si>
  <si>
    <t>Table S9 The expression levels of DEGs involved in the cellulose and hemicellulose biosynthesis.</t>
  </si>
  <si>
    <t>Diploid</t>
  </si>
  <si>
    <t>Tetraploid</t>
  </si>
  <si>
    <t>Log2FC</t>
  </si>
  <si>
    <t>Symbol</t>
  </si>
  <si>
    <t>Description</t>
  </si>
  <si>
    <t>Table S10 The expression levels of DEGs involved in the lignin biosynthesis pathway</t>
  </si>
  <si>
    <t>Table S11 The expression levels of DEGs involved in expansin</t>
  </si>
  <si>
    <t>Table S12 The expression levels of DEGs involved in cell division and cell cycle</t>
  </si>
  <si>
    <r>
      <rPr>
        <b/>
        <sz val="10"/>
        <color rgb="FF000000"/>
        <rFont val="Times New Roman"/>
        <charset val="134"/>
      </rPr>
      <t>Table S13</t>
    </r>
    <r>
      <rPr>
        <sz val="10"/>
        <color rgb="FF000000"/>
        <rFont val="Times New Roman"/>
        <charset val="134"/>
      </rPr>
      <t xml:space="preserve"> The expression levels of 31 DEGs involved in plant hormone signal transduction.</t>
    </r>
  </si>
  <si>
    <t>Hormone</t>
  </si>
  <si>
    <t>Auxin</t>
  </si>
  <si>
    <t>BR</t>
  </si>
  <si>
    <t>CK</t>
  </si>
  <si>
    <t>GA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</si>
</sst>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5">
    <font>
      <sz val="11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1"/>
      <color theme="1"/>
      <name val="Times New Roman"/>
      <charset val="134"/>
    </font>
    <font>
      <b/>
      <sz val="10"/>
      <color rgb="FF00000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color rgb="FFFF0000"/>
      <name val="Times New Roman"/>
      <charset val="134"/>
    </font>
    <font>
      <b/>
      <sz val="11"/>
      <color theme="1"/>
      <name val="Times New Roman"/>
      <charset val="134"/>
    </font>
    <font>
      <sz val="10"/>
      <color indexed="8"/>
      <name val="Times New Roman"/>
      <charset val="134"/>
    </font>
    <font>
      <sz val="11"/>
      <name val="宋体"/>
      <charset val="134"/>
      <scheme val="minor"/>
    </font>
    <font>
      <b/>
      <sz val="10.5"/>
      <name val="Times New Roman"/>
      <charset val="134"/>
    </font>
    <font>
      <b/>
      <sz val="10"/>
      <color theme="1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6" borderId="20" applyNumberFormat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1" fillId="2" borderId="1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76" fontId="4" fillId="2" borderId="7" xfId="0" applyNumberFormat="1" applyFont="1" applyFill="1" applyBorder="1">
      <alignment vertical="center"/>
    </xf>
    <xf numFmtId="176" fontId="5" fillId="2" borderId="3" xfId="0" applyNumberFormat="1" applyFont="1" applyFill="1" applyBorder="1">
      <alignment vertical="center"/>
    </xf>
    <xf numFmtId="176" fontId="5" fillId="2" borderId="4" xfId="0" applyNumberFormat="1" applyFont="1" applyFill="1" applyBorder="1">
      <alignment vertical="center"/>
    </xf>
    <xf numFmtId="0" fontId="3" fillId="2" borderId="8" xfId="0" applyFont="1" applyFill="1" applyBorder="1" applyAlignment="1">
      <alignment horizontal="left" vertical="center"/>
    </xf>
    <xf numFmtId="0" fontId="3" fillId="2" borderId="1" xfId="0" applyFont="1" applyFill="1" applyBorder="1">
      <alignment vertical="center"/>
    </xf>
    <xf numFmtId="0" fontId="6" fillId="2" borderId="1" xfId="0" applyFont="1" applyFill="1" applyBorder="1">
      <alignment vertical="center"/>
    </xf>
    <xf numFmtId="0" fontId="2" fillId="2" borderId="9" xfId="0" applyFont="1" applyFill="1" applyBorder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7" fontId="2" fillId="0" borderId="0" xfId="0" applyNumberFormat="1" applyFont="1">
      <alignment vertical="center"/>
    </xf>
    <xf numFmtId="0" fontId="3" fillId="2" borderId="0" xfId="0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left" vertical="center"/>
    </xf>
    <xf numFmtId="177" fontId="3" fillId="2" borderId="0" xfId="0" applyNumberFormat="1" applyFont="1" applyFill="1" applyAlignment="1">
      <alignment horizontal="left" vertical="center"/>
    </xf>
    <xf numFmtId="176" fontId="4" fillId="0" borderId="10" xfId="0" applyNumberFormat="1" applyFont="1" applyBorder="1">
      <alignment vertical="center"/>
    </xf>
    <xf numFmtId="177" fontId="4" fillId="0" borderId="10" xfId="0" applyNumberFormat="1" applyFont="1" applyBorder="1">
      <alignment vertical="center"/>
    </xf>
    <xf numFmtId="0" fontId="7" fillId="0" borderId="10" xfId="0" applyFont="1" applyBorder="1">
      <alignment vertical="center"/>
    </xf>
    <xf numFmtId="0" fontId="3" fillId="2" borderId="10" xfId="0" applyFont="1" applyFill="1" applyBorder="1" applyAlignment="1">
      <alignment horizontal="left" vertical="center"/>
    </xf>
    <xf numFmtId="0" fontId="8" fillId="2" borderId="10" xfId="0" applyFont="1" applyFill="1" applyBorder="1" applyAlignment="1">
      <alignment horizontal="left" vertical="center"/>
    </xf>
    <xf numFmtId="176" fontId="5" fillId="0" borderId="0" xfId="0" applyNumberFormat="1" applyFont="1">
      <alignment vertical="center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0" xfId="0" applyFont="1" applyBorder="1">
      <alignment vertical="center"/>
    </xf>
    <xf numFmtId="0" fontId="10" fillId="0" borderId="10" xfId="0" applyFont="1" applyBorder="1">
      <alignment vertical="center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1" fontId="2" fillId="0" borderId="0" xfId="0" applyNumberFormat="1" applyFo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>
      <alignment vertical="center"/>
    </xf>
    <xf numFmtId="16" fontId="2" fillId="0" borderId="0" xfId="0" applyNumberFormat="1" applyFont="1">
      <alignment vertical="center"/>
    </xf>
    <xf numFmtId="0" fontId="12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left" vertical="center"/>
    </xf>
    <xf numFmtId="0" fontId="2" fillId="0" borderId="12" xfId="0" applyFont="1" applyBorder="1">
      <alignment vertical="center"/>
    </xf>
    <xf numFmtId="0" fontId="3" fillId="0" borderId="13" xfId="0" applyFont="1" applyBorder="1" applyAlignment="1">
      <alignment horizontal="left" vertical="center"/>
    </xf>
    <xf numFmtId="176" fontId="2" fillId="0" borderId="12" xfId="0" applyNumberFormat="1" applyFont="1" applyBorder="1">
      <alignment vertical="center"/>
    </xf>
    <xf numFmtId="0" fontId="13" fillId="0" borderId="0" xfId="0" applyFont="1">
      <alignment vertical="center"/>
    </xf>
    <xf numFmtId="49" fontId="12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0" fontId="12" fillId="0" borderId="14" xfId="0" applyFont="1" applyBorder="1" applyAlignment="1">
      <alignment horizontal="left" vertical="center" wrapText="1"/>
    </xf>
    <xf numFmtId="176" fontId="7" fillId="0" borderId="10" xfId="0" applyNumberFormat="1" applyFont="1" applyBorder="1">
      <alignment vertical="center"/>
    </xf>
    <xf numFmtId="0" fontId="1" fillId="0" borderId="12" xfId="0" applyFont="1" applyBorder="1">
      <alignment vertical="center"/>
    </xf>
    <xf numFmtId="0" fontId="2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0"/>
  <sheetViews>
    <sheetView tabSelected="1" workbookViewId="0">
      <selection activeCell="C34" sqref="C34"/>
    </sheetView>
  </sheetViews>
  <sheetFormatPr defaultColWidth="8.88888888888889" defaultRowHeight="14.4" outlineLevelCol="3"/>
  <cols>
    <col min="1" max="1" width="26.7777777777778" customWidth="1"/>
    <col min="2" max="2" width="11.8888888888889" customWidth="1"/>
    <col min="3" max="3" width="32.1111111111111" customWidth="1"/>
    <col min="4" max="4" width="35.1111111111111" customWidth="1"/>
  </cols>
  <sheetData>
    <row r="1" s="45" customFormat="1" ht="13.2" spans="1:4">
      <c r="A1" s="46" t="s">
        <v>0</v>
      </c>
      <c r="B1" s="47"/>
      <c r="C1" s="47"/>
      <c r="D1" s="47"/>
    </row>
    <row r="2" spans="1:4">
      <c r="A2" s="48" t="s">
        <v>1</v>
      </c>
      <c r="B2" s="49" t="s">
        <v>2</v>
      </c>
      <c r="C2" s="49" t="s">
        <v>3</v>
      </c>
      <c r="D2" s="49" t="s">
        <v>4</v>
      </c>
    </row>
    <row r="3" spans="1:4">
      <c r="A3" s="15" t="s">
        <v>5</v>
      </c>
      <c r="B3" s="15" t="s">
        <v>6</v>
      </c>
      <c r="C3" s="33" t="s">
        <v>7</v>
      </c>
      <c r="D3" s="33" t="s">
        <v>8</v>
      </c>
    </row>
    <row r="4" spans="1:4">
      <c r="A4" s="14" t="s">
        <v>9</v>
      </c>
      <c r="B4" s="14" t="s">
        <v>10</v>
      </c>
      <c r="C4" s="33" t="s">
        <v>11</v>
      </c>
      <c r="D4" s="33" t="s">
        <v>12</v>
      </c>
    </row>
    <row r="5" spans="1:4">
      <c r="A5" s="14" t="s">
        <v>13</v>
      </c>
      <c r="B5" s="14" t="s">
        <v>14</v>
      </c>
      <c r="C5" s="33" t="s">
        <v>15</v>
      </c>
      <c r="D5" s="33" t="s">
        <v>16</v>
      </c>
    </row>
    <row r="6" spans="1:4">
      <c r="A6" s="14" t="s">
        <v>17</v>
      </c>
      <c r="B6" s="14" t="s">
        <v>18</v>
      </c>
      <c r="C6" s="33" t="s">
        <v>19</v>
      </c>
      <c r="D6" s="33" t="s">
        <v>20</v>
      </c>
    </row>
    <row r="7" spans="1:4">
      <c r="A7" s="14" t="s">
        <v>21</v>
      </c>
      <c r="B7" s="14" t="s">
        <v>22</v>
      </c>
      <c r="C7" s="33" t="s">
        <v>23</v>
      </c>
      <c r="D7" s="33" t="s">
        <v>24</v>
      </c>
    </row>
    <row r="8" spans="1:4">
      <c r="A8" s="14" t="s">
        <v>25</v>
      </c>
      <c r="B8" s="14" t="s">
        <v>26</v>
      </c>
      <c r="C8" s="33" t="s">
        <v>27</v>
      </c>
      <c r="D8" s="33" t="s">
        <v>28</v>
      </c>
    </row>
    <row r="9" spans="1:4">
      <c r="A9" s="14" t="s">
        <v>29</v>
      </c>
      <c r="B9" s="14" t="s">
        <v>30</v>
      </c>
      <c r="C9" s="33" t="s">
        <v>31</v>
      </c>
      <c r="D9" s="33" t="s">
        <v>32</v>
      </c>
    </row>
    <row r="10" spans="1:4">
      <c r="A10" s="42" t="s">
        <v>33</v>
      </c>
      <c r="B10" s="42" t="s">
        <v>34</v>
      </c>
      <c r="C10" s="50" t="s">
        <v>35</v>
      </c>
      <c r="D10" s="50" t="s">
        <v>36</v>
      </c>
    </row>
  </sheetData>
  <mergeCells count="1">
    <mergeCell ref="A1:D1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selection activeCell="A1" sqref="A1:K1"/>
    </sheetView>
  </sheetViews>
  <sheetFormatPr defaultColWidth="8.88888888888889" defaultRowHeight="14.4"/>
  <cols>
    <col min="1" max="1" width="16.5555555555556" customWidth="1"/>
    <col min="2" max="2" width="7" customWidth="1"/>
    <col min="3" max="3" width="9" customWidth="1"/>
    <col min="4" max="4" width="7.66666666666667" customWidth="1"/>
    <col min="5" max="5" width="6.66666666666667" customWidth="1"/>
    <col min="7" max="7" width="8.44444444444444" customWidth="1"/>
    <col min="8" max="8" width="36.3333333333333" customWidth="1"/>
  </cols>
  <sheetData>
    <row r="1" ht="24" customHeight="1" spans="1:11">
      <c r="A1" s="27" t="s">
        <v>22220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8">
      <c r="A2" s="20" t="s">
        <v>1</v>
      </c>
      <c r="B2" s="20" t="s">
        <v>22215</v>
      </c>
      <c r="C2" s="20" t="s">
        <v>22216</v>
      </c>
      <c r="D2" s="20" t="s">
        <v>22217</v>
      </c>
      <c r="E2" s="20" t="s">
        <v>131</v>
      </c>
      <c r="F2" s="20" t="s">
        <v>132</v>
      </c>
      <c r="G2" s="20" t="s">
        <v>22218</v>
      </c>
      <c r="H2" s="20" t="s">
        <v>22219</v>
      </c>
    </row>
    <row r="3" spans="1:8">
      <c r="A3" s="25" t="s">
        <v>10511</v>
      </c>
      <c r="B3" s="25">
        <v>0.0986947745950809</v>
      </c>
      <c r="C3" s="25">
        <v>3.20807354217039</v>
      </c>
      <c r="D3" s="25">
        <v>4.7517587685469</v>
      </c>
      <c r="E3" s="25">
        <v>9.49144187845384e-8</v>
      </c>
      <c r="F3" s="25" t="s">
        <v>164</v>
      </c>
      <c r="G3" s="25" t="s">
        <v>10514</v>
      </c>
      <c r="H3" s="25" t="s">
        <v>10515</v>
      </c>
    </row>
    <row r="4" spans="1:8">
      <c r="A4" s="25" t="s">
        <v>11984</v>
      </c>
      <c r="B4" s="25">
        <v>16.2155350700545</v>
      </c>
      <c r="C4" s="25">
        <v>50.8832290274259</v>
      </c>
      <c r="D4" s="25">
        <v>1.42888814745034</v>
      </c>
      <c r="E4" s="25">
        <v>0.033249134321471</v>
      </c>
      <c r="F4" s="25" t="s">
        <v>164</v>
      </c>
      <c r="G4" s="25" t="s">
        <v>11985</v>
      </c>
      <c r="H4" s="25" t="s">
        <v>11986</v>
      </c>
    </row>
    <row r="5" spans="1:8">
      <c r="A5" s="25" t="s">
        <v>3403</v>
      </c>
      <c r="B5" s="25">
        <v>61.4214414680351</v>
      </c>
      <c r="C5" s="25">
        <v>363.020492589918</v>
      </c>
      <c r="D5" s="25">
        <v>2.30383146158463</v>
      </c>
      <c r="E5" s="25">
        <v>5.66491826275613e-21</v>
      </c>
      <c r="F5" s="25" t="s">
        <v>164</v>
      </c>
      <c r="G5" s="25" t="s">
        <v>3406</v>
      </c>
      <c r="H5" s="25" t="s">
        <v>3407</v>
      </c>
    </row>
    <row r="6" spans="1:8">
      <c r="A6" s="25" t="s">
        <v>11581</v>
      </c>
      <c r="B6" s="25">
        <v>6.71503676460024</v>
      </c>
      <c r="C6" s="25">
        <v>18.6778720296974</v>
      </c>
      <c r="D6" s="25">
        <v>1.2381716836761</v>
      </c>
      <c r="E6" s="25">
        <v>0.00874282549780266</v>
      </c>
      <c r="F6" s="25" t="s">
        <v>164</v>
      </c>
      <c r="G6" s="25" t="s">
        <v>3520</v>
      </c>
      <c r="H6" s="25" t="s">
        <v>3521</v>
      </c>
    </row>
    <row r="7" spans="1:8">
      <c r="A7" s="25" t="s">
        <v>2689</v>
      </c>
      <c r="B7" s="25">
        <v>1.97850101471953</v>
      </c>
      <c r="C7" s="25">
        <v>5.70045773808302</v>
      </c>
      <c r="D7" s="25">
        <v>1.2952752393917</v>
      </c>
      <c r="E7" s="25">
        <v>0.0273306653553288</v>
      </c>
      <c r="F7" s="25" t="s">
        <v>164</v>
      </c>
      <c r="G7" s="25" t="s">
        <v>2459</v>
      </c>
      <c r="H7" s="25" t="s">
        <v>2460</v>
      </c>
    </row>
    <row r="8" spans="1:8">
      <c r="A8" s="25" t="s">
        <v>2690</v>
      </c>
      <c r="B8" s="25">
        <v>1.01751701646942</v>
      </c>
      <c r="C8" s="25">
        <v>11.2739186435938</v>
      </c>
      <c r="D8" s="25">
        <v>3.27005298097404</v>
      </c>
      <c r="E8" s="25">
        <v>0.000138493124506107</v>
      </c>
      <c r="F8" s="25" t="s">
        <v>164</v>
      </c>
      <c r="G8" s="25" t="s">
        <v>2459</v>
      </c>
      <c r="H8" s="25" t="s">
        <v>2460</v>
      </c>
    </row>
    <row r="9" spans="1:8">
      <c r="A9" s="25" t="s">
        <v>6193</v>
      </c>
      <c r="B9" s="25">
        <v>5.79467569281298</v>
      </c>
      <c r="C9" s="25">
        <v>13.926082203594</v>
      </c>
      <c r="D9" s="25">
        <v>1.00292806325706</v>
      </c>
      <c r="E9" s="25">
        <v>1.51215199470709e-5</v>
      </c>
      <c r="F9" s="25" t="s">
        <v>164</v>
      </c>
      <c r="G9" s="25" t="s">
        <v>6196</v>
      </c>
      <c r="H9" s="25" t="s">
        <v>6197</v>
      </c>
    </row>
    <row r="10" spans="1:8">
      <c r="A10" s="25" t="s">
        <v>1282</v>
      </c>
      <c r="B10" s="25">
        <v>0.0300835683103974</v>
      </c>
      <c r="C10" s="25">
        <v>0.454789926391881</v>
      </c>
      <c r="D10" s="25">
        <v>3.5972599115011</v>
      </c>
      <c r="E10" s="25">
        <v>0.0262039995440636</v>
      </c>
      <c r="F10" s="25" t="s">
        <v>164</v>
      </c>
      <c r="G10" s="25" t="s">
        <v>1283</v>
      </c>
      <c r="H10" s="25" t="s">
        <v>1284</v>
      </c>
    </row>
    <row r="11" spans="1:8">
      <c r="A11" s="25" t="s">
        <v>11613</v>
      </c>
      <c r="B11" s="25">
        <v>7.26983301615749</v>
      </c>
      <c r="C11" s="25">
        <v>20.4531828598192</v>
      </c>
      <c r="D11" s="25">
        <v>1.24960190598667</v>
      </c>
      <c r="E11" s="25">
        <v>0.00456978821363772</v>
      </c>
      <c r="F11" s="25" t="s">
        <v>164</v>
      </c>
      <c r="G11" s="25" t="s">
        <v>11614</v>
      </c>
      <c r="H11" s="25" t="s">
        <v>11615</v>
      </c>
    </row>
    <row r="12" spans="1:8">
      <c r="A12" s="25" t="s">
        <v>881</v>
      </c>
      <c r="B12" s="25">
        <v>1.77823642533333</v>
      </c>
      <c r="C12" s="25">
        <v>6.37109272833333</v>
      </c>
      <c r="D12" s="25">
        <v>1.629357184</v>
      </c>
      <c r="E12" s="25">
        <v>0.048289044</v>
      </c>
      <c r="F12" s="25" t="s">
        <v>164</v>
      </c>
      <c r="G12" s="25" t="s">
        <v>882</v>
      </c>
      <c r="H12" s="25" t="s">
        <v>883</v>
      </c>
    </row>
    <row r="13" spans="1:8">
      <c r="A13" s="25" t="s">
        <v>2490</v>
      </c>
      <c r="B13" s="25">
        <v>3.191214762</v>
      </c>
      <c r="C13" s="25">
        <v>23.6717055766667</v>
      </c>
      <c r="D13" s="25">
        <v>2.58853941</v>
      </c>
      <c r="E13" s="25">
        <v>6.82e-9</v>
      </c>
      <c r="F13" s="25" t="s">
        <v>164</v>
      </c>
      <c r="G13" s="25" t="s">
        <v>882</v>
      </c>
      <c r="H13" s="25" t="s">
        <v>883</v>
      </c>
    </row>
    <row r="14" spans="1:8">
      <c r="A14" s="25" t="s">
        <v>4186</v>
      </c>
      <c r="B14" s="25">
        <v>0.839323285580782</v>
      </c>
      <c r="C14" s="25">
        <v>16.9046755049516</v>
      </c>
      <c r="D14" s="25">
        <v>4.08355588002868</v>
      </c>
      <c r="E14" s="25">
        <v>2.10093408866453e-25</v>
      </c>
      <c r="F14" s="25" t="s">
        <v>164</v>
      </c>
      <c r="G14" s="25" t="s">
        <v>4189</v>
      </c>
      <c r="H14" s="25" t="s">
        <v>4190</v>
      </c>
    </row>
    <row r="15" s="26" customFormat="1" spans="1:8">
      <c r="A15" s="25" t="s">
        <v>14196</v>
      </c>
      <c r="B15" s="25">
        <v>0.298224040041181</v>
      </c>
      <c r="C15" s="25">
        <v>1.66595873363402</v>
      </c>
      <c r="D15" s="25">
        <v>2.18308020570103</v>
      </c>
      <c r="E15" s="25">
        <v>0.0313148824114673</v>
      </c>
      <c r="F15" s="25" t="s">
        <v>164</v>
      </c>
      <c r="G15" s="25" t="s">
        <v>8253</v>
      </c>
      <c r="H15" s="25" t="s">
        <v>8254</v>
      </c>
    </row>
    <row r="16" s="26" customFormat="1" spans="1:8">
      <c r="A16" s="25" t="s">
        <v>2549</v>
      </c>
      <c r="B16" s="25">
        <v>20.708647579704</v>
      </c>
      <c r="C16" s="25">
        <v>106.673068350787</v>
      </c>
      <c r="D16" s="25">
        <v>2.07604836278941</v>
      </c>
      <c r="E16" s="25">
        <v>1.59690211070083e-16</v>
      </c>
      <c r="F16" s="25" t="s">
        <v>164</v>
      </c>
      <c r="G16" s="25" t="s">
        <v>2552</v>
      </c>
      <c r="H16" s="25" t="s">
        <v>2553</v>
      </c>
    </row>
    <row r="17" s="26" customFormat="1" spans="1:8">
      <c r="A17" s="25" t="s">
        <v>2556</v>
      </c>
      <c r="B17" s="25">
        <v>4.63638979675145</v>
      </c>
      <c r="C17" s="25">
        <v>83.8699794539977</v>
      </c>
      <c r="D17" s="25">
        <v>3.93361965334602</v>
      </c>
      <c r="E17" s="25">
        <v>1.2260998803067e-14</v>
      </c>
      <c r="F17" s="25" t="s">
        <v>164</v>
      </c>
      <c r="G17" s="25" t="s">
        <v>2552</v>
      </c>
      <c r="H17" s="25" t="s">
        <v>2553</v>
      </c>
    </row>
    <row r="18" spans="1:8">
      <c r="A18" s="25" t="s">
        <v>14475</v>
      </c>
      <c r="B18" s="25">
        <v>0.850641240905249</v>
      </c>
      <c r="C18" s="25">
        <v>17.3464349097569</v>
      </c>
      <c r="D18" s="25">
        <v>4.17783506326891</v>
      </c>
      <c r="E18" s="25">
        <v>0.0370191719249048</v>
      </c>
      <c r="F18" s="25" t="s">
        <v>164</v>
      </c>
      <c r="G18" s="25" t="s">
        <v>14476</v>
      </c>
      <c r="H18" s="25" t="s">
        <v>14477</v>
      </c>
    </row>
    <row r="19" spans="1:8">
      <c r="A19" s="25" t="s">
        <v>4515</v>
      </c>
      <c r="B19" s="25">
        <v>7.34652408289087</v>
      </c>
      <c r="C19" s="25">
        <v>23.7454600771467</v>
      </c>
      <c r="D19" s="25">
        <v>1.42007889714703</v>
      </c>
      <c r="E19" s="25">
        <v>7.96827044138171e-17</v>
      </c>
      <c r="F19" s="25" t="s">
        <v>164</v>
      </c>
      <c r="G19" s="25" t="s">
        <v>4518</v>
      </c>
      <c r="H19" s="25" t="s">
        <v>4519</v>
      </c>
    </row>
    <row r="20" spans="1:8">
      <c r="A20" s="25" t="s">
        <v>5388</v>
      </c>
      <c r="B20" s="25">
        <v>1.88784261954987</v>
      </c>
      <c r="C20" s="25">
        <v>4.58298241425099</v>
      </c>
      <c r="D20" s="25">
        <v>1.02415226629265</v>
      </c>
      <c r="E20" s="25">
        <v>0.00149128901156256</v>
      </c>
      <c r="F20" s="25" t="s">
        <v>164</v>
      </c>
      <c r="G20" s="25" t="s">
        <v>5389</v>
      </c>
      <c r="H20" s="25" t="s">
        <v>5390</v>
      </c>
    </row>
    <row r="21" spans="1:8">
      <c r="A21" s="25" t="s">
        <v>551</v>
      </c>
      <c r="B21" s="25">
        <v>1.2204584393359</v>
      </c>
      <c r="C21" s="25">
        <v>21.8709851676588</v>
      </c>
      <c r="D21" s="25">
        <v>3.87163396725566</v>
      </c>
      <c r="E21" s="25">
        <v>4.9448030947198e-50</v>
      </c>
      <c r="F21" s="25" t="s">
        <v>164</v>
      </c>
      <c r="G21" s="25" t="s">
        <v>554</v>
      </c>
      <c r="H21" s="25" t="s">
        <v>555</v>
      </c>
    </row>
    <row r="22" spans="1:8">
      <c r="A22" s="25" t="s">
        <v>10254</v>
      </c>
      <c r="B22" s="25">
        <v>0.137296415969315</v>
      </c>
      <c r="C22" s="25">
        <v>3.59487846087853</v>
      </c>
      <c r="D22" s="25">
        <v>4.40831329616376</v>
      </c>
      <c r="E22" s="25">
        <v>1.39376083755292e-5</v>
      </c>
      <c r="F22" s="25" t="s">
        <v>164</v>
      </c>
      <c r="G22" s="25" t="s">
        <v>10256</v>
      </c>
      <c r="H22" s="25" t="s">
        <v>10257</v>
      </c>
    </row>
    <row r="23" spans="1:8">
      <c r="A23" s="25" t="s">
        <v>5639</v>
      </c>
      <c r="B23" s="25">
        <v>0.610288993885554</v>
      </c>
      <c r="C23" s="25">
        <v>2.6992526127141</v>
      </c>
      <c r="D23" s="25">
        <v>1.86043158568433</v>
      </c>
      <c r="E23" s="25">
        <v>1.73474328438734e-12</v>
      </c>
      <c r="F23" s="25" t="s">
        <v>164</v>
      </c>
      <c r="G23" s="25" t="s">
        <v>5635</v>
      </c>
      <c r="H23" s="25" t="s">
        <v>5636</v>
      </c>
    </row>
    <row r="24" spans="1:8">
      <c r="A24" s="25" t="s">
        <v>2456</v>
      </c>
      <c r="B24" s="25">
        <v>1.3515700231955</v>
      </c>
      <c r="C24" s="25">
        <v>0.307393913542375</v>
      </c>
      <c r="D24" s="25">
        <v>-2.371844733993</v>
      </c>
      <c r="E24" s="25">
        <v>4.68658799963876e-5</v>
      </c>
      <c r="F24" s="25" t="s">
        <v>147</v>
      </c>
      <c r="G24" s="25" t="s">
        <v>2459</v>
      </c>
      <c r="H24" s="25" t="s">
        <v>2460</v>
      </c>
    </row>
    <row r="25" spans="1:8">
      <c r="A25" s="25" t="s">
        <v>12425</v>
      </c>
      <c r="B25" s="25">
        <v>23.8028134552639</v>
      </c>
      <c r="C25" s="25">
        <v>3.16809398266305</v>
      </c>
      <c r="D25" s="25">
        <v>-3.20067081577785</v>
      </c>
      <c r="E25" s="25">
        <v>1.24649784126184e-19</v>
      </c>
      <c r="F25" s="25" t="s">
        <v>147</v>
      </c>
      <c r="G25" s="25" t="s">
        <v>6196</v>
      </c>
      <c r="H25" s="25" t="s">
        <v>6197</v>
      </c>
    </row>
    <row r="26" spans="1:8">
      <c r="A26" s="25" t="s">
        <v>15168</v>
      </c>
      <c r="B26" s="25">
        <v>0.319989608</v>
      </c>
      <c r="C26" s="25">
        <v>0.0165324356666667</v>
      </c>
      <c r="D26" s="25">
        <v>-4.608302245</v>
      </c>
      <c r="E26" s="25">
        <v>0.013154585</v>
      </c>
      <c r="F26" s="25" t="s">
        <v>147</v>
      </c>
      <c r="G26" s="25" t="s">
        <v>15169</v>
      </c>
      <c r="H26" s="25" t="s">
        <v>15170</v>
      </c>
    </row>
    <row r="27" spans="1:8">
      <c r="A27" s="25" t="s">
        <v>1920</v>
      </c>
      <c r="B27" s="25">
        <v>0.0847035426666667</v>
      </c>
      <c r="C27" s="25">
        <v>0.0117186586666667</v>
      </c>
      <c r="D27" s="25">
        <v>-3.14012303</v>
      </c>
      <c r="E27" s="25">
        <v>0.037557984</v>
      </c>
      <c r="F27" s="25" t="s">
        <v>147</v>
      </c>
      <c r="G27" s="25" t="s">
        <v>1921</v>
      </c>
      <c r="H27" s="25" t="s">
        <v>1922</v>
      </c>
    </row>
    <row r="28" spans="1:8">
      <c r="A28" s="25" t="s">
        <v>8252</v>
      </c>
      <c r="B28" s="25">
        <v>0.574961977290417</v>
      </c>
      <c r="C28" s="25">
        <v>0.0307090239164091</v>
      </c>
      <c r="D28" s="25">
        <v>-4.55706829990274</v>
      </c>
      <c r="E28" s="25">
        <v>0.00156424409065058</v>
      </c>
      <c r="F28" s="25" t="s">
        <v>147</v>
      </c>
      <c r="G28" s="25" t="s">
        <v>8253</v>
      </c>
      <c r="H28" s="25" t="s">
        <v>8254</v>
      </c>
    </row>
    <row r="29" spans="1:8">
      <c r="A29" s="25" t="s">
        <v>13932</v>
      </c>
      <c r="B29" s="25">
        <v>6.70159262410159</v>
      </c>
      <c r="C29" s="25">
        <v>0.93890883874523</v>
      </c>
      <c r="D29" s="25">
        <v>-3.13910967269019</v>
      </c>
      <c r="E29" s="25">
        <v>1.50991460324778e-14</v>
      </c>
      <c r="F29" s="25" t="s">
        <v>147</v>
      </c>
      <c r="G29" s="25" t="s">
        <v>13935</v>
      </c>
      <c r="H29" s="25" t="s">
        <v>13936</v>
      </c>
    </row>
    <row r="30" spans="1:8">
      <c r="A30" s="25" t="s">
        <v>7615</v>
      </c>
      <c r="B30" s="25">
        <v>13.018996243252</v>
      </c>
      <c r="C30" s="25">
        <v>7.82245798274927</v>
      </c>
      <c r="D30" s="25">
        <v>-1.01400472178888</v>
      </c>
      <c r="E30" s="25">
        <v>7.27522805314887e-13</v>
      </c>
      <c r="F30" s="25" t="s">
        <v>147</v>
      </c>
      <c r="G30" s="25" t="s">
        <v>7618</v>
      </c>
      <c r="H30" s="25" t="s">
        <v>7619</v>
      </c>
    </row>
    <row r="31" spans="1:8">
      <c r="A31" s="25" t="s">
        <v>10795</v>
      </c>
      <c r="B31" s="25">
        <v>1.64844764536224</v>
      </c>
      <c r="C31" s="25">
        <v>0.137338237136387</v>
      </c>
      <c r="D31" s="25">
        <v>-3.83662497451599</v>
      </c>
      <c r="E31" s="25">
        <v>5.33227292841544e-8</v>
      </c>
      <c r="F31" s="25" t="s">
        <v>147</v>
      </c>
      <c r="G31" s="25" t="s">
        <v>10798</v>
      </c>
      <c r="H31" s="25" t="s">
        <v>10799</v>
      </c>
    </row>
  </sheetData>
  <mergeCells count="1">
    <mergeCell ref="A1:K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A1" sqref="A1:K1"/>
    </sheetView>
  </sheetViews>
  <sheetFormatPr defaultColWidth="8.88888888888889" defaultRowHeight="14.4"/>
  <cols>
    <col min="1" max="1" width="21.3333333333333" customWidth="1"/>
  </cols>
  <sheetData>
    <row r="1" spans="1:11">
      <c r="A1" s="23" t="s">
        <v>22221</v>
      </c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8">
      <c r="A2" s="20" t="s">
        <v>1</v>
      </c>
      <c r="B2" s="20" t="s">
        <v>22215</v>
      </c>
      <c r="C2" s="20" t="s">
        <v>22216</v>
      </c>
      <c r="D2" s="20" t="s">
        <v>22217</v>
      </c>
      <c r="E2" s="20" t="s">
        <v>131</v>
      </c>
      <c r="F2" s="20" t="s">
        <v>132</v>
      </c>
      <c r="G2" s="20" t="s">
        <v>22218</v>
      </c>
      <c r="H2" s="20" t="s">
        <v>22219</v>
      </c>
    </row>
    <row r="3" spans="1:8">
      <c r="A3" s="25" t="s">
        <v>198</v>
      </c>
      <c r="B3" s="25">
        <v>0.141474165471964</v>
      </c>
      <c r="C3" s="25">
        <v>9.06977277771027</v>
      </c>
      <c r="D3" s="25">
        <v>5.70826637913192</v>
      </c>
      <c r="E3" s="25">
        <v>3.38648468368921e-31</v>
      </c>
      <c r="F3" s="25" t="s">
        <v>164</v>
      </c>
      <c r="G3" s="25" t="s">
        <v>201</v>
      </c>
      <c r="H3" s="25" t="s">
        <v>202</v>
      </c>
    </row>
    <row r="4" spans="1:8">
      <c r="A4" s="25" t="s">
        <v>570</v>
      </c>
      <c r="B4" s="25">
        <v>157.531975742568</v>
      </c>
      <c r="C4" s="25">
        <v>483.199147901939</v>
      </c>
      <c r="D4" s="25">
        <v>1.31636585867337</v>
      </c>
      <c r="E4" s="25">
        <v>1.10085183456261e-5</v>
      </c>
      <c r="F4" s="25" t="s">
        <v>164</v>
      </c>
      <c r="G4" s="25" t="s">
        <v>573</v>
      </c>
      <c r="H4" s="25" t="s">
        <v>574</v>
      </c>
    </row>
    <row r="5" spans="1:8">
      <c r="A5" s="25" t="s">
        <v>5</v>
      </c>
      <c r="B5" s="25">
        <v>60.6008988478633</v>
      </c>
      <c r="C5" s="25">
        <v>213.69222291857</v>
      </c>
      <c r="D5" s="25">
        <v>1.54367431415882</v>
      </c>
      <c r="E5" s="25">
        <v>6.74665657078487e-36</v>
      </c>
      <c r="F5" s="25" t="s">
        <v>164</v>
      </c>
      <c r="G5" s="25" t="s">
        <v>6</v>
      </c>
      <c r="H5" s="25" t="s">
        <v>1903</v>
      </c>
    </row>
    <row r="6" spans="1:8">
      <c r="A6" s="25" t="s">
        <v>5874</v>
      </c>
      <c r="B6" s="25">
        <v>0.363345994296414</v>
      </c>
      <c r="C6" s="25">
        <v>1.77963506163942</v>
      </c>
      <c r="D6" s="25">
        <v>2.06223820440746</v>
      </c>
      <c r="E6" s="25">
        <v>0.00714928209962038</v>
      </c>
      <c r="F6" s="25" t="s">
        <v>164</v>
      </c>
      <c r="G6" s="25" t="s">
        <v>5875</v>
      </c>
      <c r="H6" s="25" t="s">
        <v>5876</v>
      </c>
    </row>
    <row r="7" spans="1:8">
      <c r="A7" s="25" t="s">
        <v>12707</v>
      </c>
      <c r="B7" s="25">
        <v>1.90603150283821</v>
      </c>
      <c r="C7" s="25">
        <v>51.4619679687634</v>
      </c>
      <c r="D7" s="25">
        <v>4.53081229767612</v>
      </c>
      <c r="E7" s="25">
        <v>9.76084465912491e-13</v>
      </c>
      <c r="F7" s="25" t="s">
        <v>164</v>
      </c>
      <c r="G7" s="25" t="s">
        <v>6</v>
      </c>
      <c r="H7" s="25" t="s">
        <v>1903</v>
      </c>
    </row>
    <row r="8" spans="1:8">
      <c r="A8" s="25" t="s">
        <v>14333</v>
      </c>
      <c r="B8" s="25">
        <v>17.9195982428285</v>
      </c>
      <c r="C8" s="25">
        <v>94.6589333348863</v>
      </c>
      <c r="D8" s="25">
        <v>2.10476782792968</v>
      </c>
      <c r="E8" s="25">
        <v>2.16478592219087e-15</v>
      </c>
      <c r="F8" s="25" t="s">
        <v>164</v>
      </c>
      <c r="G8" s="25" t="s">
        <v>14336</v>
      </c>
      <c r="H8" s="25" t="s">
        <v>14337</v>
      </c>
    </row>
    <row r="9" spans="1:8">
      <c r="A9" s="25" t="s">
        <v>15147</v>
      </c>
      <c r="B9" s="25">
        <v>15.0278363953752</v>
      </c>
      <c r="C9" s="25">
        <v>52.4242844918746</v>
      </c>
      <c r="D9" s="25">
        <v>1.56964420274414</v>
      </c>
      <c r="E9" s="25">
        <v>0.00605051692086827</v>
      </c>
      <c r="F9" s="25" t="s">
        <v>164</v>
      </c>
      <c r="G9" s="25" t="s">
        <v>15148</v>
      </c>
      <c r="H9" s="25" t="s">
        <v>15149</v>
      </c>
    </row>
    <row r="10" spans="1:8">
      <c r="A10" s="25" t="s">
        <v>15367</v>
      </c>
      <c r="B10" s="25">
        <v>0.71152025474061</v>
      </c>
      <c r="C10" s="25">
        <v>21.1430975332873</v>
      </c>
      <c r="D10" s="25">
        <v>4.72037543141621</v>
      </c>
      <c r="E10" s="25">
        <v>0.00595820850732167</v>
      </c>
      <c r="F10" s="25" t="s">
        <v>164</v>
      </c>
      <c r="G10" s="25" t="s">
        <v>15368</v>
      </c>
      <c r="H10" s="25" t="s">
        <v>15369</v>
      </c>
    </row>
    <row r="11" spans="1:8">
      <c r="A11" s="25" t="s">
        <v>2892</v>
      </c>
      <c r="B11" s="25">
        <v>7.61194284654007</v>
      </c>
      <c r="C11" s="25">
        <v>32.8455807691061</v>
      </c>
      <c r="D11" s="25">
        <v>1.85140417796429</v>
      </c>
      <c r="E11" s="25">
        <v>1.10333380974839e-6</v>
      </c>
      <c r="F11" s="25" t="s">
        <v>164</v>
      </c>
      <c r="G11" s="25" t="s">
        <v>1072</v>
      </c>
      <c r="H11" s="25" t="s">
        <v>1073</v>
      </c>
    </row>
    <row r="12" spans="1:8">
      <c r="A12" s="25" t="s">
        <v>7246</v>
      </c>
      <c r="B12" s="25">
        <v>0.0108523503274908</v>
      </c>
      <c r="C12" s="25">
        <v>0.152971349619801</v>
      </c>
      <c r="D12" s="25">
        <v>3.51687254875499</v>
      </c>
      <c r="E12" s="25">
        <v>0.0372093929130415</v>
      </c>
      <c r="F12" s="25" t="s">
        <v>164</v>
      </c>
      <c r="G12" s="25" t="s">
        <v>7247</v>
      </c>
      <c r="H12" s="25" t="s">
        <v>7248</v>
      </c>
    </row>
    <row r="13" spans="1:8">
      <c r="A13" s="25" t="s">
        <v>8538</v>
      </c>
      <c r="B13" s="25">
        <v>0.0088222650654092</v>
      </c>
      <c r="C13" s="25">
        <v>3.29636352318816</v>
      </c>
      <c r="D13" s="25">
        <v>8.26666446220567</v>
      </c>
      <c r="E13" s="25">
        <v>8.66208994530374e-10</v>
      </c>
      <c r="F13" s="25" t="s">
        <v>164</v>
      </c>
      <c r="G13" s="25" t="s">
        <v>6886</v>
      </c>
      <c r="H13" s="25" t="s">
        <v>6887</v>
      </c>
    </row>
    <row r="14" spans="1:8">
      <c r="A14" s="25" t="s">
        <v>10973</v>
      </c>
      <c r="B14" s="25">
        <v>14.9068372430259</v>
      </c>
      <c r="C14" s="25">
        <v>48.5166426505482</v>
      </c>
      <c r="D14" s="25">
        <v>1.44029975376129</v>
      </c>
      <c r="E14" s="25">
        <v>1.75798190581298e-5</v>
      </c>
      <c r="F14" s="25" t="s">
        <v>164</v>
      </c>
      <c r="G14" s="25" t="s">
        <v>10974</v>
      </c>
      <c r="H14" s="25" t="s">
        <v>10975</v>
      </c>
    </row>
    <row r="15" spans="1:8">
      <c r="A15" s="25" t="s">
        <v>8481</v>
      </c>
      <c r="B15" s="25">
        <v>26.6739997671518</v>
      </c>
      <c r="C15" s="25">
        <v>9.4643160946769</v>
      </c>
      <c r="D15" s="25">
        <v>-1.74371871807854</v>
      </c>
      <c r="E15" s="25">
        <v>5.16420185066244e-6</v>
      </c>
      <c r="F15" s="25" t="s">
        <v>147</v>
      </c>
      <c r="G15" s="25" t="s">
        <v>5875</v>
      </c>
      <c r="H15" s="25" t="s">
        <v>5876</v>
      </c>
    </row>
    <row r="16" spans="1:8">
      <c r="A16" s="25" t="s">
        <v>10133</v>
      </c>
      <c r="B16" s="25">
        <v>7.7008232847537</v>
      </c>
      <c r="C16" s="25">
        <v>0.236551641362031</v>
      </c>
      <c r="D16" s="25">
        <v>-5.34218603418973</v>
      </c>
      <c r="E16" s="25">
        <v>2.07889072881656e-16</v>
      </c>
      <c r="F16" s="25" t="s">
        <v>147</v>
      </c>
      <c r="G16" s="25" t="s">
        <v>573</v>
      </c>
      <c r="H16" s="25" t="s">
        <v>574</v>
      </c>
    </row>
    <row r="17" spans="1:8">
      <c r="A17" s="25" t="s">
        <v>1069</v>
      </c>
      <c r="B17" s="25">
        <v>5.20042903816736</v>
      </c>
      <c r="C17" s="25">
        <v>0.0664056847937118</v>
      </c>
      <c r="D17" s="25">
        <v>-6.61721141943956</v>
      </c>
      <c r="E17" s="25">
        <v>3.54489948306545e-10</v>
      </c>
      <c r="F17" s="25" t="s">
        <v>147</v>
      </c>
      <c r="G17" s="25" t="s">
        <v>1072</v>
      </c>
      <c r="H17" s="25" t="s">
        <v>1073</v>
      </c>
    </row>
    <row r="18" spans="1:8">
      <c r="A18" s="25" t="s">
        <v>6327</v>
      </c>
      <c r="B18" s="25">
        <v>23.8515613804272</v>
      </c>
      <c r="C18" s="25">
        <v>13.5697566024672</v>
      </c>
      <c r="D18" s="25">
        <v>-1.10726564212908</v>
      </c>
      <c r="E18" s="25">
        <v>0.00217941650965032</v>
      </c>
      <c r="F18" s="25" t="s">
        <v>147</v>
      </c>
      <c r="G18" s="25" t="s">
        <v>6328</v>
      </c>
      <c r="H18" s="25" t="s">
        <v>6329</v>
      </c>
    </row>
    <row r="19" spans="1:8">
      <c r="A19" s="25" t="s">
        <v>6885</v>
      </c>
      <c r="B19" s="25">
        <v>0.162869710548355</v>
      </c>
      <c r="C19" s="25">
        <v>0</v>
      </c>
      <c r="D19" s="25">
        <v>-5.7406586952656</v>
      </c>
      <c r="E19" s="25">
        <v>0.00303510839303596</v>
      </c>
      <c r="F19" s="25" t="s">
        <v>147</v>
      </c>
      <c r="G19" s="25" t="s">
        <v>6886</v>
      </c>
      <c r="H19" s="25" t="s">
        <v>6887</v>
      </c>
    </row>
    <row r="20" spans="1:8">
      <c r="A20" s="25" t="s">
        <v>6890</v>
      </c>
      <c r="B20" s="25">
        <v>11.1942467336941</v>
      </c>
      <c r="C20" s="25">
        <v>0.516669209704447</v>
      </c>
      <c r="D20" s="25">
        <v>-4.77237213912869</v>
      </c>
      <c r="E20" s="25">
        <v>1.25514312554299e-7</v>
      </c>
      <c r="F20" s="25" t="s">
        <v>147</v>
      </c>
      <c r="G20" s="25" t="s">
        <v>6886</v>
      </c>
      <c r="H20" s="25" t="s">
        <v>6887</v>
      </c>
    </row>
  </sheetData>
  <mergeCells count="1">
    <mergeCell ref="A1:K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8"/>
  <sheetViews>
    <sheetView workbookViewId="0">
      <selection activeCell="A1" sqref="A1:H1"/>
    </sheetView>
  </sheetViews>
  <sheetFormatPr defaultColWidth="8.88888888888889" defaultRowHeight="13.8" outlineLevelCol="7"/>
  <cols>
    <col min="1" max="1" width="19" style="14" customWidth="1"/>
    <col min="2" max="4" width="12.8888888888889" style="15"/>
    <col min="5" max="5" width="12.8888888888889" style="16"/>
    <col min="6" max="6" width="10.3333333333333" style="14" customWidth="1"/>
    <col min="7" max="7" width="12.8888888888889" style="14"/>
    <col min="8" max="8" width="60.8888888888889" style="14" customWidth="1"/>
    <col min="9" max="16384" width="8.88888888888889" style="14"/>
  </cols>
  <sheetData>
    <row r="1" spans="1:8">
      <c r="A1" s="17" t="s">
        <v>22222</v>
      </c>
      <c r="B1" s="18"/>
      <c r="C1" s="18"/>
      <c r="D1" s="18"/>
      <c r="E1" s="19"/>
      <c r="F1" s="17"/>
      <c r="G1" s="17"/>
      <c r="H1" s="17"/>
    </row>
    <row r="2" spans="1:8">
      <c r="A2" s="20" t="s">
        <v>1</v>
      </c>
      <c r="B2" s="20" t="s">
        <v>22215</v>
      </c>
      <c r="C2" s="20" t="s">
        <v>22216</v>
      </c>
      <c r="D2" s="20" t="s">
        <v>22217</v>
      </c>
      <c r="E2" s="21" t="s">
        <v>131</v>
      </c>
      <c r="F2" s="20" t="s">
        <v>132</v>
      </c>
      <c r="G2" s="22" t="s">
        <v>2</v>
      </c>
      <c r="H2" s="20" t="s">
        <v>22219</v>
      </c>
    </row>
    <row r="3" spans="1:8">
      <c r="A3" s="14" t="s">
        <v>2041</v>
      </c>
      <c r="B3" s="15">
        <v>1.50210328766667</v>
      </c>
      <c r="C3" s="15">
        <v>0.624114674</v>
      </c>
      <c r="D3" s="15">
        <v>-1.504988482</v>
      </c>
      <c r="E3" s="16">
        <v>0.029317794</v>
      </c>
      <c r="F3" s="14" t="s">
        <v>147</v>
      </c>
      <c r="G3" s="14" t="s">
        <v>2042</v>
      </c>
      <c r="H3" s="14" t="s">
        <v>2043</v>
      </c>
    </row>
    <row r="4" spans="1:8">
      <c r="A4" s="14" t="s">
        <v>12010</v>
      </c>
      <c r="B4" s="15">
        <v>14.8192491766667</v>
      </c>
      <c r="C4" s="15">
        <v>8.69315698366667</v>
      </c>
      <c r="D4" s="15">
        <v>-1.035955964</v>
      </c>
      <c r="E4" s="16">
        <v>5.54e-5</v>
      </c>
      <c r="F4" s="14" t="s">
        <v>147</v>
      </c>
      <c r="G4" s="14" t="s">
        <v>12012</v>
      </c>
      <c r="H4" s="14" t="s">
        <v>12013</v>
      </c>
    </row>
    <row r="5" spans="1:8">
      <c r="A5" s="14" t="s">
        <v>13948</v>
      </c>
      <c r="B5" s="15">
        <v>43.8085336366667</v>
      </c>
      <c r="C5" s="15">
        <v>8.89986948566667</v>
      </c>
      <c r="D5" s="15">
        <v>-2.599855612</v>
      </c>
      <c r="E5" s="16">
        <v>1.21e-16</v>
      </c>
      <c r="F5" s="14" t="s">
        <v>147</v>
      </c>
      <c r="G5" s="14" t="s">
        <v>13950</v>
      </c>
      <c r="H5" s="14" t="s">
        <v>13951</v>
      </c>
    </row>
    <row r="6" spans="1:8">
      <c r="A6" s="14" t="s">
        <v>3447</v>
      </c>
      <c r="B6" s="15">
        <v>510.5415054</v>
      </c>
      <c r="C6" s="15">
        <v>270.6607419</v>
      </c>
      <c r="D6" s="15">
        <v>-1.221716092</v>
      </c>
      <c r="E6" s="16">
        <v>0.001840781</v>
      </c>
      <c r="F6" s="14" t="s">
        <v>147</v>
      </c>
      <c r="G6" s="14" t="s">
        <v>3448</v>
      </c>
      <c r="H6" s="14" t="s">
        <v>3449</v>
      </c>
    </row>
    <row r="7" spans="1:8">
      <c r="A7" s="14" t="s">
        <v>15644</v>
      </c>
      <c r="B7" s="15">
        <v>28.19106597</v>
      </c>
      <c r="C7" s="15">
        <v>10.69531402</v>
      </c>
      <c r="D7" s="15">
        <v>-1.711786325</v>
      </c>
      <c r="E7" s="16">
        <v>0.000300924</v>
      </c>
      <c r="F7" s="14" t="s">
        <v>147</v>
      </c>
      <c r="G7" s="14" t="s">
        <v>15646</v>
      </c>
      <c r="H7" s="14" t="s">
        <v>15647</v>
      </c>
    </row>
    <row r="8" spans="1:8">
      <c r="A8" s="14" t="s">
        <v>15596</v>
      </c>
      <c r="B8" s="15">
        <v>44.15170968</v>
      </c>
      <c r="C8" s="15">
        <v>18.6411396333333</v>
      </c>
      <c r="D8" s="15">
        <v>-1.546727191</v>
      </c>
      <c r="E8" s="16">
        <v>8.3e-6</v>
      </c>
      <c r="F8" s="14" t="s">
        <v>147</v>
      </c>
      <c r="G8" s="14" t="s">
        <v>15598</v>
      </c>
      <c r="H8" s="14" t="s">
        <v>15599</v>
      </c>
    </row>
    <row r="9" spans="1:8">
      <c r="A9" s="14" t="s">
        <v>10552</v>
      </c>
      <c r="B9" s="15">
        <v>8.70937377733333</v>
      </c>
      <c r="C9" s="15">
        <v>5.14743360866667</v>
      </c>
      <c r="D9" s="15">
        <v>-1.041191226</v>
      </c>
      <c r="E9" s="16">
        <v>2.53e-5</v>
      </c>
      <c r="F9" s="14" t="s">
        <v>147</v>
      </c>
      <c r="G9" s="14" t="s">
        <v>10555</v>
      </c>
      <c r="H9" s="14" t="s">
        <v>10556</v>
      </c>
    </row>
    <row r="10" spans="1:8">
      <c r="A10" s="14" t="s">
        <v>2385</v>
      </c>
      <c r="B10" s="15">
        <v>57.9967012466667</v>
      </c>
      <c r="C10" s="15">
        <v>27.78190262</v>
      </c>
      <c r="D10" s="15">
        <v>-1.358826581</v>
      </c>
      <c r="E10" s="16">
        <v>1.98e-5</v>
      </c>
      <c r="F10" s="14" t="s">
        <v>147</v>
      </c>
      <c r="G10" s="14" t="s">
        <v>2386</v>
      </c>
      <c r="H10" s="14" t="s">
        <v>2387</v>
      </c>
    </row>
    <row r="11" spans="1:8">
      <c r="A11" s="14" t="s">
        <v>8309</v>
      </c>
      <c r="B11" s="15">
        <v>0.745750711</v>
      </c>
      <c r="C11" s="15">
        <v>0.383948821666667</v>
      </c>
      <c r="D11" s="15">
        <v>-1.22637217</v>
      </c>
      <c r="E11" s="16">
        <v>0.002129965</v>
      </c>
      <c r="F11" s="14" t="s">
        <v>147</v>
      </c>
      <c r="G11" s="14" t="s">
        <v>8310</v>
      </c>
      <c r="H11" s="14" t="s">
        <v>8311</v>
      </c>
    </row>
    <row r="12" spans="1:8">
      <c r="A12" s="14" t="s">
        <v>7726</v>
      </c>
      <c r="B12" s="15">
        <v>5.19154590033333</v>
      </c>
      <c r="C12" s="15">
        <v>0.436411773</v>
      </c>
      <c r="D12" s="15">
        <v>-3.881965268</v>
      </c>
      <c r="E12" s="16">
        <v>8.98e-11</v>
      </c>
      <c r="F12" s="14" t="s">
        <v>147</v>
      </c>
      <c r="G12" s="14" t="s">
        <v>7729</v>
      </c>
      <c r="H12" s="14" t="s">
        <v>7730</v>
      </c>
    </row>
    <row r="13" spans="1:8">
      <c r="A13" s="14" t="s">
        <v>10279</v>
      </c>
      <c r="B13" s="15">
        <v>21.2394109866667</v>
      </c>
      <c r="C13" s="15">
        <v>9.41432506866667</v>
      </c>
      <c r="D13" s="15">
        <v>-1.463430542</v>
      </c>
      <c r="E13" s="16">
        <v>1.38e-17</v>
      </c>
      <c r="F13" s="14" t="s">
        <v>147</v>
      </c>
      <c r="G13" s="14" t="s">
        <v>7729</v>
      </c>
      <c r="H13" s="14" t="s">
        <v>7730</v>
      </c>
    </row>
    <row r="14" spans="1:8">
      <c r="A14" s="14" t="s">
        <v>990</v>
      </c>
      <c r="B14" s="15">
        <v>3.09859159433333</v>
      </c>
      <c r="C14" s="15">
        <v>1.04616760433333</v>
      </c>
      <c r="D14" s="15">
        <v>-1.832853507</v>
      </c>
      <c r="E14" s="16">
        <v>6.14e-6</v>
      </c>
      <c r="F14" s="14" t="s">
        <v>147</v>
      </c>
      <c r="G14" s="14" t="s">
        <v>993</v>
      </c>
      <c r="H14" s="14" t="s">
        <v>994</v>
      </c>
    </row>
    <row r="15" spans="1:8">
      <c r="A15" s="14" t="s">
        <v>33</v>
      </c>
      <c r="B15" s="15">
        <v>24.3199113766667</v>
      </c>
      <c r="C15" s="15">
        <v>10.800090811</v>
      </c>
      <c r="D15" s="15">
        <v>-1.464135926</v>
      </c>
      <c r="E15" s="16">
        <v>5.12e-10</v>
      </c>
      <c r="F15" s="14" t="s">
        <v>147</v>
      </c>
      <c r="G15" s="14" t="s">
        <v>34</v>
      </c>
      <c r="H15" s="14" t="s">
        <v>6650</v>
      </c>
    </row>
    <row r="16" spans="1:8">
      <c r="A16" s="14" t="s">
        <v>11897</v>
      </c>
      <c r="B16" s="15">
        <v>3.07926260433333</v>
      </c>
      <c r="C16" s="15">
        <v>1.41678137033333</v>
      </c>
      <c r="D16" s="15">
        <v>-1.397226775</v>
      </c>
      <c r="E16" s="16">
        <v>1.04e-5</v>
      </c>
      <c r="F16" s="14" t="s">
        <v>147</v>
      </c>
      <c r="G16" s="14" t="s">
        <v>11898</v>
      </c>
      <c r="H16" s="14" t="s">
        <v>11899</v>
      </c>
    </row>
    <row r="17" spans="1:8">
      <c r="A17" s="14" t="s">
        <v>15799</v>
      </c>
      <c r="B17" s="15">
        <v>21.1446179066667</v>
      </c>
      <c r="C17" s="15">
        <v>12.6615453266667</v>
      </c>
      <c r="D17" s="15">
        <v>-1.033176104</v>
      </c>
      <c r="E17" s="16">
        <v>0.000980769</v>
      </c>
      <c r="F17" s="14" t="s">
        <v>147</v>
      </c>
      <c r="G17" s="14" t="s">
        <v>15800</v>
      </c>
      <c r="H17" s="14" t="s">
        <v>15801</v>
      </c>
    </row>
    <row r="18" spans="1:8">
      <c r="A18" s="14" t="s">
        <v>6287</v>
      </c>
      <c r="B18" s="15">
        <v>12.4650134466667</v>
      </c>
      <c r="C18" s="15">
        <v>30.6976615633333</v>
      </c>
      <c r="D18" s="15">
        <v>1.03292532</v>
      </c>
      <c r="E18" s="16">
        <v>7.24e-10</v>
      </c>
      <c r="F18" s="14" t="s">
        <v>164</v>
      </c>
      <c r="G18" s="14" t="s">
        <v>6290</v>
      </c>
      <c r="H18" s="14" t="s">
        <v>6291</v>
      </c>
    </row>
    <row r="19" spans="1:8">
      <c r="A19" s="14" t="s">
        <v>14050</v>
      </c>
      <c r="B19" s="15">
        <v>0.319224031333333</v>
      </c>
      <c r="C19" s="15">
        <v>1.40613387466667</v>
      </c>
      <c r="D19" s="15">
        <v>1.886892877</v>
      </c>
      <c r="E19" s="16">
        <v>0.000434626</v>
      </c>
      <c r="F19" s="14" t="s">
        <v>164</v>
      </c>
      <c r="G19" s="14" t="s">
        <v>14051</v>
      </c>
      <c r="H19" s="14" t="s">
        <v>14052</v>
      </c>
    </row>
    <row r="20" spans="1:8">
      <c r="A20" s="14" t="s">
        <v>15402</v>
      </c>
      <c r="B20" s="15">
        <v>0.993522906666667</v>
      </c>
      <c r="C20" s="15">
        <v>3.776222861</v>
      </c>
      <c r="D20" s="15">
        <v>1.708642874</v>
      </c>
      <c r="E20" s="16">
        <v>0.022186256</v>
      </c>
      <c r="F20" s="14" t="s">
        <v>164</v>
      </c>
      <c r="G20" s="14" t="s">
        <v>15403</v>
      </c>
      <c r="H20" s="14" t="s">
        <v>15404</v>
      </c>
    </row>
    <row r="21" spans="1:8">
      <c r="A21" s="14" t="s">
        <v>10828</v>
      </c>
      <c r="B21" s="15">
        <v>0</v>
      </c>
      <c r="C21" s="15">
        <v>0.252001268</v>
      </c>
      <c r="D21" s="15">
        <v>4.920159112</v>
      </c>
      <c r="E21" s="16">
        <v>0.043955441</v>
      </c>
      <c r="F21" s="14" t="s">
        <v>164</v>
      </c>
      <c r="G21" s="14" t="s">
        <v>10829</v>
      </c>
      <c r="H21" s="14" t="s">
        <v>10830</v>
      </c>
    </row>
    <row r="22" spans="1:8">
      <c r="A22" s="14" t="s">
        <v>10920</v>
      </c>
      <c r="B22" s="15">
        <v>2.246558131</v>
      </c>
      <c r="C22" s="15">
        <v>7.32024508766667</v>
      </c>
      <c r="D22" s="15">
        <v>1.432624944</v>
      </c>
      <c r="E22" s="16">
        <v>2.11e-6</v>
      </c>
      <c r="F22" s="14" t="s">
        <v>164</v>
      </c>
      <c r="G22" s="14" t="s">
        <v>10922</v>
      </c>
      <c r="H22" s="14" t="s">
        <v>10923</v>
      </c>
    </row>
    <row r="23" spans="1:8">
      <c r="A23" s="14" t="s">
        <v>11959</v>
      </c>
      <c r="B23" s="15">
        <v>0.515814914</v>
      </c>
      <c r="C23" s="15">
        <v>8.34822519866667</v>
      </c>
      <c r="D23" s="15">
        <v>3.831160227</v>
      </c>
      <c r="E23" s="16">
        <v>0.002530478</v>
      </c>
      <c r="F23" s="14" t="s">
        <v>164</v>
      </c>
      <c r="G23" s="14" t="s">
        <v>11960</v>
      </c>
      <c r="H23" s="14" t="s">
        <v>11961</v>
      </c>
    </row>
    <row r="24" spans="1:8">
      <c r="A24" s="14" t="s">
        <v>21</v>
      </c>
      <c r="B24" s="15">
        <v>5.02724445966667</v>
      </c>
      <c r="C24" s="15">
        <v>18.9454912266667</v>
      </c>
      <c r="D24" s="15">
        <v>1.688863246</v>
      </c>
      <c r="E24" s="16">
        <v>0.005888855</v>
      </c>
      <c r="F24" s="14" t="s">
        <v>164</v>
      </c>
      <c r="G24" s="14" t="s">
        <v>22</v>
      </c>
      <c r="H24" s="14" t="s">
        <v>3070</v>
      </c>
    </row>
    <row r="25" spans="1:8">
      <c r="A25" s="14" t="s">
        <v>15176</v>
      </c>
      <c r="B25" s="15">
        <v>0.0137758053333333</v>
      </c>
      <c r="C25" s="15">
        <v>0.178659794333333</v>
      </c>
      <c r="D25" s="15">
        <v>3.472607757</v>
      </c>
      <c r="E25" s="16">
        <v>0.042864664</v>
      </c>
      <c r="F25" s="14" t="s">
        <v>164</v>
      </c>
      <c r="G25" s="14" t="s">
        <v>15177</v>
      </c>
      <c r="H25" s="14" t="s">
        <v>15178</v>
      </c>
    </row>
    <row r="26" spans="1:8">
      <c r="A26" s="14" t="s">
        <v>15775</v>
      </c>
      <c r="B26" s="15">
        <v>1.940239683</v>
      </c>
      <c r="C26" s="15">
        <v>5.93971393033333</v>
      </c>
      <c r="D26" s="15">
        <v>1.390115328</v>
      </c>
      <c r="E26" s="16">
        <v>0.041924625</v>
      </c>
      <c r="F26" s="14" t="s">
        <v>164</v>
      </c>
      <c r="G26" s="14" t="s">
        <v>15776</v>
      </c>
      <c r="H26" s="14" t="s">
        <v>15777</v>
      </c>
    </row>
    <row r="27" spans="1:8">
      <c r="A27" s="14" t="s">
        <v>6871</v>
      </c>
      <c r="B27" s="15">
        <v>1.847247509</v>
      </c>
      <c r="C27" s="15">
        <v>6.15220167166667</v>
      </c>
      <c r="D27" s="15">
        <v>1.447376603</v>
      </c>
      <c r="E27" s="16">
        <v>1.27e-12</v>
      </c>
      <c r="F27" s="14" t="s">
        <v>164</v>
      </c>
      <c r="G27" s="14" t="s">
        <v>6874</v>
      </c>
      <c r="H27" s="14" t="s">
        <v>6875</v>
      </c>
    </row>
    <row r="28" spans="1:8">
      <c r="A28" s="14" t="s">
        <v>12621</v>
      </c>
      <c r="B28" s="15">
        <v>2.793606398</v>
      </c>
      <c r="C28" s="15">
        <v>7.63812586666667</v>
      </c>
      <c r="D28" s="15">
        <v>1.176757929</v>
      </c>
      <c r="E28" s="16">
        <v>5.65e-13</v>
      </c>
      <c r="F28" s="14" t="s">
        <v>164</v>
      </c>
      <c r="G28" s="14" t="s">
        <v>12624</v>
      </c>
      <c r="H28" s="14" t="s">
        <v>12625</v>
      </c>
    </row>
    <row r="29" spans="1:8">
      <c r="A29" s="14" t="s">
        <v>8567</v>
      </c>
      <c r="B29" s="15">
        <v>0.979048095333333</v>
      </c>
      <c r="C29" s="15">
        <v>10.2394310116667</v>
      </c>
      <c r="D29" s="15">
        <v>3.083041594</v>
      </c>
      <c r="E29" s="16">
        <v>1.61e-7</v>
      </c>
      <c r="F29" s="14" t="s">
        <v>164</v>
      </c>
      <c r="G29" s="14" t="s">
        <v>8569</v>
      </c>
      <c r="H29" s="14" t="s">
        <v>8570</v>
      </c>
    </row>
    <row r="30" spans="1:8">
      <c r="A30" s="14" t="s">
        <v>6975</v>
      </c>
      <c r="B30" s="15">
        <v>1.22454557166667</v>
      </c>
      <c r="C30" s="15">
        <v>9.234243778</v>
      </c>
      <c r="D30" s="15">
        <v>2.664825815</v>
      </c>
      <c r="E30" s="16">
        <v>7.37e-8</v>
      </c>
      <c r="F30" s="14" t="s">
        <v>164</v>
      </c>
      <c r="G30" s="14" t="s">
        <v>6978</v>
      </c>
      <c r="H30" s="14" t="s">
        <v>6979</v>
      </c>
    </row>
    <row r="31" spans="1:8">
      <c r="A31" s="14" t="s">
        <v>15989</v>
      </c>
      <c r="B31" s="15">
        <v>0.439916478</v>
      </c>
      <c r="C31" s="15">
        <v>1.10699216233333</v>
      </c>
      <c r="D31" s="15">
        <v>1.061058155</v>
      </c>
      <c r="E31" s="16">
        <v>0.000309202</v>
      </c>
      <c r="F31" s="14" t="s">
        <v>164</v>
      </c>
      <c r="G31" s="14" t="s">
        <v>15991</v>
      </c>
      <c r="H31" s="14" t="s">
        <v>15992</v>
      </c>
    </row>
    <row r="32" spans="1:8">
      <c r="A32" s="14" t="s">
        <v>13681</v>
      </c>
      <c r="B32" s="15">
        <v>1.49897834033333</v>
      </c>
      <c r="C32" s="15">
        <v>12.0843902266667</v>
      </c>
      <c r="D32" s="15">
        <v>2.812997518</v>
      </c>
      <c r="E32" s="16">
        <v>0.003249687</v>
      </c>
      <c r="F32" s="14" t="s">
        <v>164</v>
      </c>
      <c r="G32" s="14" t="s">
        <v>2386</v>
      </c>
      <c r="H32" s="14" t="s">
        <v>2387</v>
      </c>
    </row>
    <row r="33" spans="1:8">
      <c r="A33" s="14" t="s">
        <v>15341</v>
      </c>
      <c r="B33" s="15">
        <v>1.680317311</v>
      </c>
      <c r="C33" s="15">
        <v>22.9746711533333</v>
      </c>
      <c r="D33" s="15">
        <v>3.568448278</v>
      </c>
      <c r="E33" s="16">
        <v>6.22e-6</v>
      </c>
      <c r="F33" s="14" t="s">
        <v>164</v>
      </c>
      <c r="G33" s="14" t="s">
        <v>15344</v>
      </c>
      <c r="H33" s="14" t="s">
        <v>15345</v>
      </c>
    </row>
    <row r="34" spans="1:8">
      <c r="A34" s="14" t="s">
        <v>7930</v>
      </c>
      <c r="B34" s="15">
        <v>0.678907119</v>
      </c>
      <c r="C34" s="15">
        <v>2.12132297633333</v>
      </c>
      <c r="D34" s="15">
        <v>1.361926811</v>
      </c>
      <c r="E34" s="16">
        <v>0.003606014</v>
      </c>
      <c r="F34" s="14" t="s">
        <v>164</v>
      </c>
      <c r="G34" s="14" t="s">
        <v>7931</v>
      </c>
      <c r="H34" s="14" t="s">
        <v>7932</v>
      </c>
    </row>
    <row r="35" spans="1:8">
      <c r="A35" s="14" t="s">
        <v>10700</v>
      </c>
      <c r="B35" s="15">
        <v>0.519463683</v>
      </c>
      <c r="C35" s="15">
        <v>4.439554522</v>
      </c>
      <c r="D35" s="15">
        <v>2.82769889</v>
      </c>
      <c r="E35" s="16">
        <v>7.39e-27</v>
      </c>
      <c r="F35" s="14" t="s">
        <v>164</v>
      </c>
      <c r="G35" s="14" t="s">
        <v>10703</v>
      </c>
      <c r="H35" s="14" t="s">
        <v>10704</v>
      </c>
    </row>
    <row r="36" spans="1:8">
      <c r="A36" s="14" t="s">
        <v>5462</v>
      </c>
      <c r="B36" s="15">
        <v>2.71192772066667</v>
      </c>
      <c r="C36" s="15">
        <v>9.42107827566667</v>
      </c>
      <c r="D36" s="15">
        <v>1.575651828</v>
      </c>
      <c r="E36" s="16">
        <v>0.014568615</v>
      </c>
      <c r="F36" s="14" t="s">
        <v>164</v>
      </c>
      <c r="G36" s="14" t="s">
        <v>5463</v>
      </c>
      <c r="H36" s="14" t="s">
        <v>5464</v>
      </c>
    </row>
    <row r="37" spans="1:8">
      <c r="A37" s="14" t="s">
        <v>3795</v>
      </c>
      <c r="B37" s="15">
        <v>2.48983240033333</v>
      </c>
      <c r="C37" s="15">
        <v>8.299602906</v>
      </c>
      <c r="D37" s="15">
        <v>1.45803152</v>
      </c>
      <c r="E37" s="16">
        <v>2.53e-27</v>
      </c>
      <c r="F37" s="14" t="s">
        <v>164</v>
      </c>
      <c r="G37" s="14" t="s">
        <v>3798</v>
      </c>
      <c r="H37" s="14" t="s">
        <v>3799</v>
      </c>
    </row>
    <row r="38" spans="1:8">
      <c r="A38" s="14" t="s">
        <v>1213</v>
      </c>
      <c r="B38" s="15">
        <v>0.431439665333333</v>
      </c>
      <c r="C38" s="15">
        <v>1.70416332366667</v>
      </c>
      <c r="D38" s="15">
        <v>1.710847751</v>
      </c>
      <c r="E38" s="16">
        <v>0.014316963</v>
      </c>
      <c r="F38" s="14" t="s">
        <v>164</v>
      </c>
      <c r="G38" s="14" t="s">
        <v>1214</v>
      </c>
      <c r="H38" s="14" t="s">
        <v>1215</v>
      </c>
    </row>
  </sheetData>
  <mergeCells count="1">
    <mergeCell ref="A1:H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workbookViewId="0">
      <selection activeCell="H19" sqref="H19"/>
    </sheetView>
  </sheetViews>
  <sheetFormatPr defaultColWidth="8.88888888888889" defaultRowHeight="13.8"/>
  <cols>
    <col min="1" max="1" width="20.1111111111111" style="4" customWidth="1"/>
    <col min="2" max="2" width="12" style="4" customWidth="1"/>
    <col min="3" max="3" width="14.3333333333333" style="4" customWidth="1"/>
    <col min="4" max="6" width="8.88888888888889" style="4"/>
    <col min="7" max="8" width="11.5555555555556" style="4" customWidth="1"/>
    <col min="9" max="9" width="64.7777777777778" style="4" customWidth="1"/>
    <col min="10" max="16384" width="8.88888888888889" style="4"/>
  </cols>
  <sheetData>
    <row r="1" s="1" customFormat="1" ht="13.2" spans="1:12">
      <c r="A1" s="5" t="s">
        <v>22223</v>
      </c>
      <c r="B1" s="6"/>
      <c r="C1" s="6"/>
      <c r="D1" s="6"/>
      <c r="E1" s="6"/>
      <c r="F1" s="6"/>
      <c r="G1" s="6"/>
      <c r="H1" s="6"/>
      <c r="I1" s="10"/>
      <c r="J1" s="11"/>
      <c r="L1" s="12"/>
    </row>
    <row r="2" s="2" customFormat="1" ht="14.55" spans="1:10">
      <c r="A2" s="7" t="s">
        <v>1</v>
      </c>
      <c r="B2" s="7" t="s">
        <v>22215</v>
      </c>
      <c r="C2" s="7" t="s">
        <v>22216</v>
      </c>
      <c r="D2" s="7" t="s">
        <v>22217</v>
      </c>
      <c r="E2" s="7" t="s">
        <v>131</v>
      </c>
      <c r="F2" s="7" t="s">
        <v>132</v>
      </c>
      <c r="G2" s="7" t="s">
        <v>22218</v>
      </c>
      <c r="H2" s="7" t="s">
        <v>22224</v>
      </c>
      <c r="I2" s="7" t="s">
        <v>22219</v>
      </c>
      <c r="J2" s="13"/>
    </row>
    <row r="3" s="3" customFormat="1" spans="1:9">
      <c r="A3" s="8" t="s">
        <v>3327</v>
      </c>
      <c r="B3" s="8">
        <v>0.409970498454815</v>
      </c>
      <c r="C3" s="8">
        <v>2.52218021984048</v>
      </c>
      <c r="D3" s="8">
        <v>2.36039974633154</v>
      </c>
      <c r="E3" s="8">
        <v>6.11570499584722e-11</v>
      </c>
      <c r="F3" s="8" t="s">
        <v>164</v>
      </c>
      <c r="G3" s="8" t="s">
        <v>3330</v>
      </c>
      <c r="H3" s="8" t="s">
        <v>22225</v>
      </c>
      <c r="I3" s="8" t="s">
        <v>3331</v>
      </c>
    </row>
    <row r="4" spans="1:9">
      <c r="A4" s="9" t="s">
        <v>11425</v>
      </c>
      <c r="B4" s="9">
        <v>11.9494248422495</v>
      </c>
      <c r="C4" s="9">
        <v>30.6936235580277</v>
      </c>
      <c r="D4" s="9">
        <v>1.10044735606839</v>
      </c>
      <c r="E4" s="9">
        <v>0.00091271101300952</v>
      </c>
      <c r="F4" s="9" t="s">
        <v>164</v>
      </c>
      <c r="G4" s="9" t="s">
        <v>11426</v>
      </c>
      <c r="H4" s="9" t="s">
        <v>22225</v>
      </c>
      <c r="I4" s="9" t="s">
        <v>11427</v>
      </c>
    </row>
    <row r="5" spans="1:9">
      <c r="A5" s="9" t="s">
        <v>11992</v>
      </c>
      <c r="B5" s="9">
        <v>0.982739624286236</v>
      </c>
      <c r="C5" s="9">
        <v>4.49881440119633</v>
      </c>
      <c r="D5" s="9">
        <v>1.90046896630927</v>
      </c>
      <c r="E5" s="9">
        <v>4.80335429872443e-8</v>
      </c>
      <c r="F5" s="9" t="s">
        <v>164</v>
      </c>
      <c r="G5" s="9" t="s">
        <v>11995</v>
      </c>
      <c r="H5" s="9" t="s">
        <v>22225</v>
      </c>
      <c r="I5" s="9" t="s">
        <v>11996</v>
      </c>
    </row>
    <row r="6" spans="1:9">
      <c r="A6" s="9" t="s">
        <v>14110</v>
      </c>
      <c r="B6" s="9">
        <v>0</v>
      </c>
      <c r="C6" s="9">
        <v>0.186298150717442</v>
      </c>
      <c r="D6" s="9">
        <v>6.3927461714324</v>
      </c>
      <c r="E6" s="9">
        <v>0.00119707370790802</v>
      </c>
      <c r="F6" s="9" t="s">
        <v>164</v>
      </c>
      <c r="G6" s="9" t="s">
        <v>11995</v>
      </c>
      <c r="H6" s="9" t="s">
        <v>22225</v>
      </c>
      <c r="I6" s="9" t="s">
        <v>11996</v>
      </c>
    </row>
    <row r="7" spans="1:9">
      <c r="A7" s="9" t="s">
        <v>9987</v>
      </c>
      <c r="B7" s="9">
        <v>1.50027250685841</v>
      </c>
      <c r="C7" s="9">
        <v>7.07691045942126</v>
      </c>
      <c r="D7" s="9">
        <v>1.92115712137974</v>
      </c>
      <c r="E7" s="9">
        <v>0.000942251483496415</v>
      </c>
      <c r="F7" s="9" t="s">
        <v>164</v>
      </c>
      <c r="G7" s="9" t="s">
        <v>9988</v>
      </c>
      <c r="H7" s="9" t="s">
        <v>22225</v>
      </c>
      <c r="I7" s="9" t="s">
        <v>9989</v>
      </c>
    </row>
    <row r="8" spans="1:9">
      <c r="A8" s="9" t="s">
        <v>9667</v>
      </c>
      <c r="B8" s="9">
        <v>2.32368193643779</v>
      </c>
      <c r="C8" s="9">
        <v>5.89933740007196</v>
      </c>
      <c r="D8" s="9">
        <v>1.07673674303482</v>
      </c>
      <c r="E8" s="9">
        <v>0.000198510048488207</v>
      </c>
      <c r="F8" s="9" t="s">
        <v>164</v>
      </c>
      <c r="G8" s="9" t="s">
        <v>9669</v>
      </c>
      <c r="H8" s="9" t="s">
        <v>22225</v>
      </c>
      <c r="I8" s="9" t="s">
        <v>9670</v>
      </c>
    </row>
    <row r="9" spans="1:9">
      <c r="A9" s="9" t="s">
        <v>11324</v>
      </c>
      <c r="B9" s="9">
        <v>3.65911278663211</v>
      </c>
      <c r="C9" s="9">
        <v>14.3230817018625</v>
      </c>
      <c r="D9" s="9">
        <v>1.72726742137849</v>
      </c>
      <c r="E9" s="9">
        <v>0.000175228932517738</v>
      </c>
      <c r="F9" s="9" t="s">
        <v>164</v>
      </c>
      <c r="G9" s="9" t="s">
        <v>11326</v>
      </c>
      <c r="H9" s="9" t="s">
        <v>22225</v>
      </c>
      <c r="I9" s="9" t="s">
        <v>11327</v>
      </c>
    </row>
    <row r="10" spans="1:9">
      <c r="A10" s="9" t="s">
        <v>17</v>
      </c>
      <c r="B10" s="9">
        <v>5.09999218811621</v>
      </c>
      <c r="C10" s="9">
        <v>21.6367542428197</v>
      </c>
      <c r="D10" s="9">
        <v>1.8091505073622</v>
      </c>
      <c r="E10" s="9">
        <v>1.55944001263419e-15</v>
      </c>
      <c r="F10" s="9" t="s">
        <v>164</v>
      </c>
      <c r="G10" s="9" t="s">
        <v>18</v>
      </c>
      <c r="H10" s="9" t="s">
        <v>22225</v>
      </c>
      <c r="I10" s="9" t="s">
        <v>4555</v>
      </c>
    </row>
    <row r="11" spans="1:9">
      <c r="A11" s="9" t="s">
        <v>14028</v>
      </c>
      <c r="B11" s="9">
        <v>15.638509042882</v>
      </c>
      <c r="C11" s="9">
        <v>44.8143305901464</v>
      </c>
      <c r="D11" s="9">
        <v>1.2533209473787</v>
      </c>
      <c r="E11" s="9">
        <v>1.68749187285121e-11</v>
      </c>
      <c r="F11" s="9" t="s">
        <v>164</v>
      </c>
      <c r="G11" s="9" t="s">
        <v>14030</v>
      </c>
      <c r="H11" s="9" t="s">
        <v>22225</v>
      </c>
      <c r="I11" s="9" t="s">
        <v>14031</v>
      </c>
    </row>
    <row r="12" spans="1:9">
      <c r="A12" s="9" t="s">
        <v>11053</v>
      </c>
      <c r="B12" s="9">
        <v>0.138584862786462</v>
      </c>
      <c r="C12" s="9">
        <v>1.39999904258482</v>
      </c>
      <c r="D12" s="9">
        <v>3.15735335986032</v>
      </c>
      <c r="E12" s="9">
        <v>0.0404539282035556</v>
      </c>
      <c r="F12" s="9" t="s">
        <v>164</v>
      </c>
      <c r="G12" s="9" t="s">
        <v>11054</v>
      </c>
      <c r="H12" s="9" t="s">
        <v>22225</v>
      </c>
      <c r="I12" s="9" t="s">
        <v>11055</v>
      </c>
    </row>
    <row r="13" spans="1:9">
      <c r="A13" s="9" t="s">
        <v>11122</v>
      </c>
      <c r="B13" s="9">
        <v>0</v>
      </c>
      <c r="C13" s="9">
        <v>0.514114928445871</v>
      </c>
      <c r="D13" s="9">
        <v>5.92420476086454</v>
      </c>
      <c r="E13" s="9">
        <v>0.00486351998225145</v>
      </c>
      <c r="F13" s="9" t="s">
        <v>164</v>
      </c>
      <c r="G13" s="9" t="s">
        <v>1869</v>
      </c>
      <c r="H13" s="9" t="s">
        <v>22225</v>
      </c>
      <c r="I13" s="9" t="s">
        <v>1870</v>
      </c>
    </row>
    <row r="14" spans="1:9">
      <c r="A14" s="9" t="s">
        <v>1866</v>
      </c>
      <c r="B14" s="9">
        <v>3.26941889737484</v>
      </c>
      <c r="C14" s="9">
        <v>9.44106145576547</v>
      </c>
      <c r="D14" s="9">
        <v>1.24118999171479</v>
      </c>
      <c r="E14" s="9">
        <v>2.79384420865383e-5</v>
      </c>
      <c r="F14" s="9" t="s">
        <v>164</v>
      </c>
      <c r="G14" s="9" t="s">
        <v>1869</v>
      </c>
      <c r="H14" s="9" t="s">
        <v>22225</v>
      </c>
      <c r="I14" s="9" t="s">
        <v>1870</v>
      </c>
    </row>
    <row r="15" spans="1:9">
      <c r="A15" s="9" t="s">
        <v>11123</v>
      </c>
      <c r="B15" s="9">
        <v>21.3782469727642</v>
      </c>
      <c r="C15" s="9">
        <v>60.892664672592</v>
      </c>
      <c r="D15" s="9">
        <v>1.22974377298077</v>
      </c>
      <c r="E15" s="9">
        <v>2.03834032371121e-6</v>
      </c>
      <c r="F15" s="9" t="s">
        <v>164</v>
      </c>
      <c r="G15" s="9" t="s">
        <v>11125</v>
      </c>
      <c r="H15" s="9" t="s">
        <v>22225</v>
      </c>
      <c r="I15" s="9" t="s">
        <v>11126</v>
      </c>
    </row>
    <row r="16" spans="1:9">
      <c r="A16" s="9" t="s">
        <v>9</v>
      </c>
      <c r="B16" s="9">
        <v>10.7806309221207</v>
      </c>
      <c r="C16" s="9">
        <v>50.2851072147675</v>
      </c>
      <c r="D16" s="9">
        <v>1.9452341916726</v>
      </c>
      <c r="E16" s="9">
        <v>1.96611434502735e-9</v>
      </c>
      <c r="F16" s="9" t="s">
        <v>164</v>
      </c>
      <c r="G16" s="9" t="s">
        <v>10</v>
      </c>
      <c r="H16" s="9" t="s">
        <v>22225</v>
      </c>
      <c r="I16" s="9" t="s">
        <v>3336</v>
      </c>
    </row>
    <row r="17" spans="1:9">
      <c r="A17" s="9" t="s">
        <v>33</v>
      </c>
      <c r="B17" s="9">
        <v>24.3199113769032</v>
      </c>
      <c r="C17" s="9">
        <v>10.8000908097568</v>
      </c>
      <c r="D17" s="9">
        <v>-1.46413592640255</v>
      </c>
      <c r="E17" s="9">
        <v>5.12183398268805e-10</v>
      </c>
      <c r="F17" s="9" t="s">
        <v>147</v>
      </c>
      <c r="G17" s="9" t="s">
        <v>34</v>
      </c>
      <c r="H17" s="9" t="s">
        <v>22225</v>
      </c>
      <c r="I17" s="9" t="s">
        <v>6650</v>
      </c>
    </row>
    <row r="18" spans="1:9">
      <c r="A18" s="9" t="s">
        <v>14353</v>
      </c>
      <c r="B18" s="9">
        <v>47.9099494582527</v>
      </c>
      <c r="C18" s="9">
        <v>17.0867932189152</v>
      </c>
      <c r="D18" s="9">
        <v>-1.7898749641686</v>
      </c>
      <c r="E18" s="9">
        <v>4.63398160243327e-6</v>
      </c>
      <c r="F18" s="9" t="s">
        <v>147</v>
      </c>
      <c r="G18" s="9" t="s">
        <v>14356</v>
      </c>
      <c r="H18" s="9" t="s">
        <v>22225</v>
      </c>
      <c r="I18" s="9" t="s">
        <v>14357</v>
      </c>
    </row>
    <row r="19" spans="1:9">
      <c r="A19" s="9" t="s">
        <v>29</v>
      </c>
      <c r="B19" s="9">
        <v>33.7005661269624</v>
      </c>
      <c r="C19" s="9">
        <v>5.03911874911811</v>
      </c>
      <c r="D19" s="9">
        <v>-3.06939184897613</v>
      </c>
      <c r="E19" s="9">
        <v>0.000493496127819555</v>
      </c>
      <c r="F19" s="9" t="s">
        <v>147</v>
      </c>
      <c r="G19" s="9" t="s">
        <v>30</v>
      </c>
      <c r="H19" s="9" t="s">
        <v>22225</v>
      </c>
      <c r="I19" s="9" t="s">
        <v>12998</v>
      </c>
    </row>
    <row r="20" spans="1:9">
      <c r="A20" s="9" t="s">
        <v>11959</v>
      </c>
      <c r="B20" s="9">
        <v>0.515814914032326</v>
      </c>
      <c r="C20" s="9">
        <v>8.34822519647901</v>
      </c>
      <c r="D20" s="9">
        <v>3.83116022741832</v>
      </c>
      <c r="E20" s="9">
        <v>0.00253047762538936</v>
      </c>
      <c r="F20" s="9" t="s">
        <v>164</v>
      </c>
      <c r="G20" s="9" t="s">
        <v>11960</v>
      </c>
      <c r="H20" s="9" t="s">
        <v>22226</v>
      </c>
      <c r="I20" s="9" t="s">
        <v>11961</v>
      </c>
    </row>
    <row r="21" spans="1:9">
      <c r="A21" s="9" t="s">
        <v>21</v>
      </c>
      <c r="B21" s="9">
        <v>5.02724445808341</v>
      </c>
      <c r="C21" s="9">
        <v>18.9454912272702</v>
      </c>
      <c r="D21" s="9">
        <v>1.68886324595348</v>
      </c>
      <c r="E21" s="9">
        <v>0.00588885454032879</v>
      </c>
      <c r="F21" s="9" t="s">
        <v>164</v>
      </c>
      <c r="G21" s="9" t="s">
        <v>22</v>
      </c>
      <c r="H21" s="9" t="s">
        <v>22226</v>
      </c>
      <c r="I21" s="9" t="s">
        <v>3070</v>
      </c>
    </row>
    <row r="22" spans="1:9">
      <c r="A22" s="9" t="s">
        <v>338</v>
      </c>
      <c r="B22" s="9">
        <v>0.88686825850029</v>
      </c>
      <c r="C22" s="9">
        <v>0.304611691701603</v>
      </c>
      <c r="D22" s="9">
        <v>-1.79729211095624</v>
      </c>
      <c r="E22" s="9">
        <v>0.00189729795019489</v>
      </c>
      <c r="F22" s="9" t="s">
        <v>147</v>
      </c>
      <c r="G22" s="9" t="s">
        <v>339</v>
      </c>
      <c r="H22" s="9" t="s">
        <v>22226</v>
      </c>
      <c r="I22" s="9" t="s">
        <v>340</v>
      </c>
    </row>
    <row r="23" spans="1:9">
      <c r="A23" s="9" t="s">
        <v>10822</v>
      </c>
      <c r="B23" s="9">
        <v>2.22096030350982</v>
      </c>
      <c r="C23" s="9">
        <v>0.322488150933111</v>
      </c>
      <c r="D23" s="9">
        <v>-3.11779937597941</v>
      </c>
      <c r="E23" s="9">
        <v>0.0128482430179843</v>
      </c>
      <c r="F23" s="9" t="s">
        <v>147</v>
      </c>
      <c r="G23" s="9" t="s">
        <v>10823</v>
      </c>
      <c r="H23" s="9" t="s">
        <v>22226</v>
      </c>
      <c r="I23" s="9" t="s">
        <v>10824</v>
      </c>
    </row>
    <row r="24" spans="1:9">
      <c r="A24" s="9" t="s">
        <v>4834</v>
      </c>
      <c r="B24" s="9">
        <v>2.55473687714585</v>
      </c>
      <c r="C24" s="9">
        <v>0.913834230707759</v>
      </c>
      <c r="D24" s="9">
        <v>-1.80289248575764</v>
      </c>
      <c r="E24" s="9">
        <v>0.0203836930553395</v>
      </c>
      <c r="F24" s="9" t="s">
        <v>147</v>
      </c>
      <c r="G24" s="9" t="s">
        <v>4835</v>
      </c>
      <c r="H24" s="9" t="s">
        <v>22226</v>
      </c>
      <c r="I24" s="9" t="s">
        <v>4836</v>
      </c>
    </row>
    <row r="25" spans="1:9">
      <c r="A25" s="9" t="s">
        <v>8303</v>
      </c>
      <c r="B25" s="9">
        <v>2.7225901449529</v>
      </c>
      <c r="C25" s="9">
        <v>9.38876684313099</v>
      </c>
      <c r="D25" s="9">
        <v>1.52862384418866</v>
      </c>
      <c r="E25" s="9">
        <v>1.62227835066958e-8</v>
      </c>
      <c r="F25" s="9" t="s">
        <v>164</v>
      </c>
      <c r="G25" s="9" t="s">
        <v>8304</v>
      </c>
      <c r="H25" s="9" t="s">
        <v>22227</v>
      </c>
      <c r="I25" s="9" t="s">
        <v>8305</v>
      </c>
    </row>
    <row r="26" spans="1:9">
      <c r="A26" s="9" t="s">
        <v>15748</v>
      </c>
      <c r="B26" s="9">
        <v>2.57890642729237</v>
      </c>
      <c r="C26" s="9">
        <v>20.2483811420544</v>
      </c>
      <c r="D26" s="9">
        <v>2.7320887817757</v>
      </c>
      <c r="E26" s="9">
        <v>4.44209913955139e-9</v>
      </c>
      <c r="F26" s="9" t="s">
        <v>164</v>
      </c>
      <c r="G26" s="9" t="s">
        <v>15750</v>
      </c>
      <c r="H26" s="9" t="s">
        <v>22227</v>
      </c>
      <c r="I26" s="9" t="s">
        <v>15751</v>
      </c>
    </row>
    <row r="27" spans="1:9">
      <c r="A27" s="9" t="s">
        <v>2742</v>
      </c>
      <c r="B27" s="9">
        <v>0.472109836986134</v>
      </c>
      <c r="C27" s="9">
        <v>6.89390522764378</v>
      </c>
      <c r="D27" s="9">
        <v>3.59515407966701</v>
      </c>
      <c r="E27" s="9">
        <v>2.77975602238018e-11</v>
      </c>
      <c r="F27" s="9" t="s">
        <v>164</v>
      </c>
      <c r="G27" s="9" t="s">
        <v>2745</v>
      </c>
      <c r="H27" s="9" t="s">
        <v>22227</v>
      </c>
      <c r="I27" s="9" t="s">
        <v>2746</v>
      </c>
    </row>
    <row r="28" spans="1:9">
      <c r="A28" s="9" t="s">
        <v>3855</v>
      </c>
      <c r="B28" s="9">
        <v>5.7823801246001</v>
      </c>
      <c r="C28" s="9">
        <v>0.30915782994883</v>
      </c>
      <c r="D28" s="9">
        <v>-4.51231493488685</v>
      </c>
      <c r="E28" s="9">
        <v>1.00484792901316e-26</v>
      </c>
      <c r="F28" s="9" t="s">
        <v>147</v>
      </c>
      <c r="G28" s="9" t="s">
        <v>3858</v>
      </c>
      <c r="H28" s="9" t="s">
        <v>22227</v>
      </c>
      <c r="I28" s="9" t="s">
        <v>3859</v>
      </c>
    </row>
    <row r="29" spans="1:9">
      <c r="A29" s="9" t="s">
        <v>11335</v>
      </c>
      <c r="B29" s="9">
        <v>0.867938388666968</v>
      </c>
      <c r="C29" s="9">
        <v>0.0911993003375411</v>
      </c>
      <c r="D29" s="9">
        <v>-3.51606011895005</v>
      </c>
      <c r="E29" s="9">
        <v>0.0097998577926739</v>
      </c>
      <c r="F29" s="9" t="s">
        <v>147</v>
      </c>
      <c r="G29" s="9" t="s">
        <v>3858</v>
      </c>
      <c r="H29" s="9" t="s">
        <v>22227</v>
      </c>
      <c r="I29" s="9" t="s">
        <v>3859</v>
      </c>
    </row>
    <row r="30" spans="1:9">
      <c r="A30" s="9" t="s">
        <v>700</v>
      </c>
      <c r="B30" s="9">
        <v>18.1703740119925</v>
      </c>
      <c r="C30" s="9">
        <v>10.7022882119268</v>
      </c>
      <c r="D30" s="9">
        <v>-1.07274719039027</v>
      </c>
      <c r="E30" s="9">
        <v>0.030947203624383</v>
      </c>
      <c r="F30" s="9" t="s">
        <v>147</v>
      </c>
      <c r="G30" s="9" t="s">
        <v>701</v>
      </c>
      <c r="H30" s="9" t="s">
        <v>22227</v>
      </c>
      <c r="I30" s="9" t="s">
        <v>702</v>
      </c>
    </row>
    <row r="31" spans="1:9">
      <c r="A31" s="9" t="s">
        <v>3034</v>
      </c>
      <c r="B31" s="9">
        <v>0.289273055966215</v>
      </c>
      <c r="C31" s="9">
        <v>0.839183756150449</v>
      </c>
      <c r="D31" s="9">
        <v>1.24530994225368</v>
      </c>
      <c r="E31" s="9">
        <v>0.0174645779567357</v>
      </c>
      <c r="F31" s="9" t="s">
        <v>164</v>
      </c>
      <c r="G31" s="9" t="s">
        <v>3035</v>
      </c>
      <c r="H31" s="9" t="s">
        <v>22228</v>
      </c>
      <c r="I31" s="9" t="s">
        <v>3036</v>
      </c>
    </row>
    <row r="32" spans="1:9">
      <c r="A32" s="9" t="s">
        <v>867</v>
      </c>
      <c r="B32" s="9">
        <v>6.37353060700257</v>
      </c>
      <c r="C32" s="9">
        <v>29.2044780221884</v>
      </c>
      <c r="D32" s="9">
        <v>1.89479050663037</v>
      </c>
      <c r="E32" s="9">
        <v>1.85891512591194e-9</v>
      </c>
      <c r="F32" s="9" t="s">
        <v>164</v>
      </c>
      <c r="G32" s="9" t="s">
        <v>870</v>
      </c>
      <c r="H32" s="9" t="s">
        <v>22228</v>
      </c>
      <c r="I32" s="9" t="s">
        <v>871</v>
      </c>
    </row>
    <row r="33" spans="1:9">
      <c r="A33" s="9" t="s">
        <v>1204</v>
      </c>
      <c r="B33" s="9">
        <v>13.2380883225031</v>
      </c>
      <c r="C33" s="9">
        <v>36.812143962598</v>
      </c>
      <c r="D33" s="9">
        <v>1.1851783945245</v>
      </c>
      <c r="E33" s="9">
        <v>3.05318850324424e-5</v>
      </c>
      <c r="F33" s="9" t="s">
        <v>164</v>
      </c>
      <c r="G33" s="9" t="s">
        <v>1207</v>
      </c>
      <c r="H33" s="9" t="s">
        <v>22228</v>
      </c>
      <c r="I33" s="9" t="s">
        <v>1208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B13" sqref="B13"/>
    </sheetView>
  </sheetViews>
  <sheetFormatPr defaultColWidth="9" defaultRowHeight="13.8" outlineLevelRow="7" outlineLevelCol="7"/>
  <cols>
    <col min="1" max="1" width="18.5555555555556" style="14" customWidth="1"/>
    <col min="2" max="16384" width="9" style="14"/>
  </cols>
  <sheetData>
    <row r="1" ht="14.55" spans="1:8">
      <c r="A1" s="29" t="s">
        <v>37</v>
      </c>
      <c r="B1" s="29"/>
      <c r="C1" s="29"/>
      <c r="D1" s="29"/>
      <c r="E1" s="29"/>
      <c r="F1" s="29"/>
      <c r="G1" s="29"/>
      <c r="H1" s="29"/>
    </row>
    <row r="2" ht="14.55" spans="1:8">
      <c r="A2" s="43" t="s">
        <v>38</v>
      </c>
      <c r="B2" s="43" t="s">
        <v>39</v>
      </c>
      <c r="C2" s="43" t="s">
        <v>40</v>
      </c>
      <c r="D2" s="43" t="s">
        <v>41</v>
      </c>
      <c r="E2" s="43" t="s">
        <v>42</v>
      </c>
      <c r="F2" s="43" t="s">
        <v>43</v>
      </c>
      <c r="G2" s="43" t="s">
        <v>44</v>
      </c>
      <c r="H2" s="43" t="s">
        <v>45</v>
      </c>
    </row>
    <row r="3" spans="1:8">
      <c r="A3" s="14" t="s">
        <v>46</v>
      </c>
      <c r="B3" s="15">
        <v>53.34</v>
      </c>
      <c r="C3" s="15">
        <v>7.57</v>
      </c>
      <c r="D3" s="15">
        <v>47.63</v>
      </c>
      <c r="E3" s="15">
        <v>6.76</v>
      </c>
      <c r="F3" s="15">
        <v>89.31</v>
      </c>
      <c r="G3" s="15">
        <v>93.7</v>
      </c>
      <c r="H3" s="15">
        <v>43.86</v>
      </c>
    </row>
    <row r="4" spans="1:8">
      <c r="A4" s="14" t="s">
        <v>47</v>
      </c>
      <c r="B4" s="15">
        <v>54.8</v>
      </c>
      <c r="C4" s="15">
        <v>7.78</v>
      </c>
      <c r="D4" s="15">
        <v>49.56</v>
      </c>
      <c r="E4" s="15">
        <v>7.03</v>
      </c>
      <c r="F4" s="15">
        <v>90.45</v>
      </c>
      <c r="G4" s="15">
        <v>93.93</v>
      </c>
      <c r="H4" s="15">
        <v>43.8</v>
      </c>
    </row>
    <row r="5" spans="1:8">
      <c r="A5" s="14" t="s">
        <v>48</v>
      </c>
      <c r="B5" s="15">
        <v>53.25</v>
      </c>
      <c r="C5" s="15">
        <v>7.59</v>
      </c>
      <c r="D5" s="15">
        <v>48.53</v>
      </c>
      <c r="E5" s="15">
        <v>6.92</v>
      </c>
      <c r="F5" s="15">
        <v>91.14</v>
      </c>
      <c r="G5" s="15">
        <v>94.09</v>
      </c>
      <c r="H5" s="15">
        <v>43.92</v>
      </c>
    </row>
    <row r="6" spans="1:8">
      <c r="A6" s="14" t="s">
        <v>49</v>
      </c>
      <c r="B6" s="15">
        <v>45.85</v>
      </c>
      <c r="C6" s="15">
        <v>6.57</v>
      </c>
      <c r="D6" s="15">
        <v>42.9</v>
      </c>
      <c r="E6" s="15">
        <v>6.15</v>
      </c>
      <c r="F6" s="15">
        <v>93.57</v>
      </c>
      <c r="G6" s="15">
        <v>92.51</v>
      </c>
      <c r="H6" s="15">
        <v>43.32</v>
      </c>
    </row>
    <row r="7" spans="1:8">
      <c r="A7" s="14" t="s">
        <v>50</v>
      </c>
      <c r="B7" s="15">
        <v>45.28</v>
      </c>
      <c r="C7" s="15">
        <v>6.5</v>
      </c>
      <c r="D7" s="15">
        <v>42.47</v>
      </c>
      <c r="E7" s="15">
        <v>6.1</v>
      </c>
      <c r="F7" s="15">
        <v>93.79</v>
      </c>
      <c r="G7" s="15">
        <v>92.71</v>
      </c>
      <c r="H7" s="15">
        <v>43.25</v>
      </c>
    </row>
    <row r="8" spans="1:8">
      <c r="A8" s="42" t="s">
        <v>51</v>
      </c>
      <c r="B8" s="44">
        <v>49.12</v>
      </c>
      <c r="C8" s="44">
        <v>7</v>
      </c>
      <c r="D8" s="44">
        <v>45.67</v>
      </c>
      <c r="E8" s="44">
        <v>6.51</v>
      </c>
      <c r="F8" s="44">
        <v>92.98</v>
      </c>
      <c r="G8" s="44">
        <v>92.41</v>
      </c>
      <c r="H8" s="44">
        <v>43.36</v>
      </c>
    </row>
  </sheetData>
  <mergeCells count="1">
    <mergeCell ref="A1:H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"/>
  <sheetViews>
    <sheetView workbookViewId="0">
      <selection activeCell="C15" sqref="C15"/>
    </sheetView>
  </sheetViews>
  <sheetFormatPr defaultColWidth="8.88888888888889" defaultRowHeight="13.8" outlineLevelRow="7"/>
  <cols>
    <col min="1" max="1" width="21.5555555555556" style="14" customWidth="1"/>
    <col min="2" max="2" width="9.55555555555556" style="14" customWidth="1"/>
    <col min="3" max="3" width="15" style="14" customWidth="1"/>
    <col min="4" max="11" width="8.88888888888889" style="14"/>
    <col min="12" max="12" width="29.2222222222222" style="14" customWidth="1"/>
    <col min="13" max="16384" width="8.88888888888889" style="14"/>
  </cols>
  <sheetData>
    <row r="1" spans="1:12">
      <c r="A1" s="40" t="s">
        <v>52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ht="14.55" spans="1:12">
      <c r="A2" s="41" t="s">
        <v>38</v>
      </c>
      <c r="B2" s="41" t="s">
        <v>53</v>
      </c>
      <c r="C2" s="41" t="s">
        <v>54</v>
      </c>
      <c r="D2" s="41" t="s">
        <v>55</v>
      </c>
      <c r="E2" s="41" t="s">
        <v>56</v>
      </c>
      <c r="F2" s="41" t="s">
        <v>57</v>
      </c>
      <c r="G2" s="41" t="s">
        <v>58</v>
      </c>
      <c r="H2" s="41" t="s">
        <v>59</v>
      </c>
      <c r="I2" s="41" t="s">
        <v>60</v>
      </c>
      <c r="J2" s="41" t="s">
        <v>61</v>
      </c>
      <c r="K2" s="41" t="s">
        <v>62</v>
      </c>
      <c r="L2" s="41" t="s">
        <v>63</v>
      </c>
    </row>
    <row r="3" spans="1:12">
      <c r="A3" s="14" t="s">
        <v>46</v>
      </c>
      <c r="B3" s="14">
        <v>47634814</v>
      </c>
      <c r="C3" s="14" t="s">
        <v>64</v>
      </c>
      <c r="D3" s="14" t="s">
        <v>65</v>
      </c>
      <c r="E3" s="14" t="s">
        <v>66</v>
      </c>
      <c r="F3" s="14" t="s">
        <v>67</v>
      </c>
      <c r="G3" s="14" t="s">
        <v>68</v>
      </c>
      <c r="H3" s="14" t="s">
        <v>69</v>
      </c>
      <c r="I3" s="14" t="s">
        <v>70</v>
      </c>
      <c r="J3" s="14" t="s">
        <v>71</v>
      </c>
      <c r="K3" s="14" t="s">
        <v>72</v>
      </c>
      <c r="L3" s="14" t="s">
        <v>73</v>
      </c>
    </row>
    <row r="4" spans="1:12">
      <c r="A4" s="14" t="s">
        <v>47</v>
      </c>
      <c r="B4" s="14">
        <v>49564164</v>
      </c>
      <c r="C4" s="14" t="s">
        <v>74</v>
      </c>
      <c r="D4" s="14" t="s">
        <v>75</v>
      </c>
      <c r="E4" s="14" t="s">
        <v>76</v>
      </c>
      <c r="F4" s="14" t="s">
        <v>77</v>
      </c>
      <c r="G4" s="14" t="s">
        <v>78</v>
      </c>
      <c r="H4" s="14" t="s">
        <v>79</v>
      </c>
      <c r="I4" s="14" t="s">
        <v>80</v>
      </c>
      <c r="J4" s="14" t="s">
        <v>81</v>
      </c>
      <c r="K4" s="14" t="s">
        <v>82</v>
      </c>
      <c r="L4" s="14" t="s">
        <v>83</v>
      </c>
    </row>
    <row r="5" spans="1:12">
      <c r="A5" s="14" t="s">
        <v>48</v>
      </c>
      <c r="B5" s="14">
        <v>48527860</v>
      </c>
      <c r="C5" s="14" t="s">
        <v>84</v>
      </c>
      <c r="D5" s="14" t="s">
        <v>85</v>
      </c>
      <c r="E5" s="14" t="s">
        <v>86</v>
      </c>
      <c r="F5" s="14" t="s">
        <v>87</v>
      </c>
      <c r="G5" s="14" t="s">
        <v>88</v>
      </c>
      <c r="H5" s="14" t="s">
        <v>89</v>
      </c>
      <c r="I5" s="14" t="s">
        <v>90</v>
      </c>
      <c r="J5" s="14" t="s">
        <v>91</v>
      </c>
      <c r="K5" s="14" t="s">
        <v>92</v>
      </c>
      <c r="L5" s="14" t="s">
        <v>93</v>
      </c>
    </row>
    <row r="6" spans="1:12">
      <c r="A6" s="14" t="s">
        <v>49</v>
      </c>
      <c r="B6" s="14">
        <v>42901584</v>
      </c>
      <c r="C6" s="14" t="s">
        <v>94</v>
      </c>
      <c r="D6" s="14" t="s">
        <v>95</v>
      </c>
      <c r="E6" s="14" t="s">
        <v>96</v>
      </c>
      <c r="F6" s="14" t="s">
        <v>97</v>
      </c>
      <c r="G6" s="14" t="s">
        <v>98</v>
      </c>
      <c r="H6" s="14" t="s">
        <v>99</v>
      </c>
      <c r="I6" s="14" t="s">
        <v>100</v>
      </c>
      <c r="J6" s="14" t="s">
        <v>101</v>
      </c>
      <c r="K6" s="14" t="s">
        <v>102</v>
      </c>
      <c r="L6" s="14" t="s">
        <v>103</v>
      </c>
    </row>
    <row r="7" spans="1:12">
      <c r="A7" s="14" t="s">
        <v>50</v>
      </c>
      <c r="B7" s="14">
        <v>42467630</v>
      </c>
      <c r="C7" s="14" t="s">
        <v>104</v>
      </c>
      <c r="D7" s="14" t="s">
        <v>105</v>
      </c>
      <c r="E7" s="14" t="s">
        <v>106</v>
      </c>
      <c r="F7" s="14" t="s">
        <v>107</v>
      </c>
      <c r="G7" s="14" t="s">
        <v>108</v>
      </c>
      <c r="H7" s="14" t="s">
        <v>109</v>
      </c>
      <c r="I7" s="14" t="s">
        <v>110</v>
      </c>
      <c r="J7" s="14" t="s">
        <v>111</v>
      </c>
      <c r="K7" s="14" t="s">
        <v>112</v>
      </c>
      <c r="L7" s="14" t="s">
        <v>113</v>
      </c>
    </row>
    <row r="8" spans="1:12">
      <c r="A8" s="42" t="s">
        <v>51</v>
      </c>
      <c r="B8" s="42">
        <v>45673360</v>
      </c>
      <c r="C8" s="42" t="s">
        <v>114</v>
      </c>
      <c r="D8" s="42" t="s">
        <v>115</v>
      </c>
      <c r="E8" s="42" t="s">
        <v>116</v>
      </c>
      <c r="F8" s="42" t="s">
        <v>117</v>
      </c>
      <c r="G8" s="42" t="s">
        <v>118</v>
      </c>
      <c r="H8" s="42" t="s">
        <v>119</v>
      </c>
      <c r="I8" s="42" t="s">
        <v>120</v>
      </c>
      <c r="J8" s="42" t="s">
        <v>121</v>
      </c>
      <c r="K8" s="42" t="s">
        <v>122</v>
      </c>
      <c r="L8" s="42" t="s">
        <v>123</v>
      </c>
    </row>
  </sheetData>
  <mergeCells count="1">
    <mergeCell ref="A1:L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66"/>
  <sheetViews>
    <sheetView workbookViewId="0">
      <selection activeCell="A2" sqref="$A2:$XFD2"/>
    </sheetView>
  </sheetViews>
  <sheetFormatPr defaultColWidth="9" defaultRowHeight="13.8"/>
  <cols>
    <col min="1" max="1" width="19.7777777777778" style="14" customWidth="1"/>
    <col min="2" max="16384" width="9" style="14"/>
  </cols>
  <sheetData>
    <row r="1" spans="1:40">
      <c r="A1" s="29" t="s">
        <v>124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</row>
    <row r="2" ht="14.55" spans="1:21">
      <c r="A2" s="37" t="s">
        <v>1</v>
      </c>
      <c r="B2" s="37" t="s">
        <v>125</v>
      </c>
      <c r="C2" s="37" t="s">
        <v>126</v>
      </c>
      <c r="D2" s="37" t="s">
        <v>127</v>
      </c>
      <c r="E2" s="37" t="s">
        <v>128</v>
      </c>
      <c r="F2" s="37" t="s">
        <v>129</v>
      </c>
      <c r="G2" s="37" t="s">
        <v>130</v>
      </c>
      <c r="H2" s="37" t="s">
        <v>131</v>
      </c>
      <c r="I2" s="37" t="s">
        <v>132</v>
      </c>
      <c r="J2" s="37" t="s">
        <v>133</v>
      </c>
      <c r="K2" s="37" t="s">
        <v>134</v>
      </c>
      <c r="L2" s="37" t="s">
        <v>135</v>
      </c>
      <c r="M2" s="37" t="s">
        <v>136</v>
      </c>
      <c r="N2" s="37" t="s">
        <v>137</v>
      </c>
      <c r="O2" s="37" t="s">
        <v>138</v>
      </c>
      <c r="P2" s="37" t="s">
        <v>2</v>
      </c>
      <c r="Q2" s="37" t="s">
        <v>139</v>
      </c>
      <c r="R2" s="37" t="s">
        <v>140</v>
      </c>
      <c r="S2" s="37" t="s">
        <v>141</v>
      </c>
      <c r="T2" s="37" t="s">
        <v>142</v>
      </c>
      <c r="U2" s="37" t="s">
        <v>143</v>
      </c>
    </row>
    <row r="3" spans="1:21">
      <c r="A3" s="14" t="s">
        <v>144</v>
      </c>
      <c r="B3" s="14">
        <v>29.98880877</v>
      </c>
      <c r="C3" s="14">
        <v>56.35852652</v>
      </c>
      <c r="D3" s="14">
        <v>3.619091024</v>
      </c>
      <c r="E3" s="14">
        <v>0.063873518</v>
      </c>
      <c r="F3" s="14">
        <v>-3.968638281</v>
      </c>
      <c r="G3" s="51" t="s">
        <v>145</v>
      </c>
      <c r="H3" s="51" t="s">
        <v>146</v>
      </c>
      <c r="I3" s="14" t="s">
        <v>147</v>
      </c>
      <c r="J3" s="14">
        <v>0.028481913</v>
      </c>
      <c r="K3" s="14">
        <v>0.086003688</v>
      </c>
      <c r="L3" s="14">
        <v>0.04113569</v>
      </c>
      <c r="M3" s="14">
        <v>0.597039854</v>
      </c>
      <c r="N3" s="14">
        <v>0.479272311</v>
      </c>
      <c r="O3" s="14">
        <v>0.953687813</v>
      </c>
      <c r="P3" s="14" t="s">
        <v>148</v>
      </c>
      <c r="Q3" s="14" t="s">
        <v>149</v>
      </c>
      <c r="T3" s="14" t="s">
        <v>150</v>
      </c>
      <c r="U3" s="14" t="s">
        <v>151</v>
      </c>
    </row>
    <row r="4" spans="1:15">
      <c r="A4" s="14" t="s">
        <v>152</v>
      </c>
      <c r="B4" s="14">
        <v>2029.382584</v>
      </c>
      <c r="C4" s="14">
        <v>2830.244879</v>
      </c>
      <c r="D4" s="14">
        <v>1228.520289</v>
      </c>
      <c r="E4" s="14">
        <v>0.434090691</v>
      </c>
      <c r="F4" s="14">
        <v>-1.20393161</v>
      </c>
      <c r="G4" s="51" t="s">
        <v>153</v>
      </c>
      <c r="H4" s="51" t="s">
        <v>154</v>
      </c>
      <c r="I4" s="14" t="s">
        <v>147</v>
      </c>
      <c r="J4" s="14">
        <v>46.84291605</v>
      </c>
      <c r="K4" s="14">
        <v>61.67595228</v>
      </c>
      <c r="L4" s="14">
        <v>50.2419957</v>
      </c>
      <c r="M4" s="14">
        <v>107.1196999</v>
      </c>
      <c r="N4" s="14">
        <v>108.2715938</v>
      </c>
      <c r="O4" s="14">
        <v>83.50014378</v>
      </c>
    </row>
    <row r="5" spans="1:15">
      <c r="A5" s="14" t="s">
        <v>155</v>
      </c>
      <c r="B5" s="14">
        <v>30.03300701</v>
      </c>
      <c r="C5" s="14">
        <v>45.96328272</v>
      </c>
      <c r="D5" s="14">
        <v>14.1027313</v>
      </c>
      <c r="E5" s="14">
        <v>0.306366927</v>
      </c>
      <c r="F5" s="14">
        <v>-1.706667533</v>
      </c>
      <c r="G5" s="14">
        <v>0.000250105</v>
      </c>
      <c r="H5" s="14">
        <v>0.001069657</v>
      </c>
      <c r="I5" s="14" t="s">
        <v>147</v>
      </c>
      <c r="J5" s="14">
        <v>0.932238264</v>
      </c>
      <c r="K5" s="14">
        <v>1.620744318</v>
      </c>
      <c r="L5" s="14">
        <v>1.060806012</v>
      </c>
      <c r="M5" s="14">
        <v>3.408004687</v>
      </c>
      <c r="N5" s="14">
        <v>2.643486899</v>
      </c>
      <c r="O5" s="14">
        <v>3.689051114</v>
      </c>
    </row>
    <row r="6" spans="1:21">
      <c r="A6" s="14" t="s">
        <v>156</v>
      </c>
      <c r="B6" s="14">
        <v>2885.711443</v>
      </c>
      <c r="C6" s="14">
        <v>4322.619669</v>
      </c>
      <c r="D6" s="14">
        <v>1448.803216</v>
      </c>
      <c r="E6" s="14">
        <v>0.335196085</v>
      </c>
      <c r="F6" s="14">
        <v>-1.576922795</v>
      </c>
      <c r="G6" s="51" t="s">
        <v>157</v>
      </c>
      <c r="H6" s="51" t="s">
        <v>158</v>
      </c>
      <c r="I6" s="14" t="s">
        <v>147</v>
      </c>
      <c r="J6" s="14">
        <v>26.69306635</v>
      </c>
      <c r="K6" s="14">
        <v>34.67765015</v>
      </c>
      <c r="L6" s="14">
        <v>35.96915746</v>
      </c>
      <c r="M6" s="14">
        <v>81.20547161</v>
      </c>
      <c r="N6" s="14">
        <v>88.91699316</v>
      </c>
      <c r="O6" s="14">
        <v>67.0713761</v>
      </c>
      <c r="P6" s="14" t="s">
        <v>159</v>
      </c>
      <c r="Q6" s="14" t="s">
        <v>160</v>
      </c>
      <c r="T6" s="14" t="s">
        <v>161</v>
      </c>
      <c r="U6" s="14" t="s">
        <v>162</v>
      </c>
    </row>
    <row r="7" spans="1:17">
      <c r="A7" s="14" t="s">
        <v>163</v>
      </c>
      <c r="B7" s="14">
        <v>22.74191758</v>
      </c>
      <c r="C7" s="14">
        <v>11.97018044</v>
      </c>
      <c r="D7" s="14">
        <v>33.51365471</v>
      </c>
      <c r="E7" s="14">
        <v>2.791790012</v>
      </c>
      <c r="F7" s="14">
        <v>1.481190431</v>
      </c>
      <c r="G7" s="14">
        <v>0.015880474</v>
      </c>
      <c r="H7" s="14">
        <v>0.040033806</v>
      </c>
      <c r="I7" s="14" t="s">
        <v>164</v>
      </c>
      <c r="J7" s="14">
        <v>0.746475451</v>
      </c>
      <c r="K7" s="14">
        <v>0.469593649</v>
      </c>
      <c r="L7" s="14">
        <v>0.359371734</v>
      </c>
      <c r="M7" s="14">
        <v>0.15967011</v>
      </c>
      <c r="N7" s="14">
        <v>0.089357634</v>
      </c>
      <c r="O7" s="14">
        <v>0.221309626</v>
      </c>
      <c r="P7" s="14" t="s">
        <v>165</v>
      </c>
      <c r="Q7" s="14" t="s">
        <v>166</v>
      </c>
    </row>
    <row r="8" spans="1:21">
      <c r="A8" s="14" t="s">
        <v>167</v>
      </c>
      <c r="B8" s="14">
        <v>7627.017668</v>
      </c>
      <c r="C8" s="14">
        <v>10681.37748</v>
      </c>
      <c r="D8" s="14">
        <v>4572.657853</v>
      </c>
      <c r="E8" s="14">
        <v>0.428103705</v>
      </c>
      <c r="F8" s="14">
        <v>-1.223967774</v>
      </c>
      <c r="G8" s="51" t="s">
        <v>168</v>
      </c>
      <c r="H8" s="51" t="s">
        <v>169</v>
      </c>
      <c r="I8" s="14" t="s">
        <v>147</v>
      </c>
      <c r="J8" s="14">
        <v>22.80432554</v>
      </c>
      <c r="K8" s="14">
        <v>22.21618253</v>
      </c>
      <c r="L8" s="14">
        <v>20.37414425</v>
      </c>
      <c r="M8" s="14">
        <v>44.21663024</v>
      </c>
      <c r="N8" s="14">
        <v>41.76136032</v>
      </c>
      <c r="O8" s="14">
        <v>39.30607818</v>
      </c>
      <c r="P8" s="14" t="s">
        <v>170</v>
      </c>
      <c r="Q8" s="14" t="s">
        <v>171</v>
      </c>
      <c r="T8" s="14" t="s">
        <v>172</v>
      </c>
      <c r="U8" s="14" t="s">
        <v>173</v>
      </c>
    </row>
    <row r="9" spans="1:15">
      <c r="A9" s="14" t="s">
        <v>174</v>
      </c>
      <c r="B9" s="14">
        <v>17.70457968</v>
      </c>
      <c r="C9" s="14">
        <v>5.079763856</v>
      </c>
      <c r="D9" s="14">
        <v>30.3293955</v>
      </c>
      <c r="E9" s="14">
        <v>6.006299437</v>
      </c>
      <c r="F9" s="14">
        <v>2.5864764</v>
      </c>
      <c r="G9" s="51" t="s">
        <v>175</v>
      </c>
      <c r="H9" s="51" t="s">
        <v>176</v>
      </c>
      <c r="I9" s="14" t="s">
        <v>164</v>
      </c>
      <c r="J9" s="14">
        <v>0.830048246</v>
      </c>
      <c r="K9" s="14">
        <v>0.754616576</v>
      </c>
      <c r="L9" s="14">
        <v>0.876554533</v>
      </c>
      <c r="M9" s="14">
        <v>0.114545948</v>
      </c>
      <c r="N9" s="14">
        <v>0.131871886</v>
      </c>
      <c r="O9" s="14">
        <v>0.089655869</v>
      </c>
    </row>
    <row r="10" spans="1:21">
      <c r="A10" s="14" t="s">
        <v>177</v>
      </c>
      <c r="B10" s="14">
        <v>7.809927577</v>
      </c>
      <c r="C10" s="14">
        <v>15.61985515</v>
      </c>
      <c r="D10" s="14">
        <v>0</v>
      </c>
      <c r="E10" s="14">
        <v>0.011524427</v>
      </c>
      <c r="F10" s="14">
        <v>-6.439161173</v>
      </c>
      <c r="G10" s="14">
        <v>0.005262743</v>
      </c>
      <c r="H10" s="14">
        <v>0.015484843</v>
      </c>
      <c r="I10" s="14" t="s">
        <v>147</v>
      </c>
      <c r="J10" s="14">
        <v>0</v>
      </c>
      <c r="K10" s="14">
        <v>0</v>
      </c>
      <c r="L10" s="14">
        <v>0</v>
      </c>
      <c r="M10" s="14">
        <v>0.016146416</v>
      </c>
      <c r="N10" s="14">
        <v>0.015490569</v>
      </c>
      <c r="O10" s="14">
        <v>0.363339795</v>
      </c>
      <c r="P10" s="14" t="s">
        <v>178</v>
      </c>
      <c r="Q10" s="14" t="s">
        <v>179</v>
      </c>
      <c r="R10" s="14" t="s">
        <v>180</v>
      </c>
      <c r="S10" s="14" t="s">
        <v>181</v>
      </c>
      <c r="T10" s="14" t="s">
        <v>182</v>
      </c>
      <c r="U10" s="14" t="s">
        <v>183</v>
      </c>
    </row>
    <row r="11" spans="1:21">
      <c r="A11" s="14" t="s">
        <v>184</v>
      </c>
      <c r="B11" s="14">
        <v>128.4963506</v>
      </c>
      <c r="C11" s="14">
        <v>204.9875739</v>
      </c>
      <c r="D11" s="14">
        <v>52.00512725</v>
      </c>
      <c r="E11" s="14">
        <v>0.253799785</v>
      </c>
      <c r="F11" s="14">
        <v>-1.978237251</v>
      </c>
      <c r="G11" s="51" t="s">
        <v>185</v>
      </c>
      <c r="H11" s="51" t="s">
        <v>186</v>
      </c>
      <c r="I11" s="14" t="s">
        <v>147</v>
      </c>
      <c r="J11" s="14">
        <v>1.232445262</v>
      </c>
      <c r="K11" s="14">
        <v>0.671933692</v>
      </c>
      <c r="L11" s="14">
        <v>0.791106151</v>
      </c>
      <c r="M11" s="14">
        <v>3.383102914</v>
      </c>
      <c r="N11" s="14">
        <v>2.866319756</v>
      </c>
      <c r="O11" s="14">
        <v>2.421580649</v>
      </c>
      <c r="P11" s="14" t="s">
        <v>187</v>
      </c>
      <c r="Q11" s="14" t="s">
        <v>188</v>
      </c>
      <c r="T11" s="14" t="s">
        <v>189</v>
      </c>
      <c r="U11" s="14" t="s">
        <v>190</v>
      </c>
    </row>
    <row r="12" spans="1:15">
      <c r="A12" s="14" t="s">
        <v>191</v>
      </c>
      <c r="B12" s="14">
        <v>2865.016224</v>
      </c>
      <c r="C12" s="14">
        <v>3889.023098</v>
      </c>
      <c r="D12" s="14">
        <v>1841.00935</v>
      </c>
      <c r="E12" s="14">
        <v>0.473399778</v>
      </c>
      <c r="F12" s="14">
        <v>-1.078869064</v>
      </c>
      <c r="G12" s="14">
        <v>0.001708884</v>
      </c>
      <c r="H12" s="14">
        <v>0.005852789</v>
      </c>
      <c r="I12" s="14" t="s">
        <v>147</v>
      </c>
      <c r="J12" s="14">
        <v>34.86396404</v>
      </c>
      <c r="K12" s="14">
        <v>45.71494171</v>
      </c>
      <c r="L12" s="14">
        <v>32.20337199</v>
      </c>
      <c r="M12" s="14">
        <v>75.32752577</v>
      </c>
      <c r="N12" s="14">
        <v>77.82176459</v>
      </c>
      <c r="O12" s="14">
        <v>40.03768619</v>
      </c>
    </row>
    <row r="13" spans="1:21">
      <c r="A13" s="14" t="s">
        <v>192</v>
      </c>
      <c r="B13" s="14">
        <v>10.5040153</v>
      </c>
      <c r="C13" s="14">
        <v>0</v>
      </c>
      <c r="D13" s="14">
        <v>21.0080306</v>
      </c>
      <c r="E13" s="14">
        <v>113.358365</v>
      </c>
      <c r="F13" s="14">
        <v>6.824747045</v>
      </c>
      <c r="G13" s="14">
        <v>0.000139062</v>
      </c>
      <c r="H13" s="14">
        <v>0.000636627</v>
      </c>
      <c r="I13" s="14" t="s">
        <v>164</v>
      </c>
      <c r="J13" s="14">
        <v>0.456725111</v>
      </c>
      <c r="K13" s="14">
        <v>0.059317092</v>
      </c>
      <c r="L13" s="14">
        <v>0.42557179</v>
      </c>
      <c r="M13" s="14">
        <v>0</v>
      </c>
      <c r="N13" s="14">
        <v>0</v>
      </c>
      <c r="O13" s="14">
        <v>0</v>
      </c>
      <c r="P13" s="14" t="s">
        <v>193</v>
      </c>
      <c r="Q13" s="14" t="s">
        <v>194</v>
      </c>
      <c r="T13" s="14" t="s">
        <v>195</v>
      </c>
      <c r="U13" s="14" t="s">
        <v>196</v>
      </c>
    </row>
    <row r="14" spans="1:15">
      <c r="A14" s="14" t="s">
        <v>197</v>
      </c>
      <c r="B14" s="14">
        <v>82.36405842</v>
      </c>
      <c r="C14" s="14">
        <v>52.22272179</v>
      </c>
      <c r="D14" s="14">
        <v>112.505395</v>
      </c>
      <c r="E14" s="14">
        <v>2.155204296</v>
      </c>
      <c r="F14" s="14">
        <v>1.107824632</v>
      </c>
      <c r="G14" s="14">
        <v>0.001470513</v>
      </c>
      <c r="H14" s="14">
        <v>0.005137008</v>
      </c>
      <c r="I14" s="14" t="s">
        <v>164</v>
      </c>
      <c r="J14" s="14">
        <v>2.932756479</v>
      </c>
      <c r="K14" s="14">
        <v>3.250414445</v>
      </c>
      <c r="L14" s="14">
        <v>5.07649964</v>
      </c>
      <c r="M14" s="14">
        <v>1.212334705</v>
      </c>
      <c r="N14" s="14">
        <v>1.568820719</v>
      </c>
      <c r="O14" s="14">
        <v>1.517140407</v>
      </c>
    </row>
    <row r="15" spans="1:21">
      <c r="A15" s="14" t="s">
        <v>198</v>
      </c>
      <c r="B15" s="14">
        <v>178.9573365</v>
      </c>
      <c r="C15" s="14">
        <v>6.728886498</v>
      </c>
      <c r="D15" s="14">
        <v>351.1857865</v>
      </c>
      <c r="E15" s="14">
        <v>52.28286805</v>
      </c>
      <c r="F15" s="14">
        <v>5.708266379</v>
      </c>
      <c r="G15" s="51" t="s">
        <v>199</v>
      </c>
      <c r="H15" s="51" t="s">
        <v>200</v>
      </c>
      <c r="I15" s="14" t="s">
        <v>164</v>
      </c>
      <c r="J15" s="14">
        <v>10.10766015</v>
      </c>
      <c r="K15" s="14">
        <v>8.576783279</v>
      </c>
      <c r="L15" s="14">
        <v>8.524874909</v>
      </c>
      <c r="M15" s="14">
        <v>0.065681472</v>
      </c>
      <c r="N15" s="14">
        <v>0.273058823</v>
      </c>
      <c r="O15" s="14">
        <v>0.085682201</v>
      </c>
      <c r="P15" s="14" t="s">
        <v>201</v>
      </c>
      <c r="Q15" s="14" t="s">
        <v>202</v>
      </c>
      <c r="T15" s="14" t="s">
        <v>203</v>
      </c>
      <c r="U15" s="14" t="s">
        <v>204</v>
      </c>
    </row>
    <row r="16" spans="1:21">
      <c r="A16" s="14" t="s">
        <v>205</v>
      </c>
      <c r="B16" s="14">
        <v>153.2120138</v>
      </c>
      <c r="C16" s="14">
        <v>71.54970672</v>
      </c>
      <c r="D16" s="14">
        <v>234.874321</v>
      </c>
      <c r="E16" s="14">
        <v>3.276259979</v>
      </c>
      <c r="F16" s="14">
        <v>1.712049843</v>
      </c>
      <c r="G16" s="51" t="s">
        <v>206</v>
      </c>
      <c r="H16" s="14">
        <v>0.000267688</v>
      </c>
      <c r="I16" s="14" t="s">
        <v>164</v>
      </c>
      <c r="J16" s="14">
        <v>3.574800261</v>
      </c>
      <c r="K16" s="14">
        <v>2.822396762</v>
      </c>
      <c r="L16" s="14">
        <v>5.305092316</v>
      </c>
      <c r="M16" s="14">
        <v>0.575237553</v>
      </c>
      <c r="N16" s="14">
        <v>0.901839839</v>
      </c>
      <c r="O16" s="14">
        <v>1.509958677</v>
      </c>
      <c r="P16" s="14" t="s">
        <v>207</v>
      </c>
      <c r="Q16" s="14" t="s">
        <v>208</v>
      </c>
      <c r="T16" s="14" t="s">
        <v>209</v>
      </c>
      <c r="U16" s="14" t="s">
        <v>210</v>
      </c>
    </row>
    <row r="17" spans="1:21">
      <c r="A17" s="14" t="s">
        <v>211</v>
      </c>
      <c r="B17" s="14">
        <v>358.6148823</v>
      </c>
      <c r="C17" s="14">
        <v>661.6969132</v>
      </c>
      <c r="D17" s="14">
        <v>55.53285133</v>
      </c>
      <c r="E17" s="14">
        <v>0.083974921</v>
      </c>
      <c r="F17" s="14">
        <v>-3.573897654</v>
      </c>
      <c r="G17" s="51" t="s">
        <v>212</v>
      </c>
      <c r="H17" s="51" t="s">
        <v>213</v>
      </c>
      <c r="I17" s="14" t="s">
        <v>147</v>
      </c>
      <c r="J17" s="14">
        <v>1.270282651</v>
      </c>
      <c r="K17" s="14">
        <v>1.252484014</v>
      </c>
      <c r="L17" s="14">
        <v>1.847116923</v>
      </c>
      <c r="M17" s="14">
        <v>19.07527572</v>
      </c>
      <c r="N17" s="14">
        <v>17.78975187</v>
      </c>
      <c r="O17" s="14">
        <v>4.709134669</v>
      </c>
      <c r="P17" s="14" t="s">
        <v>214</v>
      </c>
      <c r="Q17" s="14" t="s">
        <v>215</v>
      </c>
      <c r="T17" s="14" t="s">
        <v>216</v>
      </c>
      <c r="U17" s="14" t="s">
        <v>217</v>
      </c>
    </row>
    <row r="18" spans="1:21">
      <c r="A18" s="14" t="s">
        <v>218</v>
      </c>
      <c r="B18" s="14">
        <v>118.8826822</v>
      </c>
      <c r="C18" s="14">
        <v>7.272113303</v>
      </c>
      <c r="D18" s="14">
        <v>230.493251</v>
      </c>
      <c r="E18" s="14">
        <v>32.09433082</v>
      </c>
      <c r="F18" s="14">
        <v>5.004246576</v>
      </c>
      <c r="G18" s="51" t="s">
        <v>219</v>
      </c>
      <c r="H18" s="51" t="s">
        <v>220</v>
      </c>
      <c r="I18" s="14" t="s">
        <v>164</v>
      </c>
      <c r="J18" s="14">
        <v>5.393069387</v>
      </c>
      <c r="K18" s="14">
        <v>5.293921926</v>
      </c>
      <c r="L18" s="14">
        <v>7.994722768</v>
      </c>
      <c r="M18" s="14">
        <v>0.182743825</v>
      </c>
      <c r="N18" s="14">
        <v>0.262981508</v>
      </c>
      <c r="O18" s="14">
        <v>0.022349187</v>
      </c>
      <c r="P18" s="14" t="s">
        <v>221</v>
      </c>
      <c r="Q18" s="14" t="s">
        <v>222</v>
      </c>
      <c r="T18" s="14" t="s">
        <v>223</v>
      </c>
      <c r="U18" s="14" t="s">
        <v>224</v>
      </c>
    </row>
    <row r="19" spans="1:21">
      <c r="A19" s="14" t="s">
        <v>225</v>
      </c>
      <c r="B19" s="14">
        <v>4.685648828</v>
      </c>
      <c r="C19" s="14">
        <v>0</v>
      </c>
      <c r="D19" s="14">
        <v>9.371297657</v>
      </c>
      <c r="E19" s="14">
        <v>50.58489017</v>
      </c>
      <c r="F19" s="14">
        <v>5.660634608</v>
      </c>
      <c r="G19" s="14">
        <v>0.002281835</v>
      </c>
      <c r="H19" s="14">
        <v>0.007519479</v>
      </c>
      <c r="I19" s="14" t="s">
        <v>164</v>
      </c>
      <c r="J19" s="14">
        <v>0.187249332</v>
      </c>
      <c r="K19" s="14">
        <v>0.068535289</v>
      </c>
      <c r="L19" s="14">
        <v>0.229463708</v>
      </c>
      <c r="M19" s="14">
        <v>0</v>
      </c>
      <c r="N19" s="14">
        <v>0</v>
      </c>
      <c r="O19" s="14">
        <v>0</v>
      </c>
      <c r="P19" s="14" t="s">
        <v>226</v>
      </c>
      <c r="Q19" s="14" t="s">
        <v>227</v>
      </c>
      <c r="T19" s="14" t="s">
        <v>228</v>
      </c>
      <c r="U19" s="14" t="s">
        <v>229</v>
      </c>
    </row>
    <row r="20" spans="1:21">
      <c r="A20" s="14" t="s">
        <v>230</v>
      </c>
      <c r="B20" s="14">
        <v>2206.321427</v>
      </c>
      <c r="C20" s="14">
        <v>3411.560214</v>
      </c>
      <c r="D20" s="14">
        <v>1001.082639</v>
      </c>
      <c r="E20" s="14">
        <v>0.293419012</v>
      </c>
      <c r="F20" s="14">
        <v>-1.76896574</v>
      </c>
      <c r="G20" s="51" t="s">
        <v>231</v>
      </c>
      <c r="H20" s="51" t="s">
        <v>232</v>
      </c>
      <c r="I20" s="14" t="s">
        <v>147</v>
      </c>
      <c r="J20" s="14">
        <v>14.595586</v>
      </c>
      <c r="K20" s="14">
        <v>22.50720187</v>
      </c>
      <c r="L20" s="14">
        <v>19.62064112</v>
      </c>
      <c r="M20" s="14">
        <v>47.88631661</v>
      </c>
      <c r="N20" s="14">
        <v>42.46991537</v>
      </c>
      <c r="O20" s="14">
        <v>70.53521104</v>
      </c>
      <c r="P20" s="14" t="s">
        <v>233</v>
      </c>
      <c r="Q20" s="14" t="s">
        <v>234</v>
      </c>
      <c r="T20" s="14" t="s">
        <v>235</v>
      </c>
      <c r="U20" s="14" t="s">
        <v>236</v>
      </c>
    </row>
    <row r="21" spans="1:21">
      <c r="A21" s="14" t="s">
        <v>237</v>
      </c>
      <c r="B21" s="14">
        <v>828.5365893</v>
      </c>
      <c r="C21" s="14">
        <v>1114.246559</v>
      </c>
      <c r="D21" s="14">
        <v>542.8266198</v>
      </c>
      <c r="E21" s="14">
        <v>0.487262718</v>
      </c>
      <c r="F21" s="14">
        <v>-1.037228253</v>
      </c>
      <c r="G21" s="51" t="s">
        <v>238</v>
      </c>
      <c r="H21" s="51" t="s">
        <v>239</v>
      </c>
      <c r="I21" s="14" t="s">
        <v>147</v>
      </c>
      <c r="J21" s="14">
        <v>5.816287887</v>
      </c>
      <c r="K21" s="14">
        <v>5.887593489</v>
      </c>
      <c r="L21" s="14">
        <v>6.4503362</v>
      </c>
      <c r="M21" s="14">
        <v>9.169013144</v>
      </c>
      <c r="N21" s="14">
        <v>11.24259037</v>
      </c>
      <c r="O21" s="14">
        <v>10.22727632</v>
      </c>
      <c r="P21" s="14" t="s">
        <v>240</v>
      </c>
      <c r="Q21" s="14" t="s">
        <v>241</v>
      </c>
      <c r="R21" s="14" t="s">
        <v>242</v>
      </c>
      <c r="S21" s="14" t="s">
        <v>243</v>
      </c>
      <c r="T21" s="14" t="s">
        <v>244</v>
      </c>
      <c r="U21" s="14" t="s">
        <v>245</v>
      </c>
    </row>
    <row r="22" spans="1:21">
      <c r="A22" s="14" t="s">
        <v>246</v>
      </c>
      <c r="B22" s="14">
        <v>95705.43217</v>
      </c>
      <c r="C22" s="14">
        <v>142792.7921</v>
      </c>
      <c r="D22" s="14">
        <v>48618.07221</v>
      </c>
      <c r="E22" s="14">
        <v>0.340480038</v>
      </c>
      <c r="F22" s="14">
        <v>-1.554357878</v>
      </c>
      <c r="G22" s="51" t="s">
        <v>247</v>
      </c>
      <c r="H22" s="51" t="s">
        <v>248</v>
      </c>
      <c r="I22" s="14" t="s">
        <v>147</v>
      </c>
      <c r="J22" s="14">
        <v>386.9968993</v>
      </c>
      <c r="K22" s="14">
        <v>386.8638616</v>
      </c>
      <c r="L22" s="14">
        <v>305.7806025</v>
      </c>
      <c r="M22" s="14">
        <v>974.0106591</v>
      </c>
      <c r="N22" s="14">
        <v>891.7538521</v>
      </c>
      <c r="O22" s="14">
        <v>725.8443541</v>
      </c>
      <c r="P22" s="14" t="s">
        <v>249</v>
      </c>
      <c r="Q22" s="14" t="s">
        <v>250</v>
      </c>
      <c r="R22" s="14" t="s">
        <v>251</v>
      </c>
      <c r="S22" s="14" t="s">
        <v>252</v>
      </c>
      <c r="T22" s="14" t="s">
        <v>253</v>
      </c>
      <c r="U22" s="14" t="s">
        <v>254</v>
      </c>
    </row>
    <row r="23" spans="1:21">
      <c r="A23" s="14" t="s">
        <v>255</v>
      </c>
      <c r="B23" s="14">
        <v>366.1907907</v>
      </c>
      <c r="C23" s="14">
        <v>219.9851454</v>
      </c>
      <c r="D23" s="14">
        <v>512.396436</v>
      </c>
      <c r="E23" s="14">
        <v>2.327036741</v>
      </c>
      <c r="F23" s="14">
        <v>1.218493989</v>
      </c>
      <c r="G23" s="14">
        <v>0.001766777</v>
      </c>
      <c r="H23" s="14">
        <v>0.006019817</v>
      </c>
      <c r="I23" s="14" t="s">
        <v>164</v>
      </c>
      <c r="J23" s="14">
        <v>5.459992105</v>
      </c>
      <c r="K23" s="14">
        <v>3.860806167</v>
      </c>
      <c r="L23" s="14">
        <v>4.930235095</v>
      </c>
      <c r="M23" s="14">
        <v>1.154145254</v>
      </c>
      <c r="N23" s="14">
        <v>1.137395021</v>
      </c>
      <c r="O23" s="14">
        <v>2.872921377</v>
      </c>
      <c r="P23" s="14" t="s">
        <v>256</v>
      </c>
      <c r="Q23" s="14" t="s">
        <v>257</v>
      </c>
      <c r="T23" s="14" t="s">
        <v>258</v>
      </c>
      <c r="U23" s="14" t="s">
        <v>259</v>
      </c>
    </row>
    <row r="24" spans="1:15">
      <c r="A24" s="14" t="s">
        <v>260</v>
      </c>
      <c r="B24" s="14">
        <v>716.3728413</v>
      </c>
      <c r="C24" s="14">
        <v>999.5585324</v>
      </c>
      <c r="D24" s="14">
        <v>433.1871501</v>
      </c>
      <c r="E24" s="14">
        <v>0.43347789</v>
      </c>
      <c r="F24" s="14">
        <v>-1.205969685</v>
      </c>
      <c r="G24" s="51" t="s">
        <v>261</v>
      </c>
      <c r="H24" s="51" t="s">
        <v>262</v>
      </c>
      <c r="I24" s="14" t="s">
        <v>147</v>
      </c>
      <c r="J24" s="14">
        <v>10.1449013</v>
      </c>
      <c r="K24" s="14">
        <v>11.70546026</v>
      </c>
      <c r="L24" s="14">
        <v>10.60186723</v>
      </c>
      <c r="M24" s="14">
        <v>22.71599568</v>
      </c>
      <c r="N24" s="14">
        <v>22.58541542</v>
      </c>
      <c r="O24" s="14">
        <v>15.70038364</v>
      </c>
    </row>
    <row r="25" spans="1:21">
      <c r="A25" s="14" t="s">
        <v>263</v>
      </c>
      <c r="B25" s="14">
        <v>819.5522266</v>
      </c>
      <c r="C25" s="14">
        <v>352.4833345</v>
      </c>
      <c r="D25" s="14">
        <v>1286.621119</v>
      </c>
      <c r="E25" s="14">
        <v>3.651192568</v>
      </c>
      <c r="F25" s="14">
        <v>1.86836776</v>
      </c>
      <c r="G25" s="51" t="s">
        <v>264</v>
      </c>
      <c r="H25" s="51" t="s">
        <v>265</v>
      </c>
      <c r="I25" s="14" t="s">
        <v>164</v>
      </c>
      <c r="J25" s="14">
        <v>14.8423903</v>
      </c>
      <c r="K25" s="14">
        <v>18.49309457</v>
      </c>
      <c r="L25" s="14">
        <v>18.60137466</v>
      </c>
      <c r="M25" s="14">
        <v>3.568051224</v>
      </c>
      <c r="N25" s="14">
        <v>4.28710431</v>
      </c>
      <c r="O25" s="14">
        <v>3.83666773</v>
      </c>
      <c r="P25" s="14" t="s">
        <v>266</v>
      </c>
      <c r="Q25" s="14" t="s">
        <v>267</v>
      </c>
      <c r="T25" s="14" t="s">
        <v>268</v>
      </c>
      <c r="U25" s="14" t="s">
        <v>269</v>
      </c>
    </row>
    <row r="26" spans="1:21">
      <c r="A26" s="14" t="s">
        <v>270</v>
      </c>
      <c r="B26" s="14">
        <v>165.5777198</v>
      </c>
      <c r="C26" s="14">
        <v>33.95192319</v>
      </c>
      <c r="D26" s="14">
        <v>297.2035165</v>
      </c>
      <c r="E26" s="14">
        <v>8.771921309</v>
      </c>
      <c r="F26" s="14">
        <v>3.13289287</v>
      </c>
      <c r="G26" s="51" t="s">
        <v>271</v>
      </c>
      <c r="H26" s="51" t="s">
        <v>272</v>
      </c>
      <c r="I26" s="14" t="s">
        <v>164</v>
      </c>
      <c r="J26" s="14">
        <v>58.39504162</v>
      </c>
      <c r="K26" s="14">
        <v>113.2357999</v>
      </c>
      <c r="L26" s="14">
        <v>125.7929415</v>
      </c>
      <c r="M26" s="14">
        <v>13.54914933</v>
      </c>
      <c r="N26" s="14">
        <v>4.603741752</v>
      </c>
      <c r="O26" s="14">
        <v>9.66602335</v>
      </c>
      <c r="P26" s="14" t="s">
        <v>273</v>
      </c>
      <c r="Q26" s="14" t="s">
        <v>274</v>
      </c>
      <c r="R26" s="14" t="s">
        <v>275</v>
      </c>
      <c r="S26" s="14" t="s">
        <v>276</v>
      </c>
      <c r="T26" s="14" t="s">
        <v>277</v>
      </c>
      <c r="U26" s="14" t="s">
        <v>278</v>
      </c>
    </row>
    <row r="27" spans="1:21">
      <c r="A27" s="14" t="s">
        <v>279</v>
      </c>
      <c r="B27" s="14">
        <v>4751.562148</v>
      </c>
      <c r="C27" s="14">
        <v>7054.271693</v>
      </c>
      <c r="D27" s="14">
        <v>2448.852602</v>
      </c>
      <c r="E27" s="14">
        <v>0.347149645</v>
      </c>
      <c r="F27" s="14">
        <v>-1.526370398</v>
      </c>
      <c r="G27" s="14">
        <v>0.000213089</v>
      </c>
      <c r="H27" s="14">
        <v>0.000927378</v>
      </c>
      <c r="I27" s="14" t="s">
        <v>147</v>
      </c>
      <c r="J27" s="14">
        <v>29.83512228</v>
      </c>
      <c r="K27" s="14">
        <v>42.30546064</v>
      </c>
      <c r="L27" s="14">
        <v>29.92091349</v>
      </c>
      <c r="M27" s="14">
        <v>97.33187397</v>
      </c>
      <c r="N27" s="14">
        <v>99.91656112</v>
      </c>
      <c r="O27" s="14">
        <v>40.02916085</v>
      </c>
      <c r="P27" s="14" t="s">
        <v>280</v>
      </c>
      <c r="Q27" s="14" t="s">
        <v>281</v>
      </c>
      <c r="T27" s="14" t="s">
        <v>282</v>
      </c>
      <c r="U27" s="14" t="s">
        <v>283</v>
      </c>
    </row>
    <row r="28" spans="1:15">
      <c r="A28" s="14" t="s">
        <v>284</v>
      </c>
      <c r="B28" s="14">
        <v>20.69088843</v>
      </c>
      <c r="C28" s="14">
        <v>32.55133647</v>
      </c>
      <c r="D28" s="14">
        <v>8.830440397</v>
      </c>
      <c r="E28" s="14">
        <v>0.271616858</v>
      </c>
      <c r="F28" s="14">
        <v>-1.880355073</v>
      </c>
      <c r="G28" s="14">
        <v>0.000628077</v>
      </c>
      <c r="H28" s="14">
        <v>0.002431633</v>
      </c>
      <c r="I28" s="14" t="s">
        <v>147</v>
      </c>
      <c r="J28" s="14">
        <v>0.325555373</v>
      </c>
      <c r="K28" s="14">
        <v>0.409601509</v>
      </c>
      <c r="L28" s="14">
        <v>0.352643408</v>
      </c>
      <c r="M28" s="14">
        <v>1.148991739</v>
      </c>
      <c r="N28" s="14">
        <v>1.269339524</v>
      </c>
      <c r="O28" s="14">
        <v>0.851632013</v>
      </c>
    </row>
    <row r="29" spans="1:21">
      <c r="A29" s="14" t="s">
        <v>285</v>
      </c>
      <c r="B29" s="14">
        <v>58.33820307</v>
      </c>
      <c r="C29" s="14">
        <v>93.7236151</v>
      </c>
      <c r="D29" s="14">
        <v>22.95279103</v>
      </c>
      <c r="E29" s="14">
        <v>0.244938874</v>
      </c>
      <c r="F29" s="14">
        <v>-2.029506332</v>
      </c>
      <c r="G29" s="51" t="s">
        <v>286</v>
      </c>
      <c r="H29" s="14">
        <v>0.000160891</v>
      </c>
      <c r="I29" s="14" t="s">
        <v>147</v>
      </c>
      <c r="J29" s="14">
        <v>1.059361663</v>
      </c>
      <c r="K29" s="14">
        <v>1.066279157</v>
      </c>
      <c r="L29" s="14">
        <v>0.816004625</v>
      </c>
      <c r="M29" s="14">
        <v>3.444260056</v>
      </c>
      <c r="N29" s="14">
        <v>4.313057572</v>
      </c>
      <c r="O29" s="14">
        <v>1.986412138</v>
      </c>
      <c r="P29" s="14" t="s">
        <v>287</v>
      </c>
      <c r="Q29" s="14" t="s">
        <v>288</v>
      </c>
      <c r="T29" s="14" t="s">
        <v>289</v>
      </c>
      <c r="U29" s="14" t="s">
        <v>290</v>
      </c>
    </row>
    <row r="30" spans="1:21">
      <c r="A30" s="14" t="s">
        <v>291</v>
      </c>
      <c r="B30" s="14">
        <v>10.02906917</v>
      </c>
      <c r="C30" s="14">
        <v>17.77955594</v>
      </c>
      <c r="D30" s="14">
        <v>2.278582405</v>
      </c>
      <c r="E30" s="14">
        <v>0.128699484</v>
      </c>
      <c r="F30" s="14">
        <v>-2.957921821</v>
      </c>
      <c r="G30" s="14">
        <v>0.001352676</v>
      </c>
      <c r="H30" s="14">
        <v>0.004769443</v>
      </c>
      <c r="I30" s="14" t="s">
        <v>147</v>
      </c>
      <c r="J30" s="14">
        <v>0.011976189</v>
      </c>
      <c r="K30" s="14">
        <v>0.036163176</v>
      </c>
      <c r="L30" s="14">
        <v>0.0345938</v>
      </c>
      <c r="M30" s="14">
        <v>0.215182039</v>
      </c>
      <c r="N30" s="14">
        <v>0.196611067</v>
      </c>
      <c r="O30" s="14">
        <v>0.110277881</v>
      </c>
      <c r="P30" s="14" t="s">
        <v>292</v>
      </c>
      <c r="Q30" s="14" t="s">
        <v>293</v>
      </c>
      <c r="R30" s="14" t="s">
        <v>294</v>
      </c>
      <c r="S30" s="14" t="s">
        <v>295</v>
      </c>
      <c r="T30" s="14" t="s">
        <v>296</v>
      </c>
      <c r="U30" s="14" t="s">
        <v>297</v>
      </c>
    </row>
    <row r="31" spans="1:21">
      <c r="A31" s="14" t="s">
        <v>298</v>
      </c>
      <c r="B31" s="14">
        <v>20.65943478</v>
      </c>
      <c r="C31" s="14">
        <v>4.552454758</v>
      </c>
      <c r="D31" s="14">
        <v>36.7664148</v>
      </c>
      <c r="E31" s="14">
        <v>7.94696988</v>
      </c>
      <c r="F31" s="14">
        <v>2.990404876</v>
      </c>
      <c r="G31" s="51" t="s">
        <v>299</v>
      </c>
      <c r="H31" s="51" t="s">
        <v>300</v>
      </c>
      <c r="I31" s="14" t="s">
        <v>164</v>
      </c>
      <c r="J31" s="14">
        <v>0.49194499</v>
      </c>
      <c r="K31" s="14">
        <v>0.618946658</v>
      </c>
      <c r="L31" s="14">
        <v>0.407881602</v>
      </c>
      <c r="M31" s="14">
        <v>0.02338364</v>
      </c>
      <c r="N31" s="14">
        <v>0.044867654</v>
      </c>
      <c r="O31" s="14">
        <v>0.091512647</v>
      </c>
      <c r="P31" s="14" t="s">
        <v>301</v>
      </c>
      <c r="Q31" s="14" t="s">
        <v>302</v>
      </c>
      <c r="R31" s="14" t="s">
        <v>303</v>
      </c>
      <c r="S31" s="14" t="s">
        <v>304</v>
      </c>
      <c r="T31" s="14" t="s">
        <v>305</v>
      </c>
      <c r="U31" s="14" t="s">
        <v>306</v>
      </c>
    </row>
    <row r="32" spans="1:21">
      <c r="A32" s="14" t="s">
        <v>307</v>
      </c>
      <c r="B32" s="14">
        <v>747.2556547</v>
      </c>
      <c r="C32" s="14">
        <v>1099.086767</v>
      </c>
      <c r="D32" s="14">
        <v>395.4245425</v>
      </c>
      <c r="E32" s="14">
        <v>0.359828978</v>
      </c>
      <c r="F32" s="14">
        <v>-1.474616718</v>
      </c>
      <c r="G32" s="51" t="s">
        <v>308</v>
      </c>
      <c r="H32" s="51" t="s">
        <v>309</v>
      </c>
      <c r="I32" s="14" t="s">
        <v>147</v>
      </c>
      <c r="J32" s="14">
        <v>2.731456372</v>
      </c>
      <c r="K32" s="14">
        <v>3.15739052</v>
      </c>
      <c r="L32" s="14">
        <v>2.623132321</v>
      </c>
      <c r="M32" s="14">
        <v>7.662259565</v>
      </c>
      <c r="N32" s="14">
        <v>6.265014669</v>
      </c>
      <c r="O32" s="14">
        <v>5.388758398</v>
      </c>
      <c r="P32" s="14" t="s">
        <v>310</v>
      </c>
      <c r="Q32" s="14" t="s">
        <v>311</v>
      </c>
      <c r="T32" s="14" t="s">
        <v>312</v>
      </c>
      <c r="U32" s="14" t="s">
        <v>313</v>
      </c>
    </row>
    <row r="33" spans="1:21">
      <c r="A33" s="14" t="s">
        <v>314</v>
      </c>
      <c r="B33" s="14">
        <v>53.33955465</v>
      </c>
      <c r="C33" s="14">
        <v>86.55827809</v>
      </c>
      <c r="D33" s="14">
        <v>20.1208312</v>
      </c>
      <c r="E33" s="14">
        <v>0.232108178</v>
      </c>
      <c r="F33" s="14">
        <v>-2.107130741</v>
      </c>
      <c r="G33" s="14">
        <v>0.000140538</v>
      </c>
      <c r="H33" s="14">
        <v>0.000642226</v>
      </c>
      <c r="I33" s="14" t="s">
        <v>147</v>
      </c>
      <c r="J33" s="14">
        <v>0.385373676</v>
      </c>
      <c r="K33" s="14">
        <v>0.193945058</v>
      </c>
      <c r="L33" s="14">
        <v>0.109134361</v>
      </c>
      <c r="M33" s="14">
        <v>0.930984494</v>
      </c>
      <c r="N33" s="14">
        <v>0.735003735</v>
      </c>
      <c r="O33" s="14">
        <v>0.768537807</v>
      </c>
      <c r="P33" s="14" t="s">
        <v>315</v>
      </c>
      <c r="Q33" s="14" t="s">
        <v>316</v>
      </c>
      <c r="T33" s="14" t="s">
        <v>317</v>
      </c>
      <c r="U33" s="14" t="s">
        <v>318</v>
      </c>
    </row>
    <row r="34" spans="1:21">
      <c r="A34" s="14" t="s">
        <v>319</v>
      </c>
      <c r="B34" s="14">
        <v>19.21852578</v>
      </c>
      <c r="C34" s="14">
        <v>6.186424572</v>
      </c>
      <c r="D34" s="14">
        <v>32.25062699</v>
      </c>
      <c r="E34" s="14">
        <v>5.238049882</v>
      </c>
      <c r="F34" s="14">
        <v>2.389029799</v>
      </c>
      <c r="G34" s="14">
        <v>0.018326852</v>
      </c>
      <c r="H34" s="14">
        <v>0.045165496</v>
      </c>
      <c r="I34" s="14" t="s">
        <v>164</v>
      </c>
      <c r="J34" s="14">
        <v>1.336800424</v>
      </c>
      <c r="K34" s="14">
        <v>0.336382389</v>
      </c>
      <c r="L34" s="14">
        <v>0.841589928</v>
      </c>
      <c r="M34" s="14">
        <v>0.109976861</v>
      </c>
      <c r="N34" s="14">
        <v>0.253223381</v>
      </c>
      <c r="O34" s="14">
        <v>0.021519904</v>
      </c>
      <c r="P34" s="14" t="s">
        <v>320</v>
      </c>
      <c r="Q34" s="14" t="s">
        <v>321</v>
      </c>
      <c r="T34" s="14" t="s">
        <v>322</v>
      </c>
      <c r="U34" s="14" t="s">
        <v>323</v>
      </c>
    </row>
    <row r="35" spans="1:17">
      <c r="A35" s="14" t="s">
        <v>324</v>
      </c>
      <c r="B35" s="14">
        <v>793.5908179</v>
      </c>
      <c r="C35" s="14">
        <v>1086.917925</v>
      </c>
      <c r="D35" s="14">
        <v>500.2637106</v>
      </c>
      <c r="E35" s="14">
        <v>0.460343554</v>
      </c>
      <c r="F35" s="14">
        <v>-1.119217148</v>
      </c>
      <c r="G35" s="51" t="s">
        <v>325</v>
      </c>
      <c r="H35" s="51" t="s">
        <v>326</v>
      </c>
      <c r="I35" s="14" t="s">
        <v>147</v>
      </c>
      <c r="J35" s="14">
        <v>6.608041808</v>
      </c>
      <c r="K35" s="14">
        <v>7.528874455</v>
      </c>
      <c r="L35" s="14">
        <v>6.493735919</v>
      </c>
      <c r="M35" s="14">
        <v>13.44090269</v>
      </c>
      <c r="N35" s="14">
        <v>12.54825185</v>
      </c>
      <c r="O35" s="14">
        <v>10.6753957</v>
      </c>
      <c r="P35" s="14" t="s">
        <v>327</v>
      </c>
      <c r="Q35" s="14" t="s">
        <v>328</v>
      </c>
    </row>
    <row r="36" spans="1:21">
      <c r="A36" s="14" t="s">
        <v>329</v>
      </c>
      <c r="B36" s="14">
        <v>7124.851792</v>
      </c>
      <c r="C36" s="14">
        <v>9793.483234</v>
      </c>
      <c r="D36" s="14">
        <v>4456.220349</v>
      </c>
      <c r="E36" s="14">
        <v>0.455027891</v>
      </c>
      <c r="F36" s="14">
        <v>-1.135973117</v>
      </c>
      <c r="G36" s="51" t="s">
        <v>330</v>
      </c>
      <c r="H36" s="51" t="s">
        <v>331</v>
      </c>
      <c r="I36" s="14" t="s">
        <v>147</v>
      </c>
      <c r="J36" s="14">
        <v>17.10593882</v>
      </c>
      <c r="K36" s="14">
        <v>18.40388552</v>
      </c>
      <c r="L36" s="14">
        <v>15.26316694</v>
      </c>
      <c r="M36" s="14">
        <v>35.38932873</v>
      </c>
      <c r="N36" s="14">
        <v>32.78973853</v>
      </c>
      <c r="O36" s="14">
        <v>22.65631821</v>
      </c>
      <c r="P36" s="14" t="s">
        <v>332</v>
      </c>
      <c r="Q36" s="14" t="s">
        <v>333</v>
      </c>
      <c r="T36" s="14" t="s">
        <v>334</v>
      </c>
      <c r="U36" s="14" t="s">
        <v>335</v>
      </c>
    </row>
    <row r="37" spans="1:15">
      <c r="A37" s="14" t="s">
        <v>336</v>
      </c>
      <c r="B37" s="14">
        <v>11.21755591</v>
      </c>
      <c r="C37" s="14">
        <v>1.447584975</v>
      </c>
      <c r="D37" s="14">
        <v>20.98752684</v>
      </c>
      <c r="E37" s="14">
        <v>14.97303396</v>
      </c>
      <c r="F37" s="14">
        <v>3.904294676</v>
      </c>
      <c r="G37" s="14">
        <v>0.004230403</v>
      </c>
      <c r="H37" s="14">
        <v>0.01279609</v>
      </c>
      <c r="I37" s="14" t="s">
        <v>164</v>
      </c>
      <c r="J37" s="14">
        <v>1.542560714</v>
      </c>
      <c r="K37" s="14">
        <v>0.963703511</v>
      </c>
      <c r="L37" s="14">
        <v>0.870665971</v>
      </c>
      <c r="M37" s="14">
        <v>0.182042313</v>
      </c>
      <c r="N37" s="14">
        <v>0</v>
      </c>
      <c r="O37" s="14">
        <v>0</v>
      </c>
    </row>
    <row r="38" spans="1:15">
      <c r="A38" s="14" t="s">
        <v>337</v>
      </c>
      <c r="B38" s="14">
        <v>2599.811441</v>
      </c>
      <c r="C38" s="14">
        <v>3992.245824</v>
      </c>
      <c r="D38" s="14">
        <v>1207.377059</v>
      </c>
      <c r="E38" s="14">
        <v>0.302442071</v>
      </c>
      <c r="F38" s="14">
        <v>-1.725269259</v>
      </c>
      <c r="G38" s="14">
        <v>0.00019231</v>
      </c>
      <c r="H38" s="14">
        <v>0.000847491</v>
      </c>
      <c r="I38" s="14" t="s">
        <v>147</v>
      </c>
      <c r="J38" s="14">
        <v>12.23611655</v>
      </c>
      <c r="K38" s="14">
        <v>15.82161253</v>
      </c>
      <c r="L38" s="14">
        <v>14.10231214</v>
      </c>
      <c r="M38" s="14">
        <v>47.22467758</v>
      </c>
      <c r="N38" s="14">
        <v>49.27291789</v>
      </c>
      <c r="O38" s="14">
        <v>15.48494527</v>
      </c>
    </row>
    <row r="39" spans="1:21">
      <c r="A39" s="14" t="s">
        <v>338</v>
      </c>
      <c r="B39" s="14">
        <v>70.04342705</v>
      </c>
      <c r="C39" s="14">
        <v>108.7657451</v>
      </c>
      <c r="D39" s="14">
        <v>31.32110896</v>
      </c>
      <c r="E39" s="14">
        <v>0.287714112</v>
      </c>
      <c r="F39" s="14">
        <v>-1.797292111</v>
      </c>
      <c r="G39" s="14">
        <v>0.000474516</v>
      </c>
      <c r="H39" s="14">
        <v>0.001897298</v>
      </c>
      <c r="I39" s="14" t="s">
        <v>147</v>
      </c>
      <c r="J39" s="14">
        <v>0.433164484</v>
      </c>
      <c r="K39" s="14">
        <v>0.18408593</v>
      </c>
      <c r="L39" s="14">
        <v>0.296584661</v>
      </c>
      <c r="M39" s="14">
        <v>0.494150983</v>
      </c>
      <c r="N39" s="14">
        <v>0.869145205</v>
      </c>
      <c r="O39" s="14">
        <v>1.297308587</v>
      </c>
      <c r="P39" s="14" t="s">
        <v>339</v>
      </c>
      <c r="Q39" s="14" t="s">
        <v>340</v>
      </c>
      <c r="R39" s="14" t="s">
        <v>341</v>
      </c>
      <c r="S39" s="14" t="s">
        <v>342</v>
      </c>
      <c r="T39" s="14" t="s">
        <v>343</v>
      </c>
      <c r="U39" s="14" t="s">
        <v>344</v>
      </c>
    </row>
    <row r="40" spans="1:21">
      <c r="A40" s="14" t="s">
        <v>345</v>
      </c>
      <c r="B40" s="14">
        <v>14.20961379</v>
      </c>
      <c r="C40" s="14">
        <v>0</v>
      </c>
      <c r="D40" s="14">
        <v>28.41922758</v>
      </c>
      <c r="E40" s="14">
        <v>153.2897412</v>
      </c>
      <c r="F40" s="14">
        <v>7.260117339</v>
      </c>
      <c r="G40" s="51" t="s">
        <v>346</v>
      </c>
      <c r="H40" s="51" t="s">
        <v>347</v>
      </c>
      <c r="I40" s="14" t="s">
        <v>164</v>
      </c>
      <c r="J40" s="14">
        <v>1.496236445</v>
      </c>
      <c r="K40" s="14">
        <v>2.160792184</v>
      </c>
      <c r="L40" s="14">
        <v>1.941746216</v>
      </c>
      <c r="M40" s="14">
        <v>0</v>
      </c>
      <c r="N40" s="14">
        <v>0</v>
      </c>
      <c r="O40" s="14">
        <v>0</v>
      </c>
      <c r="P40" s="14" t="s">
        <v>348</v>
      </c>
      <c r="Q40" s="14" t="s">
        <v>349</v>
      </c>
      <c r="T40" s="14" t="s">
        <v>350</v>
      </c>
      <c r="U40" s="14" t="s">
        <v>351</v>
      </c>
    </row>
    <row r="41" spans="1:21">
      <c r="A41" s="14" t="s">
        <v>352</v>
      </c>
      <c r="B41" s="14">
        <v>1805.828796</v>
      </c>
      <c r="C41" s="14">
        <v>1009.525963</v>
      </c>
      <c r="D41" s="14">
        <v>2602.13163</v>
      </c>
      <c r="E41" s="14">
        <v>2.578470306</v>
      </c>
      <c r="F41" s="14">
        <v>1.366515431</v>
      </c>
      <c r="G41" s="51" t="s">
        <v>353</v>
      </c>
      <c r="H41" s="51" t="s">
        <v>354</v>
      </c>
      <c r="I41" s="14" t="s">
        <v>164</v>
      </c>
      <c r="J41" s="14">
        <v>16.16585898</v>
      </c>
      <c r="K41" s="14">
        <v>16.43019647</v>
      </c>
      <c r="L41" s="14">
        <v>17.14490373</v>
      </c>
      <c r="M41" s="14">
        <v>5.495858273</v>
      </c>
      <c r="N41" s="14">
        <v>5.847536333</v>
      </c>
      <c r="O41" s="14">
        <v>4.415735257</v>
      </c>
      <c r="P41" s="14" t="s">
        <v>355</v>
      </c>
      <c r="Q41" s="14" t="s">
        <v>356</v>
      </c>
      <c r="T41" s="14" t="s">
        <v>357</v>
      </c>
      <c r="U41" s="14" t="s">
        <v>358</v>
      </c>
    </row>
    <row r="42" spans="1:21">
      <c r="A42" s="14" t="s">
        <v>359</v>
      </c>
      <c r="B42" s="14">
        <v>5800.913522</v>
      </c>
      <c r="C42" s="14">
        <v>3317.660342</v>
      </c>
      <c r="D42" s="14">
        <v>8284.166701</v>
      </c>
      <c r="E42" s="14">
        <v>2.496842642</v>
      </c>
      <c r="F42" s="14">
        <v>1.320104902</v>
      </c>
      <c r="G42" s="14">
        <v>0.009141743</v>
      </c>
      <c r="H42" s="14">
        <v>0.02501027</v>
      </c>
      <c r="I42" s="14" t="s">
        <v>164</v>
      </c>
      <c r="J42" s="14">
        <v>99.44933118</v>
      </c>
      <c r="K42" s="14">
        <v>117.2097337</v>
      </c>
      <c r="L42" s="14">
        <v>129.5536441</v>
      </c>
      <c r="M42" s="14">
        <v>19.87714134</v>
      </c>
      <c r="N42" s="14">
        <v>19.74879912</v>
      </c>
      <c r="O42" s="14">
        <v>79.0247903</v>
      </c>
      <c r="P42" s="14" t="s">
        <v>360</v>
      </c>
      <c r="Q42" s="14" t="s">
        <v>361</v>
      </c>
      <c r="R42" s="14" t="s">
        <v>362</v>
      </c>
      <c r="S42" s="14" t="s">
        <v>363</v>
      </c>
      <c r="T42" s="14" t="s">
        <v>364</v>
      </c>
      <c r="U42" s="14" t="s">
        <v>365</v>
      </c>
    </row>
    <row r="43" spans="1:21">
      <c r="A43" s="14" t="s">
        <v>366</v>
      </c>
      <c r="B43" s="14">
        <v>8543.411418</v>
      </c>
      <c r="C43" s="14">
        <v>12688.94372</v>
      </c>
      <c r="D43" s="14">
        <v>4397.879115</v>
      </c>
      <c r="E43" s="14">
        <v>0.346594235</v>
      </c>
      <c r="F43" s="14">
        <v>-1.528680437</v>
      </c>
      <c r="G43" s="51" t="s">
        <v>367</v>
      </c>
      <c r="H43" s="51" t="s">
        <v>368</v>
      </c>
      <c r="I43" s="14" t="s">
        <v>147</v>
      </c>
      <c r="J43" s="14">
        <v>30.09011192</v>
      </c>
      <c r="K43" s="14">
        <v>34.77297211</v>
      </c>
      <c r="L43" s="14">
        <v>29.30604468</v>
      </c>
      <c r="M43" s="14">
        <v>80.23728752</v>
      </c>
      <c r="N43" s="14">
        <v>75.29398237</v>
      </c>
      <c r="O43" s="14">
        <v>67.007233</v>
      </c>
      <c r="P43" s="14" t="s">
        <v>369</v>
      </c>
      <c r="Q43" s="14" t="s">
        <v>370</v>
      </c>
      <c r="T43" s="14" t="s">
        <v>371</v>
      </c>
      <c r="U43" s="14" t="s">
        <v>372</v>
      </c>
    </row>
    <row r="44" spans="1:21">
      <c r="A44" s="14" t="s">
        <v>373</v>
      </c>
      <c r="B44" s="14">
        <v>6178.297437</v>
      </c>
      <c r="C44" s="14">
        <v>8636.071077</v>
      </c>
      <c r="D44" s="14">
        <v>3720.523796</v>
      </c>
      <c r="E44" s="14">
        <v>0.430827538</v>
      </c>
      <c r="F44" s="14">
        <v>-1.214817626</v>
      </c>
      <c r="G44" s="51" t="s">
        <v>374</v>
      </c>
      <c r="H44" s="51" t="s">
        <v>375</v>
      </c>
      <c r="I44" s="14" t="s">
        <v>147</v>
      </c>
      <c r="J44" s="14">
        <v>64.06608316</v>
      </c>
      <c r="K44" s="14">
        <v>58.1229507</v>
      </c>
      <c r="L44" s="14">
        <v>58.0809666</v>
      </c>
      <c r="M44" s="14">
        <v>119.2669346</v>
      </c>
      <c r="N44" s="14">
        <v>117.8504102</v>
      </c>
      <c r="O44" s="14">
        <v>105.7994251</v>
      </c>
      <c r="P44" s="14" t="s">
        <v>376</v>
      </c>
      <c r="Q44" s="14" t="s">
        <v>377</v>
      </c>
      <c r="R44" s="14" t="s">
        <v>378</v>
      </c>
      <c r="S44" s="14" t="s">
        <v>379</v>
      </c>
      <c r="T44" s="14" t="s">
        <v>380</v>
      </c>
      <c r="U44" s="14" t="s">
        <v>381</v>
      </c>
    </row>
    <row r="45" spans="1:21">
      <c r="A45" s="14" t="s">
        <v>382</v>
      </c>
      <c r="B45" s="14">
        <v>1756.605458</v>
      </c>
      <c r="C45" s="14">
        <v>2449.897711</v>
      </c>
      <c r="D45" s="14">
        <v>1063.313204</v>
      </c>
      <c r="E45" s="14">
        <v>0.434064821</v>
      </c>
      <c r="F45" s="14">
        <v>-1.204017592</v>
      </c>
      <c r="G45" s="51" t="s">
        <v>383</v>
      </c>
      <c r="H45" s="51" t="s">
        <v>384</v>
      </c>
      <c r="I45" s="14" t="s">
        <v>147</v>
      </c>
      <c r="J45" s="14">
        <v>18.63755893</v>
      </c>
      <c r="K45" s="14">
        <v>22.97372251</v>
      </c>
      <c r="L45" s="14">
        <v>21.0954112</v>
      </c>
      <c r="M45" s="14">
        <v>40.17375146</v>
      </c>
      <c r="N45" s="14">
        <v>42.6822868</v>
      </c>
      <c r="O45" s="14">
        <v>35.45793527</v>
      </c>
      <c r="P45" s="14" t="s">
        <v>385</v>
      </c>
      <c r="Q45" s="14" t="s">
        <v>386</v>
      </c>
      <c r="R45" s="14" t="s">
        <v>387</v>
      </c>
      <c r="S45" s="14" t="s">
        <v>388</v>
      </c>
      <c r="T45" s="14" t="s">
        <v>389</v>
      </c>
      <c r="U45" s="14" t="s">
        <v>390</v>
      </c>
    </row>
    <row r="46" spans="1:21">
      <c r="A46" s="14" t="s">
        <v>391</v>
      </c>
      <c r="B46" s="14">
        <v>5902.468387</v>
      </c>
      <c r="C46" s="14">
        <v>3402.23877</v>
      </c>
      <c r="D46" s="14">
        <v>8402.698005</v>
      </c>
      <c r="E46" s="14">
        <v>2.469899914</v>
      </c>
      <c r="F46" s="14">
        <v>1.304452582</v>
      </c>
      <c r="G46" s="14">
        <v>0.000169777</v>
      </c>
      <c r="H46" s="14">
        <v>0.000761086</v>
      </c>
      <c r="I46" s="14" t="s">
        <v>164</v>
      </c>
      <c r="J46" s="14">
        <v>52.50216956</v>
      </c>
      <c r="K46" s="14">
        <v>41.0966571</v>
      </c>
      <c r="L46" s="14">
        <v>49.01474926</v>
      </c>
      <c r="M46" s="14">
        <v>16.92548343</v>
      </c>
      <c r="N46" s="14">
        <v>20.57333354</v>
      </c>
      <c r="O46" s="14">
        <v>9.20811796</v>
      </c>
      <c r="P46" s="14" t="s">
        <v>392</v>
      </c>
      <c r="Q46" s="14" t="s">
        <v>393</v>
      </c>
      <c r="T46" s="14" t="s">
        <v>394</v>
      </c>
      <c r="U46" s="14" t="s">
        <v>395</v>
      </c>
    </row>
    <row r="47" spans="1:21">
      <c r="A47" s="14" t="s">
        <v>396</v>
      </c>
      <c r="B47" s="14">
        <v>4151.702165</v>
      </c>
      <c r="C47" s="14">
        <v>5589.738615</v>
      </c>
      <c r="D47" s="14">
        <v>2713.665715</v>
      </c>
      <c r="E47" s="14">
        <v>0.485491005</v>
      </c>
      <c r="F47" s="14">
        <v>-1.042483529</v>
      </c>
      <c r="G47" s="14">
        <v>0.000293134</v>
      </c>
      <c r="H47" s="14">
        <v>0.001235588</v>
      </c>
      <c r="I47" s="14" t="s">
        <v>147</v>
      </c>
      <c r="J47" s="14">
        <v>23.68928434</v>
      </c>
      <c r="K47" s="14">
        <v>29.6669009</v>
      </c>
      <c r="L47" s="14">
        <v>25.71945108</v>
      </c>
      <c r="M47" s="14">
        <v>50.03278702</v>
      </c>
      <c r="N47" s="14">
        <v>51.84056084</v>
      </c>
      <c r="O47" s="14">
        <v>30.42631817</v>
      </c>
      <c r="P47" s="14" t="s">
        <v>397</v>
      </c>
      <c r="Q47" s="14" t="s">
        <v>398</v>
      </c>
      <c r="T47" s="14" t="s">
        <v>399</v>
      </c>
      <c r="U47" s="14" t="s">
        <v>400</v>
      </c>
    </row>
    <row r="48" spans="1:21">
      <c r="A48" s="14" t="s">
        <v>401</v>
      </c>
      <c r="B48" s="14">
        <v>1548.627653</v>
      </c>
      <c r="C48" s="14">
        <v>1014.992758</v>
      </c>
      <c r="D48" s="14">
        <v>2082.262547</v>
      </c>
      <c r="E48" s="14">
        <v>2.051571473</v>
      </c>
      <c r="F48" s="14">
        <v>1.036729416</v>
      </c>
      <c r="G48" s="51" t="s">
        <v>402</v>
      </c>
      <c r="H48" s="51" t="s">
        <v>403</v>
      </c>
      <c r="I48" s="14" t="s">
        <v>164</v>
      </c>
      <c r="J48" s="14">
        <v>47.78523085</v>
      </c>
      <c r="K48" s="14">
        <v>35.39312667</v>
      </c>
      <c r="L48" s="14">
        <v>50.11511359</v>
      </c>
      <c r="M48" s="14">
        <v>15.65685211</v>
      </c>
      <c r="N48" s="14">
        <v>19.10962236</v>
      </c>
      <c r="O48" s="14">
        <v>18.71071207</v>
      </c>
      <c r="P48" s="14" t="s">
        <v>404</v>
      </c>
      <c r="Q48" s="14" t="s">
        <v>405</v>
      </c>
      <c r="T48" s="14" t="s">
        <v>406</v>
      </c>
      <c r="U48" s="14" t="s">
        <v>407</v>
      </c>
    </row>
    <row r="49" spans="1:21">
      <c r="A49" s="14" t="s">
        <v>408</v>
      </c>
      <c r="B49" s="14">
        <v>24.39401908</v>
      </c>
      <c r="C49" s="14">
        <v>1.236355384</v>
      </c>
      <c r="D49" s="14">
        <v>47.55168277</v>
      </c>
      <c r="E49" s="14">
        <v>36.59476097</v>
      </c>
      <c r="F49" s="14">
        <v>5.193565217</v>
      </c>
      <c r="G49" s="51" t="s">
        <v>409</v>
      </c>
      <c r="H49" s="51" t="s">
        <v>410</v>
      </c>
      <c r="I49" s="14" t="s">
        <v>164</v>
      </c>
      <c r="J49" s="14">
        <v>0.429033786</v>
      </c>
      <c r="K49" s="14">
        <v>0.917650056</v>
      </c>
      <c r="L49" s="14">
        <v>0.580914758</v>
      </c>
      <c r="M49" s="14">
        <v>0</v>
      </c>
      <c r="N49" s="14">
        <v>0</v>
      </c>
      <c r="O49" s="14">
        <v>0.044892997</v>
      </c>
      <c r="P49" s="14" t="s">
        <v>411</v>
      </c>
      <c r="Q49" s="14" t="s">
        <v>412</v>
      </c>
      <c r="R49" s="14" t="s">
        <v>413</v>
      </c>
      <c r="S49" s="14" t="s">
        <v>414</v>
      </c>
      <c r="T49" s="14" t="s">
        <v>415</v>
      </c>
      <c r="U49" s="14" t="s">
        <v>416</v>
      </c>
    </row>
    <row r="50" spans="1:21">
      <c r="A50" s="14" t="s">
        <v>417</v>
      </c>
      <c r="B50" s="14">
        <v>17.56547789</v>
      </c>
      <c r="C50" s="14">
        <v>0.338987876</v>
      </c>
      <c r="D50" s="14">
        <v>34.7919679</v>
      </c>
      <c r="E50" s="14">
        <v>96.30819949</v>
      </c>
      <c r="F50" s="14">
        <v>6.589586726</v>
      </c>
      <c r="G50" s="51" t="s">
        <v>418</v>
      </c>
      <c r="H50" s="51" t="s">
        <v>419</v>
      </c>
      <c r="I50" s="14" t="s">
        <v>164</v>
      </c>
      <c r="J50" s="14">
        <v>1.771600984</v>
      </c>
      <c r="K50" s="14">
        <v>1.528430835</v>
      </c>
      <c r="L50" s="14">
        <v>1.137190007</v>
      </c>
      <c r="M50" s="14">
        <v>0</v>
      </c>
      <c r="N50" s="14">
        <v>0.034623897</v>
      </c>
      <c r="O50" s="14">
        <v>0</v>
      </c>
      <c r="P50" s="14" t="s">
        <v>420</v>
      </c>
      <c r="Q50" s="14" t="s">
        <v>421</v>
      </c>
      <c r="T50" s="14" t="s">
        <v>399</v>
      </c>
      <c r="U50" s="14" t="s">
        <v>400</v>
      </c>
    </row>
    <row r="51" spans="1:21">
      <c r="A51" s="14" t="s">
        <v>422</v>
      </c>
      <c r="B51" s="14">
        <v>2497.488859</v>
      </c>
      <c r="C51" s="14">
        <v>3391.024861</v>
      </c>
      <c r="D51" s="14">
        <v>1603.952856</v>
      </c>
      <c r="E51" s="14">
        <v>0.472923</v>
      </c>
      <c r="F51" s="14">
        <v>-1.080322789</v>
      </c>
      <c r="G51" s="51" t="s">
        <v>423</v>
      </c>
      <c r="H51" s="51" t="s">
        <v>424</v>
      </c>
      <c r="I51" s="14" t="s">
        <v>147</v>
      </c>
      <c r="J51" s="14">
        <v>16.2867837</v>
      </c>
      <c r="K51" s="14">
        <v>18.14990629</v>
      </c>
      <c r="L51" s="14">
        <v>14.81214224</v>
      </c>
      <c r="M51" s="14">
        <v>27.14046921</v>
      </c>
      <c r="N51" s="14">
        <v>26.86267992</v>
      </c>
      <c r="O51" s="14">
        <v>32.05821058</v>
      </c>
      <c r="P51" s="14" t="s">
        <v>425</v>
      </c>
      <c r="Q51" s="14" t="s">
        <v>426</v>
      </c>
      <c r="T51" s="14" t="s">
        <v>427</v>
      </c>
      <c r="U51" s="14" t="s">
        <v>428</v>
      </c>
    </row>
    <row r="52" spans="1:21">
      <c r="A52" s="14" t="s">
        <v>429</v>
      </c>
      <c r="B52" s="14">
        <v>787.5495243</v>
      </c>
      <c r="C52" s="14">
        <v>161.7934161</v>
      </c>
      <c r="D52" s="14">
        <v>1413.305633</v>
      </c>
      <c r="E52" s="14">
        <v>8.725342631</v>
      </c>
      <c r="F52" s="14">
        <v>3.125211785</v>
      </c>
      <c r="G52" s="51" t="s">
        <v>430</v>
      </c>
      <c r="H52" s="51" t="s">
        <v>431</v>
      </c>
      <c r="I52" s="14" t="s">
        <v>164</v>
      </c>
      <c r="J52" s="14">
        <v>33.65137992</v>
      </c>
      <c r="K52" s="14">
        <v>18.28938253</v>
      </c>
      <c r="L52" s="14">
        <v>20.44420378</v>
      </c>
      <c r="M52" s="14">
        <v>1.621265732</v>
      </c>
      <c r="N52" s="14">
        <v>1.62485003</v>
      </c>
      <c r="O52" s="14">
        <v>3.738945296</v>
      </c>
      <c r="P52" s="14" t="s">
        <v>432</v>
      </c>
      <c r="Q52" s="14" t="s">
        <v>433</v>
      </c>
      <c r="T52" s="14" t="s">
        <v>399</v>
      </c>
      <c r="U52" s="14" t="s">
        <v>400</v>
      </c>
    </row>
    <row r="53" spans="1:21">
      <c r="A53" s="14" t="s">
        <v>434</v>
      </c>
      <c r="B53" s="14">
        <v>564.1687383</v>
      </c>
      <c r="C53" s="14">
        <v>369.1934677</v>
      </c>
      <c r="D53" s="14">
        <v>759.144009</v>
      </c>
      <c r="E53" s="14">
        <v>2.057124401</v>
      </c>
      <c r="F53" s="14">
        <v>1.040629041</v>
      </c>
      <c r="G53" s="51" t="s">
        <v>435</v>
      </c>
      <c r="H53" s="51" t="s">
        <v>436</v>
      </c>
      <c r="I53" s="14" t="s">
        <v>164</v>
      </c>
      <c r="J53" s="14">
        <v>5.787460033</v>
      </c>
      <c r="K53" s="14">
        <v>3.771261017</v>
      </c>
      <c r="L53" s="14">
        <v>5.849464732</v>
      </c>
      <c r="M53" s="14">
        <v>2.060831502</v>
      </c>
      <c r="N53" s="14">
        <v>2.097947359</v>
      </c>
      <c r="O53" s="14">
        <v>1.982678281</v>
      </c>
      <c r="P53" s="14" t="s">
        <v>437</v>
      </c>
      <c r="Q53" s="14" t="s">
        <v>438</v>
      </c>
      <c r="R53" s="14" t="s">
        <v>439</v>
      </c>
      <c r="S53" s="14" t="s">
        <v>440</v>
      </c>
      <c r="T53" s="14" t="s">
        <v>441</v>
      </c>
      <c r="U53" s="14" t="s">
        <v>442</v>
      </c>
    </row>
    <row r="54" spans="1:21">
      <c r="A54" s="14" t="s">
        <v>443</v>
      </c>
      <c r="B54" s="14">
        <v>89.49683125</v>
      </c>
      <c r="C54" s="14">
        <v>6.263311842</v>
      </c>
      <c r="D54" s="14">
        <v>172.7303507</v>
      </c>
      <c r="E54" s="14">
        <v>27.2415536</v>
      </c>
      <c r="F54" s="14">
        <v>4.767737078</v>
      </c>
      <c r="G54" s="51" t="s">
        <v>444</v>
      </c>
      <c r="H54" s="51" t="s">
        <v>445</v>
      </c>
      <c r="I54" s="14" t="s">
        <v>164</v>
      </c>
      <c r="J54" s="14">
        <v>2.809252989</v>
      </c>
      <c r="K54" s="14">
        <v>2.262077636</v>
      </c>
      <c r="L54" s="14">
        <v>2.880339832</v>
      </c>
      <c r="M54" s="14">
        <v>0.05196934</v>
      </c>
      <c r="N54" s="14">
        <v>0.074787618</v>
      </c>
      <c r="O54" s="14">
        <v>0.114403345</v>
      </c>
      <c r="P54" s="14" t="s">
        <v>446</v>
      </c>
      <c r="Q54" s="14" t="s">
        <v>447</v>
      </c>
      <c r="T54" s="14" t="s">
        <v>448</v>
      </c>
      <c r="U54" s="14" t="s">
        <v>449</v>
      </c>
    </row>
    <row r="55" spans="1:21">
      <c r="A55" s="14" t="s">
        <v>450</v>
      </c>
      <c r="B55" s="14">
        <v>1294.234495</v>
      </c>
      <c r="C55" s="14">
        <v>1936.994756</v>
      </c>
      <c r="D55" s="14">
        <v>651.4742329</v>
      </c>
      <c r="E55" s="14">
        <v>0.336374367</v>
      </c>
      <c r="F55" s="14">
        <v>-1.571860323</v>
      </c>
      <c r="G55" s="51" t="s">
        <v>451</v>
      </c>
      <c r="H55" s="51" t="s">
        <v>452</v>
      </c>
      <c r="I55" s="14" t="s">
        <v>147</v>
      </c>
      <c r="J55" s="14">
        <v>7.117151241</v>
      </c>
      <c r="K55" s="14">
        <v>7.844794119</v>
      </c>
      <c r="L55" s="14">
        <v>7.287150459</v>
      </c>
      <c r="M55" s="14">
        <v>19.32008331</v>
      </c>
      <c r="N55" s="14">
        <v>19.69262686</v>
      </c>
      <c r="O55" s="14">
        <v>15.01243187</v>
      </c>
      <c r="P55" s="14" t="s">
        <v>453</v>
      </c>
      <c r="Q55" s="14" t="s">
        <v>454</v>
      </c>
      <c r="T55" s="14" t="s">
        <v>455</v>
      </c>
      <c r="U55" s="14" t="s">
        <v>456</v>
      </c>
    </row>
    <row r="56" spans="1:15">
      <c r="A56" s="14" t="s">
        <v>457</v>
      </c>
      <c r="B56" s="14">
        <v>186.454489</v>
      </c>
      <c r="C56" s="14">
        <v>261.2781502</v>
      </c>
      <c r="D56" s="14">
        <v>111.6308278</v>
      </c>
      <c r="E56" s="14">
        <v>0.427404451</v>
      </c>
      <c r="F56" s="14">
        <v>-1.226326162</v>
      </c>
      <c r="G56" s="51" t="s">
        <v>458</v>
      </c>
      <c r="H56" s="51" t="s">
        <v>459</v>
      </c>
      <c r="I56" s="14" t="s">
        <v>147</v>
      </c>
      <c r="J56" s="14">
        <v>1.265315986</v>
      </c>
      <c r="K56" s="14">
        <v>1.623188073</v>
      </c>
      <c r="L56" s="14">
        <v>1.301918211</v>
      </c>
      <c r="M56" s="14">
        <v>2.908154479</v>
      </c>
      <c r="N56" s="14">
        <v>2.790028968</v>
      </c>
      <c r="O56" s="14">
        <v>2.326076165</v>
      </c>
    </row>
    <row r="57" spans="1:21">
      <c r="A57" s="14" t="s">
        <v>460</v>
      </c>
      <c r="B57" s="14">
        <v>1752.178107</v>
      </c>
      <c r="C57" s="14">
        <v>2459.453722</v>
      </c>
      <c r="D57" s="14">
        <v>1044.902492</v>
      </c>
      <c r="E57" s="14">
        <v>0.424895956</v>
      </c>
      <c r="F57" s="14">
        <v>-1.234818482</v>
      </c>
      <c r="G57" s="14">
        <v>0.000210376</v>
      </c>
      <c r="H57" s="14">
        <v>0.000916912</v>
      </c>
      <c r="I57" s="14" t="s">
        <v>147</v>
      </c>
      <c r="J57" s="14">
        <v>10.99305962</v>
      </c>
      <c r="K57" s="14">
        <v>13.25166466</v>
      </c>
      <c r="L57" s="14">
        <v>13.13134669</v>
      </c>
      <c r="M57" s="14">
        <v>29.28769572</v>
      </c>
      <c r="N57" s="14">
        <v>27.23544959</v>
      </c>
      <c r="O57" s="14">
        <v>14.63865079</v>
      </c>
      <c r="P57" s="14" t="s">
        <v>461</v>
      </c>
      <c r="Q57" s="14" t="s">
        <v>462</v>
      </c>
      <c r="T57" s="14" t="s">
        <v>463</v>
      </c>
      <c r="U57" s="14" t="s">
        <v>464</v>
      </c>
    </row>
    <row r="58" spans="1:21">
      <c r="A58" s="14" t="s">
        <v>465</v>
      </c>
      <c r="B58" s="14">
        <v>30.43458258</v>
      </c>
      <c r="C58" s="14">
        <v>52.52323184</v>
      </c>
      <c r="D58" s="14">
        <v>8.345933314</v>
      </c>
      <c r="E58" s="14">
        <v>0.158383552</v>
      </c>
      <c r="F58" s="14">
        <v>-2.658505575</v>
      </c>
      <c r="G58" s="14">
        <v>0.005473387</v>
      </c>
      <c r="H58" s="14">
        <v>0.016030491</v>
      </c>
      <c r="I58" s="14" t="s">
        <v>147</v>
      </c>
      <c r="J58" s="14">
        <v>0.043550918</v>
      </c>
      <c r="K58" s="14">
        <v>0.292235335</v>
      </c>
      <c r="L58" s="14">
        <v>0.027955318</v>
      </c>
      <c r="M58" s="14">
        <v>0.832183216</v>
      </c>
      <c r="N58" s="14">
        <v>0.428980836</v>
      </c>
      <c r="O58" s="14">
        <v>0.631911846</v>
      </c>
      <c r="P58" s="14" t="s">
        <v>466</v>
      </c>
      <c r="Q58" s="14" t="s">
        <v>467</v>
      </c>
      <c r="T58" s="14" t="s">
        <v>468</v>
      </c>
      <c r="U58" s="14" t="s">
        <v>469</v>
      </c>
    </row>
    <row r="59" spans="1:21">
      <c r="A59" s="14" t="s">
        <v>470</v>
      </c>
      <c r="B59" s="14">
        <v>50.16495551</v>
      </c>
      <c r="C59" s="14">
        <v>18.44436362</v>
      </c>
      <c r="D59" s="14">
        <v>81.88554741</v>
      </c>
      <c r="E59" s="14">
        <v>4.416051128</v>
      </c>
      <c r="F59" s="14">
        <v>2.142756875</v>
      </c>
      <c r="G59" s="14">
        <v>0.011599874</v>
      </c>
      <c r="H59" s="14">
        <v>0.030688927</v>
      </c>
      <c r="I59" s="14" t="s">
        <v>164</v>
      </c>
      <c r="J59" s="14">
        <v>5.481109831</v>
      </c>
      <c r="K59" s="14">
        <v>2.990469572</v>
      </c>
      <c r="L59" s="14">
        <v>4.241715723</v>
      </c>
      <c r="M59" s="14">
        <v>0.131484351</v>
      </c>
      <c r="N59" s="14">
        <v>0.504574501</v>
      </c>
      <c r="O59" s="14">
        <v>1.843869889</v>
      </c>
      <c r="P59" s="14" t="s">
        <v>471</v>
      </c>
      <c r="Q59" s="14" t="s">
        <v>472</v>
      </c>
      <c r="T59" s="14" t="s">
        <v>473</v>
      </c>
      <c r="U59" s="14" t="s">
        <v>474</v>
      </c>
    </row>
    <row r="60" spans="1:21">
      <c r="A60" s="14" t="s">
        <v>475</v>
      </c>
      <c r="B60" s="14">
        <v>307.2102265</v>
      </c>
      <c r="C60" s="14">
        <v>420.5716194</v>
      </c>
      <c r="D60" s="14">
        <v>193.8488337</v>
      </c>
      <c r="E60" s="14">
        <v>0.46086982</v>
      </c>
      <c r="F60" s="14">
        <v>-1.1175688</v>
      </c>
      <c r="G60" s="51" t="s">
        <v>476</v>
      </c>
      <c r="H60" s="51" t="s">
        <v>477</v>
      </c>
      <c r="I60" s="14" t="s">
        <v>147</v>
      </c>
      <c r="J60" s="14">
        <v>4.675206402</v>
      </c>
      <c r="K60" s="14">
        <v>7.677777979</v>
      </c>
      <c r="L60" s="14">
        <v>5.68613034</v>
      </c>
      <c r="M60" s="14">
        <v>10.8949597</v>
      </c>
      <c r="N60" s="14">
        <v>10.427173</v>
      </c>
      <c r="O60" s="14">
        <v>10.89117304</v>
      </c>
      <c r="P60" s="14" t="s">
        <v>478</v>
      </c>
      <c r="Q60" s="14" t="s">
        <v>479</v>
      </c>
      <c r="R60" s="14" t="s">
        <v>480</v>
      </c>
      <c r="S60" s="14" t="s">
        <v>481</v>
      </c>
      <c r="T60" s="14" t="s">
        <v>482</v>
      </c>
      <c r="U60" s="14" t="s">
        <v>483</v>
      </c>
    </row>
    <row r="61" spans="1:21">
      <c r="A61" s="14" t="s">
        <v>484</v>
      </c>
      <c r="B61" s="14">
        <v>13568.51689</v>
      </c>
      <c r="C61" s="14">
        <v>21145.55966</v>
      </c>
      <c r="D61" s="14">
        <v>5991.474127</v>
      </c>
      <c r="E61" s="14">
        <v>0.283332979</v>
      </c>
      <c r="F61" s="14">
        <v>-1.819429561</v>
      </c>
      <c r="G61" s="51" t="s">
        <v>485</v>
      </c>
      <c r="H61" s="51" t="s">
        <v>486</v>
      </c>
      <c r="I61" s="14" t="s">
        <v>147</v>
      </c>
      <c r="J61" s="14">
        <v>112.1413872</v>
      </c>
      <c r="K61" s="14">
        <v>109.1369309</v>
      </c>
      <c r="L61" s="14">
        <v>94.75106985</v>
      </c>
      <c r="M61" s="14">
        <v>281.1171538</v>
      </c>
      <c r="N61" s="14">
        <v>270.6427876</v>
      </c>
      <c r="O61" s="14">
        <v>373.4221911</v>
      </c>
      <c r="P61" s="14" t="s">
        <v>487</v>
      </c>
      <c r="Q61" s="14" t="s">
        <v>488</v>
      </c>
      <c r="T61" s="14" t="s">
        <v>489</v>
      </c>
      <c r="U61" s="14" t="s">
        <v>490</v>
      </c>
    </row>
    <row r="62" spans="1:21">
      <c r="A62" s="14" t="s">
        <v>491</v>
      </c>
      <c r="B62" s="14">
        <v>11.31388547</v>
      </c>
      <c r="C62" s="14">
        <v>2.223419981</v>
      </c>
      <c r="D62" s="14">
        <v>20.40435095</v>
      </c>
      <c r="E62" s="14">
        <v>8.956886743</v>
      </c>
      <c r="F62" s="14">
        <v>3.162997364</v>
      </c>
      <c r="G62" s="14">
        <v>0.002180322</v>
      </c>
      <c r="H62" s="14">
        <v>0.007225688</v>
      </c>
      <c r="I62" s="14" t="s">
        <v>164</v>
      </c>
      <c r="J62" s="14">
        <v>0.539423866</v>
      </c>
      <c r="K62" s="14">
        <v>0.576880373</v>
      </c>
      <c r="L62" s="14">
        <v>0.973844935</v>
      </c>
      <c r="M62" s="14">
        <v>0</v>
      </c>
      <c r="N62" s="14">
        <v>0.05534769</v>
      </c>
      <c r="O62" s="14">
        <v>0.14110983</v>
      </c>
      <c r="P62" s="14" t="s">
        <v>492</v>
      </c>
      <c r="Q62" s="14" t="s">
        <v>493</v>
      </c>
      <c r="T62" s="14" t="s">
        <v>494</v>
      </c>
      <c r="U62" s="14" t="s">
        <v>495</v>
      </c>
    </row>
    <row r="63" spans="1:21">
      <c r="A63" s="14" t="s">
        <v>496</v>
      </c>
      <c r="B63" s="14">
        <v>5734.753619</v>
      </c>
      <c r="C63" s="14">
        <v>8286.117139</v>
      </c>
      <c r="D63" s="14">
        <v>3183.390098</v>
      </c>
      <c r="E63" s="14">
        <v>0.384196206</v>
      </c>
      <c r="F63" s="14">
        <v>-1.380084823</v>
      </c>
      <c r="G63" s="51" t="s">
        <v>497</v>
      </c>
      <c r="H63" s="51" t="s">
        <v>498</v>
      </c>
      <c r="I63" s="14" t="s">
        <v>147</v>
      </c>
      <c r="J63" s="14">
        <v>29.43255607</v>
      </c>
      <c r="K63" s="14">
        <v>31.95478309</v>
      </c>
      <c r="L63" s="14">
        <v>29.68556941</v>
      </c>
      <c r="M63" s="14">
        <v>74.53648977</v>
      </c>
      <c r="N63" s="14">
        <v>70.07408125</v>
      </c>
      <c r="O63" s="14">
        <v>48.27936436</v>
      </c>
      <c r="P63" s="14" t="s">
        <v>499</v>
      </c>
      <c r="Q63" s="14" t="s">
        <v>500</v>
      </c>
      <c r="T63" s="14" t="s">
        <v>501</v>
      </c>
      <c r="U63" s="14" t="s">
        <v>502</v>
      </c>
    </row>
    <row r="64" spans="1:21">
      <c r="A64" s="14" t="s">
        <v>503</v>
      </c>
      <c r="B64" s="14">
        <v>1392.997105</v>
      </c>
      <c r="C64" s="14">
        <v>2237.24356</v>
      </c>
      <c r="D64" s="14">
        <v>548.7506494</v>
      </c>
      <c r="E64" s="14">
        <v>0.245282397</v>
      </c>
      <c r="F64" s="14">
        <v>-2.027484393</v>
      </c>
      <c r="G64" s="51" t="s">
        <v>504</v>
      </c>
      <c r="H64" s="14">
        <v>0.00011322</v>
      </c>
      <c r="I64" s="14" t="s">
        <v>147</v>
      </c>
      <c r="J64" s="14">
        <v>4.222918264</v>
      </c>
      <c r="K64" s="14">
        <v>7.134756727</v>
      </c>
      <c r="L64" s="14">
        <v>4.274781779</v>
      </c>
      <c r="M64" s="14">
        <v>22.2754467</v>
      </c>
      <c r="N64" s="14">
        <v>21.30101016</v>
      </c>
      <c r="O64" s="14">
        <v>7.772271837</v>
      </c>
      <c r="P64" s="14" t="s">
        <v>505</v>
      </c>
      <c r="Q64" s="14" t="s">
        <v>506</v>
      </c>
      <c r="T64" s="14" t="s">
        <v>507</v>
      </c>
      <c r="U64" s="14" t="s">
        <v>508</v>
      </c>
    </row>
    <row r="65" spans="1:15">
      <c r="A65" s="14" t="s">
        <v>509</v>
      </c>
      <c r="B65" s="14">
        <v>4.25657889</v>
      </c>
      <c r="C65" s="14">
        <v>0</v>
      </c>
      <c r="D65" s="14">
        <v>8.513157779</v>
      </c>
      <c r="E65" s="14">
        <v>45.9093251</v>
      </c>
      <c r="F65" s="14">
        <v>5.520715318</v>
      </c>
      <c r="G65" s="14">
        <v>0.001649798</v>
      </c>
      <c r="H65" s="14">
        <v>0.00567991</v>
      </c>
      <c r="I65" s="14" t="s">
        <v>164</v>
      </c>
      <c r="J65" s="14">
        <v>0.72716067</v>
      </c>
      <c r="K65" s="14">
        <v>0.731908935</v>
      </c>
      <c r="L65" s="14">
        <v>0.622352215</v>
      </c>
      <c r="M65" s="14">
        <v>0</v>
      </c>
      <c r="N65" s="14">
        <v>0</v>
      </c>
      <c r="O65" s="14">
        <v>0</v>
      </c>
    </row>
    <row r="66" spans="1:21">
      <c r="A66" s="14" t="s">
        <v>510</v>
      </c>
      <c r="B66" s="14">
        <v>37.89741883</v>
      </c>
      <c r="C66" s="14">
        <v>58.21848213</v>
      </c>
      <c r="D66" s="14">
        <v>17.57635553</v>
      </c>
      <c r="E66" s="14">
        <v>0.302495446</v>
      </c>
      <c r="F66" s="14">
        <v>-1.725014672</v>
      </c>
      <c r="G66" s="14">
        <v>0.000403361</v>
      </c>
      <c r="H66" s="14">
        <v>0.001644181</v>
      </c>
      <c r="I66" s="14" t="s">
        <v>147</v>
      </c>
      <c r="J66" s="14">
        <v>0.054745802</v>
      </c>
      <c r="K66" s="14">
        <v>0.04060242</v>
      </c>
      <c r="L66" s="14">
        <v>0.058260592</v>
      </c>
      <c r="M66" s="14">
        <v>0.125729006</v>
      </c>
      <c r="N66" s="14">
        <v>0.186845928</v>
      </c>
      <c r="O66" s="14">
        <v>0.101303301</v>
      </c>
      <c r="Q66" s="14" t="s">
        <v>511</v>
      </c>
      <c r="T66" s="14" t="s">
        <v>282</v>
      </c>
      <c r="U66" s="14" t="s">
        <v>283</v>
      </c>
    </row>
    <row r="67" spans="1:21">
      <c r="A67" s="14" t="s">
        <v>512</v>
      </c>
      <c r="B67" s="14">
        <v>510.1883446</v>
      </c>
      <c r="C67" s="14">
        <v>263.8464456</v>
      </c>
      <c r="D67" s="14">
        <v>756.5302435</v>
      </c>
      <c r="E67" s="14">
        <v>2.868868642</v>
      </c>
      <c r="F67" s="14">
        <v>1.520481912</v>
      </c>
      <c r="G67" s="51" t="s">
        <v>513</v>
      </c>
      <c r="H67" s="51" t="s">
        <v>514</v>
      </c>
      <c r="I67" s="14" t="s">
        <v>164</v>
      </c>
      <c r="J67" s="14">
        <v>7.536484883</v>
      </c>
      <c r="K67" s="14">
        <v>7.27709267</v>
      </c>
      <c r="L67" s="14">
        <v>7.856447097</v>
      </c>
      <c r="M67" s="14">
        <v>1.937837828</v>
      </c>
      <c r="N67" s="14">
        <v>2.727799622</v>
      </c>
      <c r="O67" s="14">
        <v>1.79659706</v>
      </c>
      <c r="P67" s="14" t="s">
        <v>515</v>
      </c>
      <c r="Q67" s="14" t="s">
        <v>516</v>
      </c>
      <c r="T67" s="14" t="s">
        <v>517</v>
      </c>
      <c r="U67" s="14" t="s">
        <v>518</v>
      </c>
    </row>
    <row r="68" spans="1:21">
      <c r="A68" s="14" t="s">
        <v>519</v>
      </c>
      <c r="B68" s="14">
        <v>284.1797938</v>
      </c>
      <c r="C68" s="14">
        <v>83.18319391</v>
      </c>
      <c r="D68" s="14">
        <v>485.1763937</v>
      </c>
      <c r="E68" s="14">
        <v>5.827185543</v>
      </c>
      <c r="F68" s="14">
        <v>2.542799248</v>
      </c>
      <c r="G68" s="51" t="s">
        <v>520</v>
      </c>
      <c r="H68" s="51" t="s">
        <v>521</v>
      </c>
      <c r="I68" s="14" t="s">
        <v>164</v>
      </c>
      <c r="J68" s="14">
        <v>13.81381532</v>
      </c>
      <c r="K68" s="14">
        <v>9.898745135</v>
      </c>
      <c r="L68" s="14">
        <v>18.17204638</v>
      </c>
      <c r="M68" s="14">
        <v>1.799604963</v>
      </c>
      <c r="N68" s="14">
        <v>1.563189055</v>
      </c>
      <c r="O68" s="14">
        <v>2.593468419</v>
      </c>
      <c r="P68" s="14" t="s">
        <v>522</v>
      </c>
      <c r="Q68" s="14" t="s">
        <v>523</v>
      </c>
      <c r="T68" s="14" t="s">
        <v>524</v>
      </c>
      <c r="U68" s="14" t="s">
        <v>525</v>
      </c>
    </row>
    <row r="69" spans="1:15">
      <c r="A69" s="14" t="s">
        <v>526</v>
      </c>
      <c r="B69" s="14">
        <v>2010.726338</v>
      </c>
      <c r="C69" s="14">
        <v>3190.740043</v>
      </c>
      <c r="D69" s="14">
        <v>830.7126333</v>
      </c>
      <c r="E69" s="14">
        <v>0.260356532</v>
      </c>
      <c r="F69" s="14">
        <v>-1.941439495</v>
      </c>
      <c r="G69" s="51" t="s">
        <v>527</v>
      </c>
      <c r="H69" s="51" t="s">
        <v>528</v>
      </c>
      <c r="I69" s="14" t="s">
        <v>147</v>
      </c>
      <c r="J69" s="14">
        <v>9.719801725</v>
      </c>
      <c r="K69" s="14">
        <v>20.52533757</v>
      </c>
      <c r="L69" s="14">
        <v>14.0805208</v>
      </c>
      <c r="M69" s="14">
        <v>54.59116995</v>
      </c>
      <c r="N69" s="14">
        <v>58.09330139</v>
      </c>
      <c r="O69" s="14">
        <v>24.92615773</v>
      </c>
    </row>
    <row r="70" spans="1:17">
      <c r="A70" s="14" t="s">
        <v>529</v>
      </c>
      <c r="B70" s="14">
        <v>2323.603545</v>
      </c>
      <c r="C70" s="14">
        <v>3345.882518</v>
      </c>
      <c r="D70" s="14">
        <v>1301.324571</v>
      </c>
      <c r="E70" s="14">
        <v>0.38893232</v>
      </c>
      <c r="F70" s="14">
        <v>-1.362408969</v>
      </c>
      <c r="G70" s="51" t="s">
        <v>530</v>
      </c>
      <c r="H70" s="51" t="s">
        <v>531</v>
      </c>
      <c r="I70" s="14" t="s">
        <v>147</v>
      </c>
      <c r="J70" s="14">
        <v>12.36038134</v>
      </c>
      <c r="K70" s="14">
        <v>20.19735562</v>
      </c>
      <c r="L70" s="14">
        <v>14.17624487</v>
      </c>
      <c r="M70" s="14">
        <v>34.80459504</v>
      </c>
      <c r="N70" s="14">
        <v>34.72612219</v>
      </c>
      <c r="O70" s="14">
        <v>28.88376746</v>
      </c>
      <c r="P70" s="14" t="s">
        <v>532</v>
      </c>
      <c r="Q70" s="14" t="s">
        <v>533</v>
      </c>
    </row>
    <row r="71" spans="1:21">
      <c r="A71" s="14" t="s">
        <v>534</v>
      </c>
      <c r="B71" s="14">
        <v>10.69353646</v>
      </c>
      <c r="C71" s="14">
        <v>19.39759804</v>
      </c>
      <c r="D71" s="14">
        <v>1.989474875</v>
      </c>
      <c r="E71" s="14">
        <v>0.10210268</v>
      </c>
      <c r="F71" s="14">
        <v>-3.291907365</v>
      </c>
      <c r="G71" s="14">
        <v>0.009602199</v>
      </c>
      <c r="H71" s="14">
        <v>0.026065828</v>
      </c>
      <c r="I71" s="14" t="s">
        <v>147</v>
      </c>
      <c r="J71" s="14">
        <v>0.023406166</v>
      </c>
      <c r="K71" s="14">
        <v>0.094236023</v>
      </c>
      <c r="L71" s="14">
        <v>0.022536614</v>
      </c>
      <c r="M71" s="14">
        <v>0.640838144</v>
      </c>
      <c r="N71" s="14">
        <v>0.057638261</v>
      </c>
      <c r="O71" s="14">
        <v>0.431052393</v>
      </c>
      <c r="P71" s="14" t="s">
        <v>535</v>
      </c>
      <c r="Q71" s="14" t="s">
        <v>536</v>
      </c>
      <c r="R71" s="14" t="s">
        <v>537</v>
      </c>
      <c r="S71" s="14" t="s">
        <v>538</v>
      </c>
      <c r="T71" s="14" t="s">
        <v>539</v>
      </c>
      <c r="U71" s="14" t="s">
        <v>540</v>
      </c>
    </row>
    <row r="72" spans="1:15">
      <c r="A72" s="14" t="s">
        <v>541</v>
      </c>
      <c r="B72" s="14">
        <v>1273.770475</v>
      </c>
      <c r="C72" s="14">
        <v>2116.628474</v>
      </c>
      <c r="D72" s="14">
        <v>430.9124749</v>
      </c>
      <c r="E72" s="14">
        <v>0.203601117</v>
      </c>
      <c r="F72" s="14">
        <v>-2.296182616</v>
      </c>
      <c r="G72" s="51" t="s">
        <v>542</v>
      </c>
      <c r="H72" s="51" t="s">
        <v>543</v>
      </c>
      <c r="I72" s="14" t="s">
        <v>147</v>
      </c>
      <c r="J72" s="14">
        <v>5.639575375</v>
      </c>
      <c r="K72" s="14">
        <v>5.983233557</v>
      </c>
      <c r="L72" s="14">
        <v>6.470712674</v>
      </c>
      <c r="M72" s="14">
        <v>28.07383742</v>
      </c>
      <c r="N72" s="14">
        <v>34.14459853</v>
      </c>
      <c r="O72" s="14">
        <v>9.08219554</v>
      </c>
    </row>
    <row r="73" spans="1:21">
      <c r="A73" s="14" t="s">
        <v>544</v>
      </c>
      <c r="B73" s="14">
        <v>6899.152086</v>
      </c>
      <c r="C73" s="14">
        <v>10330.04053</v>
      </c>
      <c r="D73" s="14">
        <v>3468.263646</v>
      </c>
      <c r="E73" s="14">
        <v>0.335733713</v>
      </c>
      <c r="F73" s="14">
        <v>-1.574610682</v>
      </c>
      <c r="G73" s="51" t="s">
        <v>545</v>
      </c>
      <c r="H73" s="51" t="s">
        <v>546</v>
      </c>
      <c r="I73" s="14" t="s">
        <v>147</v>
      </c>
      <c r="J73" s="14">
        <v>52.66018516</v>
      </c>
      <c r="K73" s="14">
        <v>53.58933506</v>
      </c>
      <c r="L73" s="14">
        <v>42.55134209</v>
      </c>
      <c r="M73" s="14">
        <v>122.838571</v>
      </c>
      <c r="N73" s="14">
        <v>120.6430359</v>
      </c>
      <c r="O73" s="14">
        <v>121.1329821</v>
      </c>
      <c r="P73" s="14" t="s">
        <v>547</v>
      </c>
      <c r="Q73" s="14" t="s">
        <v>548</v>
      </c>
      <c r="T73" s="14" t="s">
        <v>549</v>
      </c>
      <c r="U73" s="14" t="s">
        <v>550</v>
      </c>
    </row>
    <row r="74" spans="1:21">
      <c r="A74" s="14" t="s">
        <v>551</v>
      </c>
      <c r="B74" s="14">
        <v>631.0825662</v>
      </c>
      <c r="C74" s="14">
        <v>80.96983411</v>
      </c>
      <c r="D74" s="14">
        <v>1181.195298</v>
      </c>
      <c r="E74" s="14">
        <v>14.63787238</v>
      </c>
      <c r="F74" s="14">
        <v>3.871633967</v>
      </c>
      <c r="G74" s="51" t="s">
        <v>552</v>
      </c>
      <c r="H74" s="51" t="s">
        <v>553</v>
      </c>
      <c r="I74" s="14" t="s">
        <v>164</v>
      </c>
      <c r="J74" s="14">
        <v>23.73031863</v>
      </c>
      <c r="K74" s="14">
        <v>22.03799884</v>
      </c>
      <c r="L74" s="14">
        <v>19.84463804</v>
      </c>
      <c r="M74" s="14">
        <v>1.428941743</v>
      </c>
      <c r="N74" s="14">
        <v>1.31064062</v>
      </c>
      <c r="O74" s="14">
        <v>0.921792955</v>
      </c>
      <c r="P74" s="14" t="s">
        <v>554</v>
      </c>
      <c r="Q74" s="14" t="s">
        <v>555</v>
      </c>
      <c r="R74" s="14" t="s">
        <v>556</v>
      </c>
      <c r="S74" s="14" t="s">
        <v>557</v>
      </c>
      <c r="T74" s="14" t="s">
        <v>558</v>
      </c>
      <c r="U74" s="14" t="s">
        <v>559</v>
      </c>
    </row>
    <row r="75" spans="1:21">
      <c r="A75" s="14" t="s">
        <v>560</v>
      </c>
      <c r="B75" s="14">
        <v>899.9881962</v>
      </c>
      <c r="C75" s="14">
        <v>1236.924873</v>
      </c>
      <c r="D75" s="14">
        <v>563.0515195</v>
      </c>
      <c r="E75" s="14">
        <v>0.455327787</v>
      </c>
      <c r="F75" s="14">
        <v>-1.13502259</v>
      </c>
      <c r="G75" s="51" t="s">
        <v>561</v>
      </c>
      <c r="H75" s="51" t="s">
        <v>562</v>
      </c>
      <c r="I75" s="14" t="s">
        <v>147</v>
      </c>
      <c r="J75" s="14">
        <v>4.231332216</v>
      </c>
      <c r="K75" s="14">
        <v>5.588132904</v>
      </c>
      <c r="L75" s="14">
        <v>6.053001823</v>
      </c>
      <c r="M75" s="14">
        <v>9.818586572</v>
      </c>
      <c r="N75" s="14">
        <v>9.076259597</v>
      </c>
      <c r="O75" s="14">
        <v>9.754250141</v>
      </c>
      <c r="P75" s="14" t="s">
        <v>563</v>
      </c>
      <c r="Q75" s="14" t="s">
        <v>564</v>
      </c>
      <c r="R75" s="14" t="s">
        <v>565</v>
      </c>
      <c r="S75" s="14" t="s">
        <v>566</v>
      </c>
      <c r="T75" s="14" t="s">
        <v>567</v>
      </c>
      <c r="U75" s="14" t="s">
        <v>568</v>
      </c>
    </row>
    <row r="76" spans="1:15">
      <c r="A76" s="14" t="s">
        <v>569</v>
      </c>
      <c r="B76" s="14">
        <v>167.7281359</v>
      </c>
      <c r="C76" s="14">
        <v>231.5079552</v>
      </c>
      <c r="D76" s="14">
        <v>103.9483165</v>
      </c>
      <c r="E76" s="14">
        <v>0.448935797</v>
      </c>
      <c r="F76" s="14">
        <v>-1.155418957</v>
      </c>
      <c r="G76" s="14">
        <v>0.000141577</v>
      </c>
      <c r="H76" s="14">
        <v>0.000646313</v>
      </c>
      <c r="I76" s="14" t="s">
        <v>147</v>
      </c>
      <c r="J76" s="14">
        <v>4.119920257</v>
      </c>
      <c r="K76" s="14">
        <v>2.429778984</v>
      </c>
      <c r="L76" s="14">
        <v>3.594969504</v>
      </c>
      <c r="M76" s="14">
        <v>4.681616639</v>
      </c>
      <c r="N76" s="14">
        <v>6.816444028</v>
      </c>
      <c r="O76" s="14">
        <v>7.193946298</v>
      </c>
    </row>
    <row r="77" spans="1:21">
      <c r="A77" s="14" t="s">
        <v>570</v>
      </c>
      <c r="B77" s="14">
        <v>19513.80761</v>
      </c>
      <c r="C77" s="14">
        <v>11181.70742</v>
      </c>
      <c r="D77" s="14">
        <v>27845.9078</v>
      </c>
      <c r="E77" s="14">
        <v>2.490379936</v>
      </c>
      <c r="F77" s="14">
        <v>1.316365859</v>
      </c>
      <c r="G77" s="51" t="s">
        <v>571</v>
      </c>
      <c r="H77" s="51" t="s">
        <v>572</v>
      </c>
      <c r="I77" s="14" t="s">
        <v>164</v>
      </c>
      <c r="J77" s="14">
        <v>521.1813337</v>
      </c>
      <c r="K77" s="14">
        <v>464.8342647</v>
      </c>
      <c r="L77" s="14">
        <v>463.5818453</v>
      </c>
      <c r="M77" s="14">
        <v>197.116168</v>
      </c>
      <c r="N77" s="14">
        <v>163.2147744</v>
      </c>
      <c r="O77" s="14">
        <v>112.2649848</v>
      </c>
      <c r="P77" s="14" t="s">
        <v>573</v>
      </c>
      <c r="Q77" s="14" t="s">
        <v>574</v>
      </c>
      <c r="T77" s="14" t="s">
        <v>575</v>
      </c>
      <c r="U77" s="14" t="s">
        <v>576</v>
      </c>
    </row>
    <row r="78" spans="1:21">
      <c r="A78" s="14" t="s">
        <v>577</v>
      </c>
      <c r="B78" s="14">
        <v>1171.211684</v>
      </c>
      <c r="C78" s="14">
        <v>1654.815691</v>
      </c>
      <c r="D78" s="14">
        <v>687.6076774</v>
      </c>
      <c r="E78" s="14">
        <v>0.415627115</v>
      </c>
      <c r="F78" s="14">
        <v>-1.266638318</v>
      </c>
      <c r="G78" s="51" t="s">
        <v>578</v>
      </c>
      <c r="H78" s="51" t="s">
        <v>579</v>
      </c>
      <c r="I78" s="14" t="s">
        <v>147</v>
      </c>
      <c r="J78" s="14">
        <v>8.686501504</v>
      </c>
      <c r="K78" s="14">
        <v>6.296611045</v>
      </c>
      <c r="L78" s="14">
        <v>10.77551183</v>
      </c>
      <c r="M78" s="14">
        <v>19.19261736</v>
      </c>
      <c r="N78" s="14">
        <v>18.13957687</v>
      </c>
      <c r="O78" s="14">
        <v>13.02460065</v>
      </c>
      <c r="P78" s="14" t="s">
        <v>580</v>
      </c>
      <c r="Q78" s="14" t="s">
        <v>581</v>
      </c>
      <c r="T78" s="14" t="s">
        <v>582</v>
      </c>
      <c r="U78" s="14" t="s">
        <v>583</v>
      </c>
    </row>
    <row r="79" spans="1:15">
      <c r="A79" s="14" t="s">
        <v>584</v>
      </c>
      <c r="B79" s="14">
        <v>677.1530058</v>
      </c>
      <c r="C79" s="14">
        <v>258.0142868</v>
      </c>
      <c r="D79" s="14">
        <v>1096.291725</v>
      </c>
      <c r="E79" s="14">
        <v>4.245114525</v>
      </c>
      <c r="F79" s="14">
        <v>2.085803475</v>
      </c>
      <c r="G79" s="51" t="s">
        <v>585</v>
      </c>
      <c r="H79" s="51" t="s">
        <v>586</v>
      </c>
      <c r="I79" s="14" t="s">
        <v>164</v>
      </c>
      <c r="J79" s="14">
        <v>49.38581095</v>
      </c>
      <c r="K79" s="14">
        <v>39.38220043</v>
      </c>
      <c r="L79" s="14">
        <v>58.96849575</v>
      </c>
      <c r="M79" s="14">
        <v>6.003749664</v>
      </c>
      <c r="N79" s="14">
        <v>9.332471967</v>
      </c>
      <c r="O79" s="14">
        <v>13.71831775</v>
      </c>
    </row>
    <row r="80" spans="1:21">
      <c r="A80" s="14" t="s">
        <v>587</v>
      </c>
      <c r="B80" s="14">
        <v>985.5446744</v>
      </c>
      <c r="C80" s="14">
        <v>456.6546296</v>
      </c>
      <c r="D80" s="14">
        <v>1514.434719</v>
      </c>
      <c r="E80" s="14">
        <v>3.31541052</v>
      </c>
      <c r="F80" s="14">
        <v>1.729187518</v>
      </c>
      <c r="G80" s="14">
        <v>0.006539739</v>
      </c>
      <c r="H80" s="14">
        <v>0.018671642</v>
      </c>
      <c r="I80" s="14" t="s">
        <v>164</v>
      </c>
      <c r="J80" s="14">
        <v>40.28936956</v>
      </c>
      <c r="K80" s="14">
        <v>12.10521012</v>
      </c>
      <c r="L80" s="14">
        <v>26.51792438</v>
      </c>
      <c r="M80" s="14">
        <v>3.292787687</v>
      </c>
      <c r="N80" s="14">
        <v>3.229553128</v>
      </c>
      <c r="O80" s="14">
        <v>13.86442134</v>
      </c>
      <c r="P80" s="14" t="s">
        <v>588</v>
      </c>
      <c r="Q80" s="14" t="s">
        <v>589</v>
      </c>
      <c r="T80" s="14" t="s">
        <v>590</v>
      </c>
      <c r="U80" s="14" t="s">
        <v>591</v>
      </c>
    </row>
    <row r="81" spans="1:21">
      <c r="A81" s="14" t="s">
        <v>592</v>
      </c>
      <c r="B81" s="14">
        <v>194.6899838</v>
      </c>
      <c r="C81" s="14">
        <v>57.69820206</v>
      </c>
      <c r="D81" s="14">
        <v>331.6817656</v>
      </c>
      <c r="E81" s="14">
        <v>5.73343966</v>
      </c>
      <c r="F81" s="14">
        <v>2.519400914</v>
      </c>
      <c r="G81" s="51" t="s">
        <v>593</v>
      </c>
      <c r="H81" s="51" t="s">
        <v>594</v>
      </c>
      <c r="I81" s="14" t="s">
        <v>164</v>
      </c>
      <c r="J81" s="14">
        <v>2.113615883</v>
      </c>
      <c r="K81" s="14">
        <v>4.549254427</v>
      </c>
      <c r="L81" s="14">
        <v>2.798254062</v>
      </c>
      <c r="M81" s="14">
        <v>0.242196234</v>
      </c>
      <c r="N81" s="14">
        <v>0.364028369</v>
      </c>
      <c r="O81" s="14">
        <v>0.78986912</v>
      </c>
      <c r="P81" s="14" t="s">
        <v>595</v>
      </c>
      <c r="Q81" s="14" t="s">
        <v>596</v>
      </c>
      <c r="R81" s="14" t="s">
        <v>597</v>
      </c>
      <c r="S81" s="14" t="s">
        <v>598</v>
      </c>
      <c r="T81" s="14" t="s">
        <v>599</v>
      </c>
      <c r="U81" s="14" t="s">
        <v>600</v>
      </c>
    </row>
    <row r="82" spans="1:15">
      <c r="A82" s="14" t="s">
        <v>601</v>
      </c>
      <c r="B82" s="14">
        <v>56.94698015</v>
      </c>
      <c r="C82" s="14">
        <v>32.12575939</v>
      </c>
      <c r="D82" s="14">
        <v>81.7682009</v>
      </c>
      <c r="E82" s="14">
        <v>2.543519998</v>
      </c>
      <c r="F82" s="14">
        <v>1.346826437</v>
      </c>
      <c r="G82" s="14">
        <v>0.000120623</v>
      </c>
      <c r="H82" s="14">
        <v>0.000560712</v>
      </c>
      <c r="I82" s="14" t="s">
        <v>164</v>
      </c>
      <c r="J82" s="14">
        <v>8.012233313</v>
      </c>
      <c r="K82" s="14">
        <v>7.969675068</v>
      </c>
      <c r="L82" s="14">
        <v>7.351535544</v>
      </c>
      <c r="M82" s="14">
        <v>2.742089746</v>
      </c>
      <c r="N82" s="14">
        <v>1.702223841</v>
      </c>
      <c r="O82" s="14">
        <v>3.156252523</v>
      </c>
    </row>
    <row r="83" spans="1:21">
      <c r="A83" s="14" t="s">
        <v>602</v>
      </c>
      <c r="B83" s="14">
        <v>232.883243</v>
      </c>
      <c r="C83" s="14">
        <v>91.02031926</v>
      </c>
      <c r="D83" s="14">
        <v>374.7461668</v>
      </c>
      <c r="E83" s="14">
        <v>4.105324285</v>
      </c>
      <c r="F83" s="14">
        <v>2.037496187</v>
      </c>
      <c r="G83" s="51" t="s">
        <v>603</v>
      </c>
      <c r="H83" s="51" t="s">
        <v>604</v>
      </c>
      <c r="I83" s="14" t="s">
        <v>164</v>
      </c>
      <c r="J83" s="14">
        <v>11.67776336</v>
      </c>
      <c r="K83" s="14">
        <v>11.25695718</v>
      </c>
      <c r="L83" s="14">
        <v>10.0132492</v>
      </c>
      <c r="M83" s="14">
        <v>1.590675813</v>
      </c>
      <c r="N83" s="14">
        <v>1.859891229</v>
      </c>
      <c r="O83" s="14">
        <v>3.258483343</v>
      </c>
      <c r="P83" s="14" t="s">
        <v>605</v>
      </c>
      <c r="Q83" s="14" t="s">
        <v>606</v>
      </c>
      <c r="T83" s="14" t="s">
        <v>607</v>
      </c>
      <c r="U83" s="14" t="s">
        <v>608</v>
      </c>
    </row>
    <row r="84" spans="1:15">
      <c r="A84" s="14" t="s">
        <v>609</v>
      </c>
      <c r="B84" s="14">
        <v>1691.850894</v>
      </c>
      <c r="C84" s="14">
        <v>2596.491615</v>
      </c>
      <c r="D84" s="14">
        <v>787.2101719</v>
      </c>
      <c r="E84" s="14">
        <v>0.303111595</v>
      </c>
      <c r="F84" s="14">
        <v>-1.722079052</v>
      </c>
      <c r="G84" s="51" t="s">
        <v>610</v>
      </c>
      <c r="H84" s="51" t="s">
        <v>611</v>
      </c>
      <c r="I84" s="14" t="s">
        <v>147</v>
      </c>
      <c r="J84" s="14">
        <v>10.92052935</v>
      </c>
      <c r="K84" s="14">
        <v>11.75132534</v>
      </c>
      <c r="L84" s="14">
        <v>10.0128615</v>
      </c>
      <c r="M84" s="14">
        <v>29.09881044</v>
      </c>
      <c r="N84" s="14">
        <v>26.06999479</v>
      </c>
      <c r="O84" s="14">
        <v>33.98229278</v>
      </c>
    </row>
    <row r="85" spans="1:15">
      <c r="A85" s="14" t="s">
        <v>612</v>
      </c>
      <c r="B85" s="14">
        <v>16.69639643</v>
      </c>
      <c r="C85" s="14">
        <v>28.7642499</v>
      </c>
      <c r="D85" s="14">
        <v>4.628542958</v>
      </c>
      <c r="E85" s="14">
        <v>0.159877371</v>
      </c>
      <c r="F85" s="14">
        <v>-2.644962341</v>
      </c>
      <c r="G85" s="14">
        <v>0.001506498</v>
      </c>
      <c r="H85" s="14">
        <v>0.005240237</v>
      </c>
      <c r="I85" s="14" t="s">
        <v>147</v>
      </c>
      <c r="J85" s="14">
        <v>0.179787125</v>
      </c>
      <c r="K85" s="14">
        <v>0.129257937</v>
      </c>
      <c r="L85" s="14">
        <v>0.049459409</v>
      </c>
      <c r="M85" s="14">
        <v>0.439499747</v>
      </c>
      <c r="N85" s="14">
        <v>0.358400655</v>
      </c>
      <c r="O85" s="14">
        <v>1.096497922</v>
      </c>
    </row>
    <row r="86" spans="1:21">
      <c r="A86" s="14" t="s">
        <v>613</v>
      </c>
      <c r="B86" s="14">
        <v>98.71801044</v>
      </c>
      <c r="C86" s="14">
        <v>30.44795759</v>
      </c>
      <c r="D86" s="14">
        <v>166.9880633</v>
      </c>
      <c r="E86" s="14">
        <v>5.469578423</v>
      </c>
      <c r="F86" s="14">
        <v>2.451429639</v>
      </c>
      <c r="G86" s="14">
        <v>0.01843887</v>
      </c>
      <c r="H86" s="14">
        <v>0.045399705</v>
      </c>
      <c r="I86" s="14" t="s">
        <v>164</v>
      </c>
      <c r="J86" s="14">
        <v>5.310120031</v>
      </c>
      <c r="K86" s="14">
        <v>1.789244485</v>
      </c>
      <c r="L86" s="14">
        <v>4.454539721</v>
      </c>
      <c r="M86" s="14">
        <v>0.116995122</v>
      </c>
      <c r="N86" s="14">
        <v>0.093535775</v>
      </c>
      <c r="O86" s="14">
        <v>1.640680279</v>
      </c>
      <c r="P86" s="14" t="s">
        <v>614</v>
      </c>
      <c r="Q86" s="14" t="s">
        <v>615</v>
      </c>
      <c r="T86" s="14" t="s">
        <v>616</v>
      </c>
      <c r="U86" s="14" t="s">
        <v>617</v>
      </c>
    </row>
    <row r="87" spans="1:15">
      <c r="A87" s="14" t="s">
        <v>618</v>
      </c>
      <c r="B87" s="14">
        <v>3561.393658</v>
      </c>
      <c r="C87" s="14">
        <v>5564.952317</v>
      </c>
      <c r="D87" s="14">
        <v>1557.834999</v>
      </c>
      <c r="E87" s="14">
        <v>0.279933975</v>
      </c>
      <c r="F87" s="14">
        <v>-1.836841502</v>
      </c>
      <c r="G87" s="51" t="s">
        <v>619</v>
      </c>
      <c r="H87" s="14">
        <v>0.000466915</v>
      </c>
      <c r="I87" s="14" t="s">
        <v>147</v>
      </c>
      <c r="J87" s="14">
        <v>56.75275512</v>
      </c>
      <c r="K87" s="14">
        <v>125.6508071</v>
      </c>
      <c r="L87" s="14">
        <v>57.59279493</v>
      </c>
      <c r="M87" s="14">
        <v>264.96946</v>
      </c>
      <c r="N87" s="14">
        <v>303.0120879</v>
      </c>
      <c r="O87" s="14">
        <v>126.7584145</v>
      </c>
    </row>
    <row r="88" spans="1:21">
      <c r="A88" s="14" t="s">
        <v>620</v>
      </c>
      <c r="B88" s="14">
        <v>472.9664206</v>
      </c>
      <c r="C88" s="14">
        <v>313.8005688</v>
      </c>
      <c r="D88" s="14">
        <v>632.1322724</v>
      </c>
      <c r="E88" s="14">
        <v>2.015654678</v>
      </c>
      <c r="F88" s="14">
        <v>1.011248498</v>
      </c>
      <c r="G88" s="14">
        <v>0.001356596</v>
      </c>
      <c r="H88" s="14">
        <v>0.004781369</v>
      </c>
      <c r="I88" s="14" t="s">
        <v>164</v>
      </c>
      <c r="J88" s="14">
        <v>20.98010348</v>
      </c>
      <c r="K88" s="14">
        <v>12.13218052</v>
      </c>
      <c r="L88" s="14">
        <v>15.17479028</v>
      </c>
      <c r="M88" s="14">
        <v>7.788603358</v>
      </c>
      <c r="N88" s="14">
        <v>6.540797573</v>
      </c>
      <c r="O88" s="14">
        <v>5.192739023</v>
      </c>
      <c r="P88" s="14" t="s">
        <v>621</v>
      </c>
      <c r="Q88" s="14" t="s">
        <v>622</v>
      </c>
      <c r="T88" s="14" t="s">
        <v>623</v>
      </c>
      <c r="U88" s="14" t="s">
        <v>624</v>
      </c>
    </row>
    <row r="89" spans="1:21">
      <c r="A89" s="14" t="s">
        <v>625</v>
      </c>
      <c r="B89" s="14">
        <v>44.48936743</v>
      </c>
      <c r="C89" s="14">
        <v>17.63046741</v>
      </c>
      <c r="D89" s="14">
        <v>71.34826745</v>
      </c>
      <c r="E89" s="14">
        <v>4.020635314</v>
      </c>
      <c r="F89" s="14">
        <v>2.007423485</v>
      </c>
      <c r="G89" s="14">
        <v>0.000141492</v>
      </c>
      <c r="H89" s="14">
        <v>0.00064609</v>
      </c>
      <c r="I89" s="14" t="s">
        <v>164</v>
      </c>
      <c r="J89" s="14">
        <v>0.680071193</v>
      </c>
      <c r="K89" s="14">
        <v>0.440043409</v>
      </c>
      <c r="L89" s="14">
        <v>0.631420231</v>
      </c>
      <c r="M89" s="14">
        <v>0.076196648</v>
      </c>
      <c r="N89" s="14">
        <v>0.079747241</v>
      </c>
      <c r="O89" s="14">
        <v>0.21009411</v>
      </c>
      <c r="P89" s="14" t="s">
        <v>626</v>
      </c>
      <c r="Q89" s="14" t="s">
        <v>627</v>
      </c>
      <c r="T89" s="14" t="s">
        <v>628</v>
      </c>
      <c r="U89" s="14" t="s">
        <v>629</v>
      </c>
    </row>
    <row r="90" spans="1:21">
      <c r="A90" s="14" t="s">
        <v>630</v>
      </c>
      <c r="B90" s="14">
        <v>1618.177159</v>
      </c>
      <c r="C90" s="14">
        <v>997.8478288</v>
      </c>
      <c r="D90" s="14">
        <v>2238.506489</v>
      </c>
      <c r="E90" s="14">
        <v>2.24447709</v>
      </c>
      <c r="F90" s="14">
        <v>1.16637937</v>
      </c>
      <c r="G90" s="51" t="s">
        <v>631</v>
      </c>
      <c r="H90" s="51" t="s">
        <v>632</v>
      </c>
      <c r="I90" s="14" t="s">
        <v>164</v>
      </c>
      <c r="J90" s="14">
        <v>19.97611865</v>
      </c>
      <c r="K90" s="14">
        <v>19.69622213</v>
      </c>
      <c r="L90" s="14">
        <v>21.78108141</v>
      </c>
      <c r="M90" s="14">
        <v>7.774483284</v>
      </c>
      <c r="N90" s="14">
        <v>7.302529654</v>
      </c>
      <c r="O90" s="14">
        <v>7.409248628</v>
      </c>
      <c r="P90" s="14" t="s">
        <v>633</v>
      </c>
      <c r="Q90" s="14" t="s">
        <v>634</v>
      </c>
      <c r="T90" s="14" t="s">
        <v>635</v>
      </c>
      <c r="U90" s="14" t="s">
        <v>636</v>
      </c>
    </row>
    <row r="91" spans="1:15">
      <c r="A91" s="14" t="s">
        <v>637</v>
      </c>
      <c r="B91" s="14">
        <v>21.50181435</v>
      </c>
      <c r="C91" s="14">
        <v>43.00362869</v>
      </c>
      <c r="D91" s="14">
        <v>0</v>
      </c>
      <c r="E91" s="14">
        <v>0.004196594</v>
      </c>
      <c r="F91" s="14">
        <v>-7.896565414</v>
      </c>
      <c r="G91" s="51" t="s">
        <v>638</v>
      </c>
      <c r="H91" s="51" t="s">
        <v>639</v>
      </c>
      <c r="I91" s="14" t="s">
        <v>147</v>
      </c>
      <c r="J91" s="14">
        <v>0</v>
      </c>
      <c r="K91" s="14">
        <v>0</v>
      </c>
      <c r="L91" s="14">
        <v>0</v>
      </c>
      <c r="M91" s="14">
        <v>5.234898606</v>
      </c>
      <c r="N91" s="14">
        <v>5.514642526</v>
      </c>
      <c r="O91" s="14">
        <v>1.807671899</v>
      </c>
    </row>
    <row r="92" spans="1:15">
      <c r="A92" s="14" t="s">
        <v>640</v>
      </c>
      <c r="B92" s="14">
        <v>10.41172227</v>
      </c>
      <c r="C92" s="14">
        <v>20.48716954</v>
      </c>
      <c r="D92" s="14">
        <v>0.336274994</v>
      </c>
      <c r="E92" s="14">
        <v>0.017177334</v>
      </c>
      <c r="F92" s="14">
        <v>-5.863350027</v>
      </c>
      <c r="G92" s="14">
        <v>0.00018626</v>
      </c>
      <c r="H92" s="14">
        <v>0.000824105</v>
      </c>
      <c r="I92" s="14" t="s">
        <v>147</v>
      </c>
      <c r="J92" s="14">
        <v>0</v>
      </c>
      <c r="K92" s="14">
        <v>0.049545049</v>
      </c>
      <c r="L92" s="14">
        <v>0</v>
      </c>
      <c r="M92" s="14">
        <v>1.389810611</v>
      </c>
      <c r="N92" s="14">
        <v>0.68688154</v>
      </c>
      <c r="O92" s="14">
        <v>0.370845656</v>
      </c>
    </row>
    <row r="93" spans="1:21">
      <c r="A93" s="14" t="s">
        <v>641</v>
      </c>
      <c r="B93" s="14">
        <v>1636.992247</v>
      </c>
      <c r="C93" s="14">
        <v>2614.981749</v>
      </c>
      <c r="D93" s="14">
        <v>659.0027452</v>
      </c>
      <c r="E93" s="14">
        <v>0.251943751</v>
      </c>
      <c r="F93" s="14">
        <v>-1.988826422</v>
      </c>
      <c r="G93" s="51" t="s">
        <v>642</v>
      </c>
      <c r="H93" s="51" t="s">
        <v>643</v>
      </c>
      <c r="I93" s="14" t="s">
        <v>147</v>
      </c>
      <c r="J93" s="14">
        <v>7.760540327</v>
      </c>
      <c r="K93" s="14">
        <v>9.270710344</v>
      </c>
      <c r="L93" s="14">
        <v>6.076074956</v>
      </c>
      <c r="M93" s="14">
        <v>24.69359405</v>
      </c>
      <c r="N93" s="14">
        <v>23.54774288</v>
      </c>
      <c r="O93" s="14">
        <v>27.5293524</v>
      </c>
      <c r="P93" s="14" t="s">
        <v>644</v>
      </c>
      <c r="Q93" s="14" t="s">
        <v>645</v>
      </c>
      <c r="T93" s="14" t="s">
        <v>646</v>
      </c>
      <c r="U93" s="14" t="s">
        <v>647</v>
      </c>
    </row>
    <row r="94" spans="1:21">
      <c r="A94" s="14" t="s">
        <v>648</v>
      </c>
      <c r="B94" s="14">
        <v>671.2592415</v>
      </c>
      <c r="C94" s="14">
        <v>202.1491909</v>
      </c>
      <c r="D94" s="14">
        <v>1140.369292</v>
      </c>
      <c r="E94" s="14">
        <v>5.636238217</v>
      </c>
      <c r="F94" s="14">
        <v>2.494732589</v>
      </c>
      <c r="G94" s="51" t="s">
        <v>649</v>
      </c>
      <c r="H94" s="51" t="s">
        <v>650</v>
      </c>
      <c r="I94" s="14" t="s">
        <v>164</v>
      </c>
      <c r="J94" s="14">
        <v>14.15601773</v>
      </c>
      <c r="K94" s="14">
        <v>12.19100148</v>
      </c>
      <c r="L94" s="14">
        <v>14.25223508</v>
      </c>
      <c r="M94" s="14">
        <v>1.688618018</v>
      </c>
      <c r="N94" s="14">
        <v>2.025035646</v>
      </c>
      <c r="O94" s="14">
        <v>2.232322815</v>
      </c>
      <c r="P94" s="14" t="s">
        <v>651</v>
      </c>
      <c r="Q94" s="14" t="s">
        <v>652</v>
      </c>
      <c r="T94" s="14" t="s">
        <v>653</v>
      </c>
      <c r="U94" s="14" t="s">
        <v>654</v>
      </c>
    </row>
    <row r="95" spans="1:21">
      <c r="A95" s="14" t="s">
        <v>655</v>
      </c>
      <c r="B95" s="14">
        <v>3864.445548</v>
      </c>
      <c r="C95" s="14">
        <v>5782.968199</v>
      </c>
      <c r="D95" s="14">
        <v>1945.922896</v>
      </c>
      <c r="E95" s="14">
        <v>0.336526242</v>
      </c>
      <c r="F95" s="14">
        <v>-1.571209084</v>
      </c>
      <c r="G95" s="51" t="s">
        <v>656</v>
      </c>
      <c r="H95" s="51" t="s">
        <v>657</v>
      </c>
      <c r="I95" s="14" t="s">
        <v>147</v>
      </c>
      <c r="J95" s="14">
        <v>22.38254791</v>
      </c>
      <c r="K95" s="14">
        <v>18.10741401</v>
      </c>
      <c r="L95" s="14">
        <v>32.44533937</v>
      </c>
      <c r="M95" s="14">
        <v>56.98666036</v>
      </c>
      <c r="N95" s="14">
        <v>62.34909839</v>
      </c>
      <c r="O95" s="14">
        <v>58.23370221</v>
      </c>
      <c r="P95" s="14" t="s">
        <v>658</v>
      </c>
      <c r="Q95" s="14" t="s">
        <v>659</v>
      </c>
      <c r="T95" s="14" t="s">
        <v>660</v>
      </c>
      <c r="U95" s="14" t="s">
        <v>661</v>
      </c>
    </row>
    <row r="96" spans="1:15">
      <c r="A96" s="14" t="s">
        <v>662</v>
      </c>
      <c r="B96" s="14">
        <v>4173.54544</v>
      </c>
      <c r="C96" s="14">
        <v>2752.050547</v>
      </c>
      <c r="D96" s="14">
        <v>5595.040333</v>
      </c>
      <c r="E96" s="14">
        <v>2.03290983</v>
      </c>
      <c r="F96" s="14">
        <v>1.023546225</v>
      </c>
      <c r="G96" s="51" t="s">
        <v>663</v>
      </c>
      <c r="H96" s="51" t="s">
        <v>664</v>
      </c>
      <c r="I96" s="14" t="s">
        <v>164</v>
      </c>
      <c r="J96" s="14">
        <v>76.87030902</v>
      </c>
      <c r="K96" s="14">
        <v>68.11262361</v>
      </c>
      <c r="L96" s="14">
        <v>70.03157933</v>
      </c>
      <c r="M96" s="14">
        <v>27.03315852</v>
      </c>
      <c r="N96" s="14">
        <v>28.24739283</v>
      </c>
      <c r="O96" s="14">
        <v>32.0147191</v>
      </c>
    </row>
    <row r="97" spans="1:21">
      <c r="A97" s="14" t="s">
        <v>665</v>
      </c>
      <c r="B97" s="14">
        <v>211.5299439</v>
      </c>
      <c r="C97" s="14">
        <v>71.86266833</v>
      </c>
      <c r="D97" s="14">
        <v>351.1972195</v>
      </c>
      <c r="E97" s="14">
        <v>4.873032316</v>
      </c>
      <c r="F97" s="14">
        <v>2.28481979</v>
      </c>
      <c r="G97" s="51" t="s">
        <v>666</v>
      </c>
      <c r="H97" s="51" t="s">
        <v>667</v>
      </c>
      <c r="I97" s="14" t="s">
        <v>164</v>
      </c>
      <c r="J97" s="14">
        <v>2.656108169</v>
      </c>
      <c r="K97" s="14">
        <v>2.058938312</v>
      </c>
      <c r="L97" s="14">
        <v>1.975646719</v>
      </c>
      <c r="M97" s="14">
        <v>0.26387453</v>
      </c>
      <c r="N97" s="14">
        <v>0.273822104</v>
      </c>
      <c r="O97" s="14">
        <v>0.61644773</v>
      </c>
      <c r="P97" s="14" t="s">
        <v>668</v>
      </c>
      <c r="Q97" s="14" t="s">
        <v>669</v>
      </c>
      <c r="T97" s="14" t="s">
        <v>670</v>
      </c>
      <c r="U97" s="14" t="s">
        <v>671</v>
      </c>
    </row>
    <row r="98" spans="1:21">
      <c r="A98" s="14" t="s">
        <v>672</v>
      </c>
      <c r="B98" s="14">
        <v>1144.793948</v>
      </c>
      <c r="C98" s="14">
        <v>1557.020241</v>
      </c>
      <c r="D98" s="14">
        <v>732.5676547</v>
      </c>
      <c r="E98" s="14">
        <v>0.470505772</v>
      </c>
      <c r="F98" s="14">
        <v>-1.087715673</v>
      </c>
      <c r="G98" s="51" t="s">
        <v>673</v>
      </c>
      <c r="H98" s="51" t="s">
        <v>674</v>
      </c>
      <c r="I98" s="14" t="s">
        <v>147</v>
      </c>
      <c r="J98" s="14">
        <v>11.22825129</v>
      </c>
      <c r="K98" s="14">
        <v>11.31626676</v>
      </c>
      <c r="L98" s="14">
        <v>9.827008699</v>
      </c>
      <c r="M98" s="14">
        <v>19.68838454</v>
      </c>
      <c r="N98" s="14">
        <v>18.36131899</v>
      </c>
      <c r="O98" s="14">
        <v>18.48054032</v>
      </c>
      <c r="P98" s="14" t="s">
        <v>675</v>
      </c>
      <c r="Q98" s="14" t="s">
        <v>676</v>
      </c>
      <c r="T98" s="14" t="s">
        <v>677</v>
      </c>
      <c r="U98" s="14" t="s">
        <v>678</v>
      </c>
    </row>
    <row r="99" spans="1:21">
      <c r="A99" s="14" t="s">
        <v>679</v>
      </c>
      <c r="B99" s="14">
        <v>162.7601665</v>
      </c>
      <c r="C99" s="14">
        <v>251.5756283</v>
      </c>
      <c r="D99" s="14">
        <v>73.94470463</v>
      </c>
      <c r="E99" s="14">
        <v>0.294052121</v>
      </c>
      <c r="F99" s="14">
        <v>-1.765856197</v>
      </c>
      <c r="G99" s="51" t="s">
        <v>680</v>
      </c>
      <c r="H99" s="51" t="s">
        <v>681</v>
      </c>
      <c r="I99" s="14" t="s">
        <v>147</v>
      </c>
      <c r="J99" s="14">
        <v>0.61189454</v>
      </c>
      <c r="K99" s="14">
        <v>0.88410035</v>
      </c>
      <c r="L99" s="14">
        <v>0.712696347</v>
      </c>
      <c r="M99" s="14">
        <v>2.339013582</v>
      </c>
      <c r="N99" s="14">
        <v>2.227803638</v>
      </c>
      <c r="O99" s="14">
        <v>1.553172983</v>
      </c>
      <c r="P99" s="14" t="s">
        <v>682</v>
      </c>
      <c r="Q99" s="14" t="s">
        <v>683</v>
      </c>
      <c r="T99" s="14" t="s">
        <v>684</v>
      </c>
      <c r="U99" s="14" t="s">
        <v>685</v>
      </c>
    </row>
    <row r="100" spans="1:21">
      <c r="A100" s="14" t="s">
        <v>686</v>
      </c>
      <c r="B100" s="14">
        <v>1924.062946</v>
      </c>
      <c r="C100" s="14">
        <v>2785.822691</v>
      </c>
      <c r="D100" s="14">
        <v>1062.303201</v>
      </c>
      <c r="E100" s="14">
        <v>0.38135697</v>
      </c>
      <c r="F100" s="14">
        <v>-1.390786027</v>
      </c>
      <c r="G100" s="51" t="s">
        <v>687</v>
      </c>
      <c r="H100" s="51" t="s">
        <v>688</v>
      </c>
      <c r="I100" s="14" t="s">
        <v>147</v>
      </c>
      <c r="J100" s="14">
        <v>16.81886412</v>
      </c>
      <c r="K100" s="14">
        <v>18.09894887</v>
      </c>
      <c r="L100" s="14">
        <v>16.30138067</v>
      </c>
      <c r="M100" s="14">
        <v>40.29509225</v>
      </c>
      <c r="N100" s="14">
        <v>37.5471092</v>
      </c>
      <c r="O100" s="14">
        <v>32.01120285</v>
      </c>
      <c r="P100" s="14" t="s">
        <v>689</v>
      </c>
      <c r="Q100" s="14" t="s">
        <v>690</v>
      </c>
      <c r="T100" s="14" t="s">
        <v>691</v>
      </c>
      <c r="U100" s="14" t="s">
        <v>692</v>
      </c>
    </row>
    <row r="101" spans="1:21">
      <c r="A101" s="14" t="s">
        <v>693</v>
      </c>
      <c r="B101" s="14">
        <v>971.2573183</v>
      </c>
      <c r="C101" s="14">
        <v>437.7434928</v>
      </c>
      <c r="D101" s="14">
        <v>1504.771144</v>
      </c>
      <c r="E101" s="14">
        <v>3.437794661</v>
      </c>
      <c r="F101" s="14">
        <v>1.781483375</v>
      </c>
      <c r="G101" s="51" t="s">
        <v>694</v>
      </c>
      <c r="H101" s="51" t="s">
        <v>695</v>
      </c>
      <c r="I101" s="14" t="s">
        <v>164</v>
      </c>
      <c r="J101" s="14">
        <v>13.27734604</v>
      </c>
      <c r="K101" s="14">
        <v>6.362900746</v>
      </c>
      <c r="L101" s="14">
        <v>9.874646674</v>
      </c>
      <c r="M101" s="14">
        <v>2.408192839</v>
      </c>
      <c r="N101" s="14">
        <v>2.081993221</v>
      </c>
      <c r="O101" s="14">
        <v>2.583624453</v>
      </c>
      <c r="P101" s="14" t="s">
        <v>696</v>
      </c>
      <c r="Q101" s="14" t="s">
        <v>697</v>
      </c>
      <c r="T101" s="14" t="s">
        <v>698</v>
      </c>
      <c r="U101" s="14" t="s">
        <v>699</v>
      </c>
    </row>
    <row r="102" spans="1:21">
      <c r="A102" s="14" t="s">
        <v>700</v>
      </c>
      <c r="B102" s="14">
        <v>1010.417375</v>
      </c>
      <c r="C102" s="14">
        <v>1369.713899</v>
      </c>
      <c r="D102" s="14">
        <v>651.1208512</v>
      </c>
      <c r="E102" s="14">
        <v>0.475412852</v>
      </c>
      <c r="F102" s="14">
        <v>-1.07274719</v>
      </c>
      <c r="G102" s="14">
        <v>0.011723558</v>
      </c>
      <c r="H102" s="14">
        <v>0.030947204</v>
      </c>
      <c r="I102" s="14" t="s">
        <v>147</v>
      </c>
      <c r="J102" s="14">
        <v>9.509488726</v>
      </c>
      <c r="K102" s="14">
        <v>13.69245528</v>
      </c>
      <c r="L102" s="14">
        <v>8.904920629</v>
      </c>
      <c r="M102" s="14">
        <v>25.7625232</v>
      </c>
      <c r="N102" s="14">
        <v>18.97220418</v>
      </c>
      <c r="O102" s="14">
        <v>9.776394659</v>
      </c>
      <c r="P102" s="14" t="s">
        <v>701</v>
      </c>
      <c r="Q102" s="14" t="s">
        <v>702</v>
      </c>
      <c r="R102" s="14" t="s">
        <v>341</v>
      </c>
      <c r="S102" s="14" t="s">
        <v>342</v>
      </c>
      <c r="T102" s="14" t="s">
        <v>703</v>
      </c>
      <c r="U102" s="14" t="s">
        <v>704</v>
      </c>
    </row>
    <row r="103" spans="1:21">
      <c r="A103" s="14" t="s">
        <v>705</v>
      </c>
      <c r="B103" s="14">
        <v>314.1399429</v>
      </c>
      <c r="C103" s="14">
        <v>458.72059</v>
      </c>
      <c r="D103" s="14">
        <v>169.5592958</v>
      </c>
      <c r="E103" s="14">
        <v>0.369726036</v>
      </c>
      <c r="F103" s="14">
        <v>-1.435471452</v>
      </c>
      <c r="G103" s="14">
        <v>0.000435408</v>
      </c>
      <c r="H103" s="14">
        <v>0.00176031</v>
      </c>
      <c r="I103" s="14" t="s">
        <v>147</v>
      </c>
      <c r="J103" s="14">
        <v>1.464999177</v>
      </c>
      <c r="K103" s="14">
        <v>1.852659131</v>
      </c>
      <c r="L103" s="14">
        <v>1.50099502</v>
      </c>
      <c r="M103" s="14">
        <v>4.041558353</v>
      </c>
      <c r="N103" s="14">
        <v>4.555746916</v>
      </c>
      <c r="O103" s="14">
        <v>1.94172099</v>
      </c>
      <c r="P103" s="14" t="s">
        <v>706</v>
      </c>
      <c r="Q103" s="14" t="s">
        <v>707</v>
      </c>
      <c r="T103" s="14" t="s">
        <v>708</v>
      </c>
      <c r="U103" s="14" t="s">
        <v>709</v>
      </c>
    </row>
    <row r="104" spans="1:15">
      <c r="A104" s="14" t="s">
        <v>710</v>
      </c>
      <c r="B104" s="14">
        <v>26.70166078</v>
      </c>
      <c r="C104" s="14">
        <v>42.87162938</v>
      </c>
      <c r="D104" s="14">
        <v>10.53169218</v>
      </c>
      <c r="E104" s="14">
        <v>0.246864554</v>
      </c>
      <c r="F104" s="14">
        <v>-2.018208393</v>
      </c>
      <c r="G104" s="14">
        <v>0.006163613</v>
      </c>
      <c r="H104" s="14">
        <v>0.017757147</v>
      </c>
      <c r="I104" s="14" t="s">
        <v>147</v>
      </c>
      <c r="J104" s="14">
        <v>0.15604111</v>
      </c>
      <c r="K104" s="14">
        <v>0.157060038</v>
      </c>
      <c r="L104" s="14">
        <v>0.691122836</v>
      </c>
      <c r="M104" s="14">
        <v>1.068063574</v>
      </c>
      <c r="N104" s="14">
        <v>1.024680199</v>
      </c>
      <c r="O104" s="14">
        <v>1.253970597</v>
      </c>
    </row>
    <row r="105" spans="1:21">
      <c r="A105" s="14" t="s">
        <v>711</v>
      </c>
      <c r="B105" s="14">
        <v>91.58560756</v>
      </c>
      <c r="C105" s="14">
        <v>43.39158956</v>
      </c>
      <c r="D105" s="14">
        <v>139.7796255</v>
      </c>
      <c r="E105" s="14">
        <v>3.207824473</v>
      </c>
      <c r="F105" s="14">
        <v>1.681595202</v>
      </c>
      <c r="G105" s="51" t="s">
        <v>712</v>
      </c>
      <c r="H105" s="51" t="s">
        <v>713</v>
      </c>
      <c r="I105" s="14" t="s">
        <v>164</v>
      </c>
      <c r="J105" s="14">
        <v>0.826274829</v>
      </c>
      <c r="K105" s="14">
        <v>0.759871422</v>
      </c>
      <c r="L105" s="14">
        <v>0.932944284</v>
      </c>
      <c r="M105" s="14">
        <v>0.137322459</v>
      </c>
      <c r="N105" s="14">
        <v>0.190297751</v>
      </c>
      <c r="O105" s="14">
        <v>0.328420871</v>
      </c>
      <c r="P105" s="14" t="s">
        <v>714</v>
      </c>
      <c r="Q105" s="14" t="s">
        <v>715</v>
      </c>
      <c r="T105" s="14" t="s">
        <v>716</v>
      </c>
      <c r="U105" s="14" t="s">
        <v>717</v>
      </c>
    </row>
    <row r="106" spans="1:21">
      <c r="A106" s="14" t="s">
        <v>718</v>
      </c>
      <c r="B106" s="14">
        <v>103.0309827</v>
      </c>
      <c r="C106" s="14">
        <v>192.9016417</v>
      </c>
      <c r="D106" s="14">
        <v>13.16032365</v>
      </c>
      <c r="E106" s="14">
        <v>0.06843254</v>
      </c>
      <c r="F106" s="14">
        <v>-3.869173697</v>
      </c>
      <c r="G106" s="51" t="s">
        <v>719</v>
      </c>
      <c r="H106" s="51" t="s">
        <v>720</v>
      </c>
      <c r="I106" s="14" t="s">
        <v>147</v>
      </c>
      <c r="J106" s="14">
        <v>0.064150234</v>
      </c>
      <c r="K106" s="14">
        <v>0.258276507</v>
      </c>
      <c r="L106" s="14">
        <v>0.535314145</v>
      </c>
      <c r="M106" s="14">
        <v>4.281154824</v>
      </c>
      <c r="N106" s="14">
        <v>4.19502176</v>
      </c>
      <c r="O106" s="14">
        <v>1.575203805</v>
      </c>
      <c r="P106" s="14" t="s">
        <v>721</v>
      </c>
      <c r="Q106" s="14" t="s">
        <v>722</v>
      </c>
      <c r="T106" s="14" t="s">
        <v>723</v>
      </c>
      <c r="U106" s="14" t="s">
        <v>724</v>
      </c>
    </row>
    <row r="107" spans="1:21">
      <c r="A107" s="14" t="s">
        <v>725</v>
      </c>
      <c r="B107" s="14">
        <v>1444.028053</v>
      </c>
      <c r="C107" s="14">
        <v>537.2485508</v>
      </c>
      <c r="D107" s="14">
        <v>2350.807554</v>
      </c>
      <c r="E107" s="14">
        <v>4.377884674</v>
      </c>
      <c r="F107" s="14">
        <v>2.13023395</v>
      </c>
      <c r="G107" s="51" t="s">
        <v>726</v>
      </c>
      <c r="H107" s="51" t="s">
        <v>727</v>
      </c>
      <c r="I107" s="14" t="s">
        <v>164</v>
      </c>
      <c r="J107" s="14">
        <v>22.07238878</v>
      </c>
      <c r="K107" s="14">
        <v>19.9323117</v>
      </c>
      <c r="L107" s="14">
        <v>25.11480901</v>
      </c>
      <c r="M107" s="14">
        <v>4.133112067</v>
      </c>
      <c r="N107" s="14">
        <v>4.676343783</v>
      </c>
      <c r="O107" s="14">
        <v>3.736346641</v>
      </c>
      <c r="P107" s="14" t="s">
        <v>728</v>
      </c>
      <c r="Q107" s="14" t="s">
        <v>729</v>
      </c>
      <c r="T107" s="14" t="s">
        <v>730</v>
      </c>
      <c r="U107" s="14" t="s">
        <v>731</v>
      </c>
    </row>
    <row r="108" spans="1:21">
      <c r="A108" s="14" t="s">
        <v>732</v>
      </c>
      <c r="B108" s="14">
        <v>1129.908384</v>
      </c>
      <c r="C108" s="14">
        <v>42.05351217</v>
      </c>
      <c r="D108" s="14">
        <v>2217.763256</v>
      </c>
      <c r="E108" s="14">
        <v>52.7031763</v>
      </c>
      <c r="F108" s="14">
        <v>5.719818007</v>
      </c>
      <c r="G108" s="51" t="s">
        <v>733</v>
      </c>
      <c r="H108" s="51" t="s">
        <v>734</v>
      </c>
      <c r="I108" s="14" t="s">
        <v>164</v>
      </c>
      <c r="J108" s="14">
        <v>41.14945922</v>
      </c>
      <c r="K108" s="14">
        <v>31.08709955</v>
      </c>
      <c r="L108" s="14">
        <v>32.19371782</v>
      </c>
      <c r="M108" s="14">
        <v>0.172975952</v>
      </c>
      <c r="N108" s="14">
        <v>1.033995474</v>
      </c>
      <c r="O108" s="14">
        <v>0.416582825</v>
      </c>
      <c r="P108" s="14" t="s">
        <v>735</v>
      </c>
      <c r="Q108" s="14" t="s">
        <v>736</v>
      </c>
      <c r="R108" s="14" t="s">
        <v>737</v>
      </c>
      <c r="S108" s="14" t="s">
        <v>738</v>
      </c>
      <c r="T108" s="14" t="s">
        <v>739</v>
      </c>
      <c r="U108" s="14" t="s">
        <v>740</v>
      </c>
    </row>
    <row r="109" spans="1:21">
      <c r="A109" s="14" t="s">
        <v>741</v>
      </c>
      <c r="B109" s="14">
        <v>32.31491654</v>
      </c>
      <c r="C109" s="14">
        <v>1.990046901</v>
      </c>
      <c r="D109" s="14">
        <v>62.63978619</v>
      </c>
      <c r="E109" s="14">
        <v>31.38858562</v>
      </c>
      <c r="F109" s="14">
        <v>4.972168117</v>
      </c>
      <c r="G109" s="14">
        <v>0.001087315</v>
      </c>
      <c r="H109" s="14">
        <v>0.003951109</v>
      </c>
      <c r="I109" s="14" t="s">
        <v>164</v>
      </c>
      <c r="J109" s="14">
        <v>5.748098839</v>
      </c>
      <c r="K109" s="14">
        <v>0.193931838</v>
      </c>
      <c r="L109" s="14">
        <v>0.123677178</v>
      </c>
      <c r="M109" s="14">
        <v>0.0549502</v>
      </c>
      <c r="N109" s="14">
        <v>0.026359097</v>
      </c>
      <c r="O109" s="14">
        <v>0.080643532</v>
      </c>
      <c r="P109" s="14" t="s">
        <v>742</v>
      </c>
      <c r="Q109" s="14" t="s">
        <v>743</v>
      </c>
      <c r="T109" s="14" t="s">
        <v>744</v>
      </c>
      <c r="U109" s="14" t="s">
        <v>745</v>
      </c>
    </row>
    <row r="110" spans="1:15">
      <c r="A110" s="14" t="s">
        <v>746</v>
      </c>
      <c r="B110" s="14">
        <v>55767.3395</v>
      </c>
      <c r="C110" s="14">
        <v>1161.39621</v>
      </c>
      <c r="D110" s="14">
        <v>110373.2828</v>
      </c>
      <c r="E110" s="14">
        <v>95.04576055</v>
      </c>
      <c r="F110" s="14">
        <v>6.570550373</v>
      </c>
      <c r="G110" s="51" t="s">
        <v>747</v>
      </c>
      <c r="H110" s="51" t="s">
        <v>748</v>
      </c>
      <c r="I110" s="14" t="s">
        <v>164</v>
      </c>
      <c r="J110" s="14">
        <v>4425.673713</v>
      </c>
      <c r="K110" s="14">
        <v>2206.6989</v>
      </c>
      <c r="L110" s="14">
        <v>5042.248294</v>
      </c>
      <c r="M110" s="14">
        <v>40.51127564</v>
      </c>
      <c r="N110" s="14">
        <v>44.35269027</v>
      </c>
      <c r="O110" s="14">
        <v>13.49357431</v>
      </c>
    </row>
    <row r="111" spans="1:21">
      <c r="A111" s="14" t="s">
        <v>749</v>
      </c>
      <c r="B111" s="14">
        <v>557.3635753</v>
      </c>
      <c r="C111" s="14">
        <v>370.3855945</v>
      </c>
      <c r="D111" s="14">
        <v>744.3415562</v>
      </c>
      <c r="E111" s="14">
        <v>2.010066485</v>
      </c>
      <c r="F111" s="14">
        <v>1.007243221</v>
      </c>
      <c r="G111" s="51" t="s">
        <v>750</v>
      </c>
      <c r="H111" s="51" t="s">
        <v>751</v>
      </c>
      <c r="I111" s="14" t="s">
        <v>164</v>
      </c>
      <c r="J111" s="14">
        <v>8.198399911</v>
      </c>
      <c r="K111" s="14">
        <v>8.125144108</v>
      </c>
      <c r="L111" s="14">
        <v>7.327814259</v>
      </c>
      <c r="M111" s="14">
        <v>3.008783635</v>
      </c>
      <c r="N111" s="14">
        <v>3.481118095</v>
      </c>
      <c r="O111" s="14">
        <v>3.189787706</v>
      </c>
      <c r="P111" s="14" t="s">
        <v>752</v>
      </c>
      <c r="Q111" s="14" t="s">
        <v>753</v>
      </c>
      <c r="R111" s="14" t="s">
        <v>754</v>
      </c>
      <c r="S111" s="14" t="s">
        <v>755</v>
      </c>
      <c r="T111" s="14" t="s">
        <v>756</v>
      </c>
      <c r="U111" s="14" t="s">
        <v>757</v>
      </c>
    </row>
    <row r="112" spans="1:21">
      <c r="A112" s="14" t="s">
        <v>758</v>
      </c>
      <c r="B112" s="14">
        <v>562.5215974</v>
      </c>
      <c r="C112" s="14">
        <v>372.6339543</v>
      </c>
      <c r="D112" s="14">
        <v>752.4092405</v>
      </c>
      <c r="E112" s="14">
        <v>2.01805744</v>
      </c>
      <c r="F112" s="14">
        <v>1.012967239</v>
      </c>
      <c r="G112" s="14">
        <v>0.001593831</v>
      </c>
      <c r="H112" s="14">
        <v>0.005509589</v>
      </c>
      <c r="I112" s="14" t="s">
        <v>164</v>
      </c>
      <c r="J112" s="14">
        <v>88.68128354</v>
      </c>
      <c r="K112" s="14">
        <v>69.52803564</v>
      </c>
      <c r="L112" s="14">
        <v>75.70165572</v>
      </c>
      <c r="M112" s="14">
        <v>27.13593519</v>
      </c>
      <c r="N112" s="14">
        <v>20.72586483</v>
      </c>
      <c r="O112" s="14">
        <v>49.31819914</v>
      </c>
      <c r="P112" s="14" t="s">
        <v>759</v>
      </c>
      <c r="Q112" s="14" t="s">
        <v>760</v>
      </c>
      <c r="T112" s="14" t="s">
        <v>761</v>
      </c>
      <c r="U112" s="14" t="s">
        <v>762</v>
      </c>
    </row>
    <row r="113" spans="1:15">
      <c r="A113" s="14" t="s">
        <v>763</v>
      </c>
      <c r="B113" s="14">
        <v>1901.687024</v>
      </c>
      <c r="C113" s="14">
        <v>1233.073546</v>
      </c>
      <c r="D113" s="14">
        <v>2570.300501</v>
      </c>
      <c r="E113" s="14">
        <v>2.084547289</v>
      </c>
      <c r="F113" s="14">
        <v>1.059734101</v>
      </c>
      <c r="G113" s="51" t="s">
        <v>764</v>
      </c>
      <c r="H113" s="51" t="s">
        <v>765</v>
      </c>
      <c r="I113" s="14" t="s">
        <v>164</v>
      </c>
      <c r="J113" s="14">
        <v>42.24828688</v>
      </c>
      <c r="K113" s="14">
        <v>33.28315582</v>
      </c>
      <c r="L113" s="14">
        <v>44.73472748</v>
      </c>
      <c r="M113" s="14">
        <v>14.19228128</v>
      </c>
      <c r="N113" s="14">
        <v>16.59228817</v>
      </c>
      <c r="O113" s="14">
        <v>16.71425508</v>
      </c>
    </row>
    <row r="114" spans="1:21">
      <c r="A114" s="14" t="s">
        <v>766</v>
      </c>
      <c r="B114" s="14">
        <v>2441.790121</v>
      </c>
      <c r="C114" s="14">
        <v>1116.531095</v>
      </c>
      <c r="D114" s="14">
        <v>3767.049147</v>
      </c>
      <c r="E114" s="14">
        <v>3.374343659</v>
      </c>
      <c r="F114" s="14">
        <v>1.754606912</v>
      </c>
      <c r="G114" s="51" t="s">
        <v>767</v>
      </c>
      <c r="H114" s="51" t="s">
        <v>768</v>
      </c>
      <c r="I114" s="14" t="s">
        <v>164</v>
      </c>
      <c r="J114" s="14">
        <v>34.3907086</v>
      </c>
      <c r="K114" s="14">
        <v>28.08803688</v>
      </c>
      <c r="L114" s="14">
        <v>22.0468064</v>
      </c>
      <c r="M114" s="14">
        <v>6.919679345</v>
      </c>
      <c r="N114" s="14">
        <v>8.191680339</v>
      </c>
      <c r="O114" s="14">
        <v>5.347756533</v>
      </c>
      <c r="P114" s="14" t="s">
        <v>769</v>
      </c>
      <c r="Q114" s="14" t="s">
        <v>770</v>
      </c>
      <c r="R114" s="14" t="s">
        <v>771</v>
      </c>
      <c r="S114" s="14" t="s">
        <v>772</v>
      </c>
      <c r="T114" s="14" t="s">
        <v>773</v>
      </c>
      <c r="U114" s="14" t="s">
        <v>774</v>
      </c>
    </row>
    <row r="115" spans="1:21">
      <c r="A115" s="14" t="s">
        <v>775</v>
      </c>
      <c r="B115" s="14">
        <v>229.9316567</v>
      </c>
      <c r="C115" s="14">
        <v>38.85930355</v>
      </c>
      <c r="D115" s="14">
        <v>421.0040099</v>
      </c>
      <c r="E115" s="14">
        <v>10.8486834</v>
      </c>
      <c r="F115" s="14">
        <v>3.439448063</v>
      </c>
      <c r="G115" s="51" t="s">
        <v>776</v>
      </c>
      <c r="H115" s="51" t="s">
        <v>777</v>
      </c>
      <c r="I115" s="14" t="s">
        <v>164</v>
      </c>
      <c r="J115" s="14">
        <v>24.50100469</v>
      </c>
      <c r="K115" s="14">
        <v>12.22687891</v>
      </c>
      <c r="L115" s="14">
        <v>15.78005021</v>
      </c>
      <c r="M115" s="14">
        <v>1.127418072</v>
      </c>
      <c r="N115" s="14">
        <v>2.535055767</v>
      </c>
      <c r="O115" s="14">
        <v>0.206821302</v>
      </c>
      <c r="Q115" s="14" t="s">
        <v>778</v>
      </c>
      <c r="T115" s="14" t="s">
        <v>779</v>
      </c>
      <c r="U115" s="14" t="s">
        <v>780</v>
      </c>
    </row>
    <row r="116" spans="1:21">
      <c r="A116" s="14" t="s">
        <v>781</v>
      </c>
      <c r="B116" s="14">
        <v>81.77469529</v>
      </c>
      <c r="C116" s="14">
        <v>45.76486295</v>
      </c>
      <c r="D116" s="14">
        <v>117.7845276</v>
      </c>
      <c r="E116" s="14">
        <v>2.578357239</v>
      </c>
      <c r="F116" s="14">
        <v>1.366452167</v>
      </c>
      <c r="G116" s="51" t="s">
        <v>782</v>
      </c>
      <c r="H116" s="51" t="s">
        <v>783</v>
      </c>
      <c r="I116" s="14" t="s">
        <v>164</v>
      </c>
      <c r="J116" s="14">
        <v>1.806381387</v>
      </c>
      <c r="K116" s="14">
        <v>1.484844404</v>
      </c>
      <c r="L116" s="14">
        <v>2.087127962</v>
      </c>
      <c r="M116" s="14">
        <v>0.566694459</v>
      </c>
      <c r="N116" s="14">
        <v>0.580744878</v>
      </c>
      <c r="O116" s="14">
        <v>0.567045368</v>
      </c>
      <c r="P116" s="14" t="s">
        <v>784</v>
      </c>
      <c r="Q116" s="14" t="s">
        <v>785</v>
      </c>
      <c r="T116" s="14" t="s">
        <v>786</v>
      </c>
      <c r="U116" s="14" t="s">
        <v>787</v>
      </c>
    </row>
    <row r="117" spans="1:21">
      <c r="A117" s="14" t="s">
        <v>788</v>
      </c>
      <c r="B117" s="14">
        <v>1484.88571</v>
      </c>
      <c r="C117" s="14">
        <v>171.8721754</v>
      </c>
      <c r="D117" s="14">
        <v>2797.899244</v>
      </c>
      <c r="E117" s="14">
        <v>16.27755638</v>
      </c>
      <c r="F117" s="14">
        <v>4.02481223</v>
      </c>
      <c r="G117" s="51" t="s">
        <v>789</v>
      </c>
      <c r="H117" s="51" t="s">
        <v>790</v>
      </c>
      <c r="I117" s="14" t="s">
        <v>164</v>
      </c>
      <c r="J117" s="14">
        <v>38.5570798</v>
      </c>
      <c r="K117" s="14">
        <v>27.33800678</v>
      </c>
      <c r="L117" s="14">
        <v>40.6292694</v>
      </c>
      <c r="M117" s="14">
        <v>1.095345632</v>
      </c>
      <c r="N117" s="14">
        <v>2.73016015</v>
      </c>
      <c r="O117" s="14">
        <v>1.53395588</v>
      </c>
      <c r="P117" s="14" t="s">
        <v>791</v>
      </c>
      <c r="Q117" s="14" t="s">
        <v>792</v>
      </c>
      <c r="T117" s="14" t="s">
        <v>793</v>
      </c>
      <c r="U117" s="14" t="s">
        <v>794</v>
      </c>
    </row>
    <row r="118" spans="1:21">
      <c r="A118" s="14" t="s">
        <v>795</v>
      </c>
      <c r="B118" s="14">
        <v>125.3142057</v>
      </c>
      <c r="C118" s="14">
        <v>178.773822</v>
      </c>
      <c r="D118" s="14">
        <v>71.85458939</v>
      </c>
      <c r="E118" s="14">
        <v>0.401407921</v>
      </c>
      <c r="F118" s="14">
        <v>-1.316859009</v>
      </c>
      <c r="G118" s="14">
        <v>0.000436434</v>
      </c>
      <c r="H118" s="14">
        <v>0.001763912</v>
      </c>
      <c r="I118" s="14" t="s">
        <v>147</v>
      </c>
      <c r="J118" s="14">
        <v>0.973262638</v>
      </c>
      <c r="K118" s="14">
        <v>0.656444996</v>
      </c>
      <c r="L118" s="14">
        <v>0.550670174</v>
      </c>
      <c r="M118" s="14">
        <v>1.253369897</v>
      </c>
      <c r="N118" s="14">
        <v>1.144807443</v>
      </c>
      <c r="O118" s="14">
        <v>2.141783595</v>
      </c>
      <c r="P118" s="14" t="s">
        <v>796</v>
      </c>
      <c r="Q118" s="14" t="s">
        <v>797</v>
      </c>
      <c r="R118" s="14" t="s">
        <v>798</v>
      </c>
      <c r="S118" s="14" t="s">
        <v>799</v>
      </c>
      <c r="T118" s="14" t="s">
        <v>800</v>
      </c>
      <c r="U118" s="14" t="s">
        <v>801</v>
      </c>
    </row>
    <row r="119" spans="1:21">
      <c r="A119" s="14" t="s">
        <v>802</v>
      </c>
      <c r="B119" s="14">
        <v>591.3579252</v>
      </c>
      <c r="C119" s="14">
        <v>834.4526683</v>
      </c>
      <c r="D119" s="14">
        <v>348.2631822</v>
      </c>
      <c r="E119" s="14">
        <v>0.417361397</v>
      </c>
      <c r="F119" s="14">
        <v>-1.260630927</v>
      </c>
      <c r="G119" s="14">
        <v>0.002492387</v>
      </c>
      <c r="H119" s="14">
        <v>0.008098014</v>
      </c>
      <c r="I119" s="14" t="s">
        <v>147</v>
      </c>
      <c r="J119" s="14">
        <v>3.627920852</v>
      </c>
      <c r="K119" s="14">
        <v>6.95611012</v>
      </c>
      <c r="L119" s="14">
        <v>3.931444482</v>
      </c>
      <c r="M119" s="14">
        <v>10.10285002</v>
      </c>
      <c r="N119" s="14">
        <v>12.22883646</v>
      </c>
      <c r="O119" s="14">
        <v>5.923747112</v>
      </c>
      <c r="P119" s="14" t="s">
        <v>803</v>
      </c>
      <c r="Q119" s="14" t="s">
        <v>804</v>
      </c>
      <c r="T119" s="14" t="s">
        <v>805</v>
      </c>
      <c r="U119" s="14" t="s">
        <v>806</v>
      </c>
    </row>
    <row r="120" spans="1:21">
      <c r="A120" s="14" t="s">
        <v>807</v>
      </c>
      <c r="B120" s="14">
        <v>8924.48012</v>
      </c>
      <c r="C120" s="14">
        <v>12841.01594</v>
      </c>
      <c r="D120" s="14">
        <v>5007.944301</v>
      </c>
      <c r="E120" s="14">
        <v>0.39001299</v>
      </c>
      <c r="F120" s="14">
        <v>-1.358405921</v>
      </c>
      <c r="G120" s="51" t="s">
        <v>808</v>
      </c>
      <c r="H120" s="51" t="s">
        <v>809</v>
      </c>
      <c r="I120" s="14" t="s">
        <v>147</v>
      </c>
      <c r="J120" s="14">
        <v>44.59016897</v>
      </c>
      <c r="K120" s="14">
        <v>41.01937447</v>
      </c>
      <c r="L120" s="14">
        <v>44.03616892</v>
      </c>
      <c r="M120" s="14">
        <v>92.97231579</v>
      </c>
      <c r="N120" s="14">
        <v>92.25420485</v>
      </c>
      <c r="O120" s="14">
        <v>87.50031276</v>
      </c>
      <c r="Q120" s="14" t="s">
        <v>810</v>
      </c>
      <c r="R120" s="14" t="s">
        <v>811</v>
      </c>
      <c r="S120" s="14" t="s">
        <v>812</v>
      </c>
      <c r="T120" s="14" t="s">
        <v>813</v>
      </c>
      <c r="U120" s="14" t="s">
        <v>814</v>
      </c>
    </row>
    <row r="121" spans="1:21">
      <c r="A121" s="14" t="s">
        <v>815</v>
      </c>
      <c r="B121" s="14">
        <v>58.40871502</v>
      </c>
      <c r="C121" s="14">
        <v>25.80888528</v>
      </c>
      <c r="D121" s="14">
        <v>91.00854477</v>
      </c>
      <c r="E121" s="14">
        <v>3.524660724</v>
      </c>
      <c r="F121" s="14">
        <v>1.817484393</v>
      </c>
      <c r="G121" s="14">
        <v>0.003677172</v>
      </c>
      <c r="H121" s="14">
        <v>0.011365862</v>
      </c>
      <c r="I121" s="14" t="s">
        <v>164</v>
      </c>
      <c r="J121" s="14">
        <v>3.994935801</v>
      </c>
      <c r="K121" s="14">
        <v>2.659573746</v>
      </c>
      <c r="L121" s="14">
        <v>1.998979775</v>
      </c>
      <c r="M121" s="14">
        <v>0.322964967</v>
      </c>
      <c r="N121" s="14">
        <v>1.187745084</v>
      </c>
      <c r="O121" s="14">
        <v>0.500307224</v>
      </c>
      <c r="P121" s="14" t="s">
        <v>816</v>
      </c>
      <c r="Q121" s="14" t="s">
        <v>817</v>
      </c>
      <c r="R121" s="14" t="s">
        <v>754</v>
      </c>
      <c r="S121" s="14" t="s">
        <v>755</v>
      </c>
      <c r="T121" s="14" t="s">
        <v>818</v>
      </c>
      <c r="U121" s="14" t="s">
        <v>819</v>
      </c>
    </row>
    <row r="122" spans="1:21">
      <c r="A122" s="14" t="s">
        <v>820</v>
      </c>
      <c r="B122" s="14">
        <v>133.1053433</v>
      </c>
      <c r="C122" s="14">
        <v>24.25644038</v>
      </c>
      <c r="D122" s="14">
        <v>241.9542463</v>
      </c>
      <c r="E122" s="14">
        <v>9.956171497</v>
      </c>
      <c r="F122" s="14">
        <v>3.315591081</v>
      </c>
      <c r="G122" s="51" t="s">
        <v>821</v>
      </c>
      <c r="H122" s="51" t="s">
        <v>822</v>
      </c>
      <c r="I122" s="14" t="s">
        <v>164</v>
      </c>
      <c r="J122" s="14">
        <v>3.215859889</v>
      </c>
      <c r="K122" s="14">
        <v>1.472059923</v>
      </c>
      <c r="L122" s="14">
        <v>1.392174847</v>
      </c>
      <c r="M122" s="14">
        <v>0.163524216</v>
      </c>
      <c r="N122" s="14">
        <v>0.109135354</v>
      </c>
      <c r="O122" s="14">
        <v>0.236505999</v>
      </c>
      <c r="P122" s="14" t="s">
        <v>823</v>
      </c>
      <c r="Q122" s="14" t="s">
        <v>824</v>
      </c>
      <c r="T122" s="14" t="s">
        <v>825</v>
      </c>
      <c r="U122" s="14" t="s">
        <v>826</v>
      </c>
    </row>
    <row r="123" spans="1:21">
      <c r="A123" s="14" t="s">
        <v>827</v>
      </c>
      <c r="B123" s="14">
        <v>1029.949027</v>
      </c>
      <c r="C123" s="14">
        <v>1669.922062</v>
      </c>
      <c r="D123" s="14">
        <v>389.9759923</v>
      </c>
      <c r="E123" s="14">
        <v>0.233501679</v>
      </c>
      <c r="F123" s="14">
        <v>-2.098495172</v>
      </c>
      <c r="G123" s="51" t="s">
        <v>828</v>
      </c>
      <c r="H123" s="51" t="s">
        <v>829</v>
      </c>
      <c r="I123" s="14" t="s">
        <v>147</v>
      </c>
      <c r="J123" s="14">
        <v>2.275588637</v>
      </c>
      <c r="K123" s="14">
        <v>3.683682187</v>
      </c>
      <c r="L123" s="14">
        <v>2.588787476</v>
      </c>
      <c r="M123" s="14">
        <v>10.55958481</v>
      </c>
      <c r="N123" s="14">
        <v>9.886770528</v>
      </c>
      <c r="O123" s="14">
        <v>9.621535377</v>
      </c>
      <c r="P123" s="14" t="s">
        <v>830</v>
      </c>
      <c r="Q123" s="14" t="s">
        <v>831</v>
      </c>
      <c r="T123" s="14" t="s">
        <v>832</v>
      </c>
      <c r="U123" s="14" t="s">
        <v>833</v>
      </c>
    </row>
    <row r="124" spans="1:15">
      <c r="A124" s="14" t="s">
        <v>834</v>
      </c>
      <c r="B124" s="14">
        <v>22.09423246</v>
      </c>
      <c r="C124" s="14">
        <v>33.60130701</v>
      </c>
      <c r="D124" s="14">
        <v>10.58715792</v>
      </c>
      <c r="E124" s="14">
        <v>0.314068522</v>
      </c>
      <c r="F124" s="14">
        <v>-1.670848742</v>
      </c>
      <c r="G124" s="14">
        <v>0.011304937</v>
      </c>
      <c r="H124" s="14">
        <v>0.029999782</v>
      </c>
      <c r="I124" s="14" t="s">
        <v>147</v>
      </c>
      <c r="J124" s="14">
        <v>0.373777086</v>
      </c>
      <c r="K124" s="14">
        <v>1.021162605</v>
      </c>
      <c r="L124" s="14">
        <v>0.308478049</v>
      </c>
      <c r="M124" s="14">
        <v>1.553322515</v>
      </c>
      <c r="N124" s="14">
        <v>1.314907539</v>
      </c>
      <c r="O124" s="14">
        <v>1.609141459</v>
      </c>
    </row>
    <row r="125" spans="1:15">
      <c r="A125" s="14" t="s">
        <v>835</v>
      </c>
      <c r="B125" s="14">
        <v>217.0379465</v>
      </c>
      <c r="C125" s="14">
        <v>81.94809677</v>
      </c>
      <c r="D125" s="14">
        <v>352.1277962</v>
      </c>
      <c r="E125" s="14">
        <v>4.292143207</v>
      </c>
      <c r="F125" s="14">
        <v>2.101698212</v>
      </c>
      <c r="G125" s="14">
        <v>0.016089687</v>
      </c>
      <c r="H125" s="14">
        <v>0.040498175</v>
      </c>
      <c r="I125" s="14" t="s">
        <v>164</v>
      </c>
      <c r="J125" s="14">
        <v>4.446514417</v>
      </c>
      <c r="K125" s="14">
        <v>1.309098251</v>
      </c>
      <c r="L125" s="14">
        <v>6.165106422</v>
      </c>
      <c r="M125" s="14">
        <v>0.256797957</v>
      </c>
      <c r="N125" s="14">
        <v>0.237242443</v>
      </c>
      <c r="O125" s="14">
        <v>1.907614717</v>
      </c>
    </row>
    <row r="126" spans="1:21">
      <c r="A126" s="14" t="s">
        <v>836</v>
      </c>
      <c r="B126" s="14">
        <v>63210.91555</v>
      </c>
      <c r="C126" s="14">
        <v>5388.104197</v>
      </c>
      <c r="D126" s="14">
        <v>121033.7269</v>
      </c>
      <c r="E126" s="14">
        <v>22.46350298</v>
      </c>
      <c r="F126" s="14">
        <v>4.489511015</v>
      </c>
      <c r="G126" s="51" t="s">
        <v>837</v>
      </c>
      <c r="H126" s="51" t="s">
        <v>838</v>
      </c>
      <c r="I126" s="14" t="s">
        <v>164</v>
      </c>
      <c r="J126" s="14">
        <v>1397.591356</v>
      </c>
      <c r="K126" s="14">
        <v>468.1427978</v>
      </c>
      <c r="L126" s="14">
        <v>1441.091376</v>
      </c>
      <c r="M126" s="14">
        <v>40.2925684</v>
      </c>
      <c r="N126" s="14">
        <v>60.87996314</v>
      </c>
      <c r="O126" s="14">
        <v>16.92290874</v>
      </c>
      <c r="P126" s="14" t="s">
        <v>839</v>
      </c>
      <c r="Q126" s="14" t="s">
        <v>840</v>
      </c>
      <c r="R126" s="14" t="s">
        <v>841</v>
      </c>
      <c r="S126" s="14" t="s">
        <v>842</v>
      </c>
      <c r="T126" s="14" t="s">
        <v>843</v>
      </c>
      <c r="U126" s="14" t="s">
        <v>844</v>
      </c>
    </row>
    <row r="127" spans="1:21">
      <c r="A127" s="14" t="s">
        <v>845</v>
      </c>
      <c r="B127" s="14">
        <v>34.98509098</v>
      </c>
      <c r="C127" s="14">
        <v>1.937239503</v>
      </c>
      <c r="D127" s="14">
        <v>68.03294246</v>
      </c>
      <c r="E127" s="14">
        <v>34.2471981</v>
      </c>
      <c r="F127" s="14">
        <v>5.097914055</v>
      </c>
      <c r="G127" s="51" t="s">
        <v>846</v>
      </c>
      <c r="H127" s="51" t="s">
        <v>847</v>
      </c>
      <c r="I127" s="14" t="s">
        <v>164</v>
      </c>
      <c r="J127" s="14">
        <v>2.614424633</v>
      </c>
      <c r="K127" s="14">
        <v>1.403464792</v>
      </c>
      <c r="L127" s="14">
        <v>3.188576562</v>
      </c>
      <c r="M127" s="14">
        <v>0.029825171</v>
      </c>
      <c r="N127" s="14">
        <v>0.028613711</v>
      </c>
      <c r="O127" s="14">
        <v>0.116721791</v>
      </c>
      <c r="P127" s="14" t="s">
        <v>848</v>
      </c>
      <c r="Q127" s="14" t="s">
        <v>849</v>
      </c>
      <c r="R127" s="14" t="s">
        <v>841</v>
      </c>
      <c r="S127" s="14" t="s">
        <v>842</v>
      </c>
      <c r="T127" s="14" t="s">
        <v>850</v>
      </c>
      <c r="U127" s="14" t="s">
        <v>851</v>
      </c>
    </row>
    <row r="128" spans="1:21">
      <c r="A128" s="14" t="s">
        <v>852</v>
      </c>
      <c r="B128" s="14">
        <v>2969.862835</v>
      </c>
      <c r="C128" s="14">
        <v>4245.102835</v>
      </c>
      <c r="D128" s="14">
        <v>1694.622836</v>
      </c>
      <c r="E128" s="14">
        <v>0.399219151</v>
      </c>
      <c r="F128" s="14">
        <v>-1.324747165</v>
      </c>
      <c r="G128" s="14">
        <v>0.000510793</v>
      </c>
      <c r="H128" s="14">
        <v>0.002021497</v>
      </c>
      <c r="I128" s="14" t="s">
        <v>147</v>
      </c>
      <c r="J128" s="14">
        <v>11.70870072</v>
      </c>
      <c r="K128" s="14">
        <v>18.83831944</v>
      </c>
      <c r="L128" s="14">
        <v>20.30793624</v>
      </c>
      <c r="M128" s="14">
        <v>41.67210242</v>
      </c>
      <c r="N128" s="14">
        <v>40.7756115</v>
      </c>
      <c r="O128" s="14">
        <v>20.44778197</v>
      </c>
      <c r="P128" s="14" t="s">
        <v>853</v>
      </c>
      <c r="Q128" s="14" t="s">
        <v>854</v>
      </c>
      <c r="T128" s="14" t="s">
        <v>855</v>
      </c>
      <c r="U128" s="14" t="s">
        <v>856</v>
      </c>
    </row>
    <row r="129" spans="1:21">
      <c r="A129" s="14" t="s">
        <v>857</v>
      </c>
      <c r="B129" s="14">
        <v>3624.335529</v>
      </c>
      <c r="C129" s="14">
        <v>1800.011072</v>
      </c>
      <c r="D129" s="14">
        <v>5448.659985</v>
      </c>
      <c r="E129" s="14">
        <v>3.026340564</v>
      </c>
      <c r="F129" s="14">
        <v>1.597574348</v>
      </c>
      <c r="G129" s="51" t="s">
        <v>858</v>
      </c>
      <c r="H129" s="51" t="s">
        <v>859</v>
      </c>
      <c r="I129" s="14" t="s">
        <v>164</v>
      </c>
      <c r="J129" s="14">
        <v>76.2669198</v>
      </c>
      <c r="K129" s="14">
        <v>80.1735515</v>
      </c>
      <c r="L129" s="14">
        <v>76.36818599</v>
      </c>
      <c r="M129" s="14">
        <v>16.16550111</v>
      </c>
      <c r="N129" s="14">
        <v>18.30024576</v>
      </c>
      <c r="O129" s="14">
        <v>29.80127525</v>
      </c>
      <c r="P129" s="14" t="s">
        <v>860</v>
      </c>
      <c r="Q129" s="14" t="s">
        <v>861</v>
      </c>
      <c r="T129" s="14" t="s">
        <v>862</v>
      </c>
      <c r="U129" s="14" t="s">
        <v>863</v>
      </c>
    </row>
    <row r="130" spans="1:15">
      <c r="A130" s="14" t="s">
        <v>864</v>
      </c>
      <c r="B130" s="14">
        <v>1859.251846</v>
      </c>
      <c r="C130" s="14">
        <v>968.5735709</v>
      </c>
      <c r="D130" s="14">
        <v>2749.93012</v>
      </c>
      <c r="E130" s="14">
        <v>2.838109633</v>
      </c>
      <c r="F130" s="14">
        <v>1.50493032</v>
      </c>
      <c r="G130" s="51" t="s">
        <v>865</v>
      </c>
      <c r="H130" s="51" t="s">
        <v>866</v>
      </c>
      <c r="I130" s="14" t="s">
        <v>164</v>
      </c>
      <c r="J130" s="14">
        <v>67.45677873</v>
      </c>
      <c r="K130" s="14">
        <v>69.0564241</v>
      </c>
      <c r="L130" s="14">
        <v>67.54591917</v>
      </c>
      <c r="M130" s="14">
        <v>18.32309806</v>
      </c>
      <c r="N130" s="14">
        <v>17.1162363</v>
      </c>
      <c r="O130" s="14">
        <v>24.14198299</v>
      </c>
    </row>
    <row r="131" spans="1:21">
      <c r="A131" s="14" t="s">
        <v>867</v>
      </c>
      <c r="B131" s="14">
        <v>1635.323549</v>
      </c>
      <c r="C131" s="14">
        <v>693.3069438</v>
      </c>
      <c r="D131" s="14">
        <v>2577.340154</v>
      </c>
      <c r="E131" s="14">
        <v>3.718679743</v>
      </c>
      <c r="F131" s="14">
        <v>1.894790507</v>
      </c>
      <c r="G131" s="51" t="s">
        <v>868</v>
      </c>
      <c r="H131" s="51" t="s">
        <v>869</v>
      </c>
      <c r="I131" s="14" t="s">
        <v>164</v>
      </c>
      <c r="J131" s="14">
        <v>29.72043219</v>
      </c>
      <c r="K131" s="14">
        <v>26.41507034</v>
      </c>
      <c r="L131" s="14">
        <v>31.47793154</v>
      </c>
      <c r="M131" s="14">
        <v>6.774574666</v>
      </c>
      <c r="N131" s="14">
        <v>8.036793633</v>
      </c>
      <c r="O131" s="14">
        <v>4.309223522</v>
      </c>
      <c r="P131" s="14" t="s">
        <v>870</v>
      </c>
      <c r="Q131" s="14" t="s">
        <v>871</v>
      </c>
      <c r="R131" s="14" t="s">
        <v>341</v>
      </c>
      <c r="S131" s="14" t="s">
        <v>342</v>
      </c>
      <c r="T131" s="14" t="s">
        <v>872</v>
      </c>
      <c r="U131" s="14" t="s">
        <v>873</v>
      </c>
    </row>
    <row r="132" spans="1:21">
      <c r="A132" s="14" t="s">
        <v>874</v>
      </c>
      <c r="B132" s="14">
        <v>924.8308718</v>
      </c>
      <c r="C132" s="14">
        <v>1342.490445</v>
      </c>
      <c r="D132" s="14">
        <v>507.1712985</v>
      </c>
      <c r="E132" s="14">
        <v>0.377758848</v>
      </c>
      <c r="F132" s="14">
        <v>-1.404462546</v>
      </c>
      <c r="G132" s="51" t="s">
        <v>875</v>
      </c>
      <c r="H132" s="51" t="s">
        <v>876</v>
      </c>
      <c r="I132" s="14" t="s">
        <v>147</v>
      </c>
      <c r="J132" s="14">
        <v>9.606217591</v>
      </c>
      <c r="K132" s="14">
        <v>15.25699225</v>
      </c>
      <c r="L132" s="14">
        <v>10.46927829</v>
      </c>
      <c r="M132" s="14">
        <v>27.43618269</v>
      </c>
      <c r="N132" s="14">
        <v>24.54428491</v>
      </c>
      <c r="O132" s="14">
        <v>24.87614987</v>
      </c>
      <c r="P132" s="14" t="s">
        <v>877</v>
      </c>
      <c r="Q132" s="14" t="s">
        <v>878</v>
      </c>
      <c r="T132" s="14" t="s">
        <v>879</v>
      </c>
      <c r="U132" s="14" t="s">
        <v>880</v>
      </c>
    </row>
    <row r="133" spans="1:21">
      <c r="A133" s="14" t="s">
        <v>881</v>
      </c>
      <c r="B133" s="14">
        <v>1142.281214</v>
      </c>
      <c r="C133" s="14">
        <v>557.9612368</v>
      </c>
      <c r="D133" s="14">
        <v>1726.601191</v>
      </c>
      <c r="E133" s="14">
        <v>3.093751209</v>
      </c>
      <c r="F133" s="14">
        <v>1.629357184</v>
      </c>
      <c r="G133" s="14">
        <v>0.019862675</v>
      </c>
      <c r="H133" s="14">
        <v>0.048289044</v>
      </c>
      <c r="I133" s="14" t="s">
        <v>164</v>
      </c>
      <c r="J133" s="14">
        <v>2.827176151</v>
      </c>
      <c r="K133" s="14">
        <v>8.566323998</v>
      </c>
      <c r="L133" s="14">
        <v>7.719778036</v>
      </c>
      <c r="M133" s="14">
        <v>0.653170076</v>
      </c>
      <c r="N133" s="14">
        <v>0.758563175</v>
      </c>
      <c r="O133" s="14">
        <v>3.922976025</v>
      </c>
      <c r="P133" s="14" t="s">
        <v>882</v>
      </c>
      <c r="Q133" s="14" t="s">
        <v>883</v>
      </c>
      <c r="T133" s="14" t="s">
        <v>884</v>
      </c>
      <c r="U133" s="14" t="s">
        <v>885</v>
      </c>
    </row>
    <row r="134" spans="1:21">
      <c r="A134" s="14" t="s">
        <v>886</v>
      </c>
      <c r="B134" s="14">
        <v>4098.296001</v>
      </c>
      <c r="C134" s="14">
        <v>5975.979197</v>
      </c>
      <c r="D134" s="14">
        <v>2220.612805</v>
      </c>
      <c r="E134" s="14">
        <v>0.371602871</v>
      </c>
      <c r="F134" s="14">
        <v>-1.428166445</v>
      </c>
      <c r="G134" s="51" t="s">
        <v>887</v>
      </c>
      <c r="H134" s="51" t="s">
        <v>888</v>
      </c>
      <c r="I134" s="14" t="s">
        <v>147</v>
      </c>
      <c r="J134" s="14">
        <v>29.83789881</v>
      </c>
      <c r="K134" s="14">
        <v>36.7591253</v>
      </c>
      <c r="L134" s="14">
        <v>31.91842437</v>
      </c>
      <c r="M134" s="14">
        <v>82.10454902</v>
      </c>
      <c r="N134" s="14">
        <v>81.13939097</v>
      </c>
      <c r="O134" s="14">
        <v>52.38361041</v>
      </c>
      <c r="P134" s="14" t="s">
        <v>889</v>
      </c>
      <c r="Q134" s="14" t="s">
        <v>890</v>
      </c>
      <c r="T134" s="14" t="s">
        <v>891</v>
      </c>
      <c r="U134" s="14" t="s">
        <v>892</v>
      </c>
    </row>
    <row r="135" spans="1:15">
      <c r="A135" s="14" t="s">
        <v>893</v>
      </c>
      <c r="B135" s="14">
        <v>10647.46585</v>
      </c>
      <c r="C135" s="14">
        <v>16357.91815</v>
      </c>
      <c r="D135" s="14">
        <v>4937.01355</v>
      </c>
      <c r="E135" s="14">
        <v>0.301814617</v>
      </c>
      <c r="F135" s="14">
        <v>-1.728265415</v>
      </c>
      <c r="G135" s="51" t="s">
        <v>894</v>
      </c>
      <c r="H135" s="51" t="s">
        <v>895</v>
      </c>
      <c r="I135" s="14" t="s">
        <v>147</v>
      </c>
      <c r="J135" s="14">
        <v>44.30010712</v>
      </c>
      <c r="K135" s="14">
        <v>63.85096293</v>
      </c>
      <c r="L135" s="14">
        <v>51.23039105</v>
      </c>
      <c r="M135" s="14">
        <v>166.0409658</v>
      </c>
      <c r="N135" s="14">
        <v>169.1557691</v>
      </c>
      <c r="O135" s="14">
        <v>93.16885694</v>
      </c>
    </row>
    <row r="136" spans="1:21">
      <c r="A136" s="14" t="s">
        <v>896</v>
      </c>
      <c r="B136" s="14">
        <v>123.8013748</v>
      </c>
      <c r="C136" s="14">
        <v>43.47000659</v>
      </c>
      <c r="D136" s="14">
        <v>204.1327429</v>
      </c>
      <c r="E136" s="14">
        <v>4.690179505</v>
      </c>
      <c r="F136" s="14">
        <v>2.229643139</v>
      </c>
      <c r="G136" s="51" t="s">
        <v>897</v>
      </c>
      <c r="H136" s="14">
        <v>0.000173029</v>
      </c>
      <c r="I136" s="14" t="s">
        <v>164</v>
      </c>
      <c r="J136" s="14">
        <v>0.75299801</v>
      </c>
      <c r="K136" s="14">
        <v>2.208965906</v>
      </c>
      <c r="L136" s="14">
        <v>1.003878983</v>
      </c>
      <c r="M136" s="14">
        <v>0.220260207</v>
      </c>
      <c r="N136" s="14">
        <v>0.153202302</v>
      </c>
      <c r="O136" s="14">
        <v>0.334023287</v>
      </c>
      <c r="P136" s="14" t="s">
        <v>898</v>
      </c>
      <c r="Q136" s="14" t="s">
        <v>899</v>
      </c>
      <c r="T136" s="14" t="s">
        <v>900</v>
      </c>
      <c r="U136" s="14" t="s">
        <v>901</v>
      </c>
    </row>
    <row r="137" spans="1:21">
      <c r="A137" s="14" t="s">
        <v>902</v>
      </c>
      <c r="B137" s="14">
        <v>52.12783935</v>
      </c>
      <c r="C137" s="14">
        <v>102.2662038</v>
      </c>
      <c r="D137" s="14">
        <v>1.989474875</v>
      </c>
      <c r="E137" s="14">
        <v>0.019273294</v>
      </c>
      <c r="F137" s="14">
        <v>-5.697253004</v>
      </c>
      <c r="G137" s="51" t="s">
        <v>903</v>
      </c>
      <c r="H137" s="51" t="s">
        <v>904</v>
      </c>
      <c r="I137" s="14" t="s">
        <v>147</v>
      </c>
      <c r="J137" s="14">
        <v>0.01988013</v>
      </c>
      <c r="K137" s="14">
        <v>0.080039778</v>
      </c>
      <c r="L137" s="14">
        <v>0.019141572</v>
      </c>
      <c r="M137" s="14">
        <v>2.347288066</v>
      </c>
      <c r="N137" s="14">
        <v>1.5665699</v>
      </c>
      <c r="O137" s="14">
        <v>1.065065414</v>
      </c>
      <c r="P137" s="14" t="s">
        <v>905</v>
      </c>
      <c r="Q137" s="14" t="s">
        <v>906</v>
      </c>
      <c r="R137" s="14" t="s">
        <v>907</v>
      </c>
      <c r="S137" s="14" t="s">
        <v>908</v>
      </c>
      <c r="T137" s="14" t="s">
        <v>909</v>
      </c>
      <c r="U137" s="14" t="s">
        <v>910</v>
      </c>
    </row>
    <row r="138" spans="1:21">
      <c r="A138" s="14" t="s">
        <v>911</v>
      </c>
      <c r="B138" s="14">
        <v>9207.3941</v>
      </c>
      <c r="C138" s="14">
        <v>13032.01361</v>
      </c>
      <c r="D138" s="14">
        <v>5382.774593</v>
      </c>
      <c r="E138" s="14">
        <v>0.413047723</v>
      </c>
      <c r="F138" s="14">
        <v>-1.275619615</v>
      </c>
      <c r="G138" s="51" t="s">
        <v>912</v>
      </c>
      <c r="H138" s="51" t="s">
        <v>913</v>
      </c>
      <c r="I138" s="14" t="s">
        <v>147</v>
      </c>
      <c r="J138" s="14">
        <v>38.0042024</v>
      </c>
      <c r="K138" s="14">
        <v>43.3880318</v>
      </c>
      <c r="L138" s="14">
        <v>36.16844874</v>
      </c>
      <c r="M138" s="14">
        <v>85.33494183</v>
      </c>
      <c r="N138" s="14">
        <v>82.76918351</v>
      </c>
      <c r="O138" s="14">
        <v>64.38779804</v>
      </c>
      <c r="P138" s="14" t="s">
        <v>914</v>
      </c>
      <c r="Q138" s="14" t="s">
        <v>915</v>
      </c>
      <c r="T138" s="14" t="s">
        <v>916</v>
      </c>
      <c r="U138" s="14" t="s">
        <v>917</v>
      </c>
    </row>
    <row r="139" spans="1:15">
      <c r="A139" s="14" t="s">
        <v>918</v>
      </c>
      <c r="B139" s="14">
        <v>263.4257278</v>
      </c>
      <c r="C139" s="14">
        <v>359.969842</v>
      </c>
      <c r="D139" s="14">
        <v>166.8816136</v>
      </c>
      <c r="E139" s="14">
        <v>0.463627109</v>
      </c>
      <c r="F139" s="14">
        <v>-1.10896317</v>
      </c>
      <c r="G139" s="14">
        <v>0.000548858</v>
      </c>
      <c r="H139" s="14">
        <v>0.002153958</v>
      </c>
      <c r="I139" s="14" t="s">
        <v>147</v>
      </c>
      <c r="J139" s="14">
        <v>3.055795179</v>
      </c>
      <c r="K139" s="14">
        <v>2.138883011</v>
      </c>
      <c r="L139" s="14">
        <v>3.703202738</v>
      </c>
      <c r="M139" s="14">
        <v>4.688108704</v>
      </c>
      <c r="N139" s="14">
        <v>3.921057614</v>
      </c>
      <c r="O139" s="14">
        <v>7.365289275</v>
      </c>
    </row>
    <row r="140" spans="1:21">
      <c r="A140" s="14" t="s">
        <v>919</v>
      </c>
      <c r="B140" s="14">
        <v>26367.88758</v>
      </c>
      <c r="C140" s="14">
        <v>38729.97561</v>
      </c>
      <c r="D140" s="14">
        <v>14005.79955</v>
      </c>
      <c r="E140" s="14">
        <v>0.361623341</v>
      </c>
      <c r="F140" s="14">
        <v>-1.467440296</v>
      </c>
      <c r="G140" s="51" t="s">
        <v>920</v>
      </c>
      <c r="H140" s="51" t="s">
        <v>921</v>
      </c>
      <c r="I140" s="14" t="s">
        <v>147</v>
      </c>
      <c r="J140" s="14">
        <v>126.5299952</v>
      </c>
      <c r="K140" s="14">
        <v>150.9607681</v>
      </c>
      <c r="L140" s="14">
        <v>95.97851074</v>
      </c>
      <c r="M140" s="14">
        <v>289.5823323</v>
      </c>
      <c r="N140" s="14">
        <v>270.7079815</v>
      </c>
      <c r="O140" s="14">
        <v>290.9519189</v>
      </c>
      <c r="P140" s="14" t="s">
        <v>922</v>
      </c>
      <c r="Q140" s="14" t="s">
        <v>923</v>
      </c>
      <c r="T140" s="14" t="s">
        <v>924</v>
      </c>
      <c r="U140" s="14" t="s">
        <v>925</v>
      </c>
    </row>
    <row r="141" spans="1:21">
      <c r="A141" s="14" t="s">
        <v>926</v>
      </c>
      <c r="B141" s="14">
        <v>382.1629909</v>
      </c>
      <c r="C141" s="14">
        <v>144.1625053</v>
      </c>
      <c r="D141" s="14">
        <v>620.1634765</v>
      </c>
      <c r="E141" s="14">
        <v>4.303178683</v>
      </c>
      <c r="F141" s="14">
        <v>2.105402747</v>
      </c>
      <c r="G141" s="14">
        <v>0.004020932</v>
      </c>
      <c r="H141" s="14">
        <v>0.012260333</v>
      </c>
      <c r="I141" s="14" t="s">
        <v>164</v>
      </c>
      <c r="J141" s="14">
        <v>8.414508978</v>
      </c>
      <c r="K141" s="14">
        <v>5.280512683</v>
      </c>
      <c r="L141" s="14">
        <v>3.768328015</v>
      </c>
      <c r="M141" s="14">
        <v>0.837140615</v>
      </c>
      <c r="N141" s="14">
        <v>2.172294458</v>
      </c>
      <c r="O141" s="14">
        <v>0.249613515</v>
      </c>
      <c r="P141" s="14" t="s">
        <v>927</v>
      </c>
      <c r="Q141" s="14" t="s">
        <v>928</v>
      </c>
      <c r="R141" s="14" t="s">
        <v>294</v>
      </c>
      <c r="S141" s="14" t="s">
        <v>295</v>
      </c>
      <c r="T141" s="14" t="s">
        <v>929</v>
      </c>
      <c r="U141" s="14" t="s">
        <v>930</v>
      </c>
    </row>
    <row r="142" spans="1:21">
      <c r="A142" s="14" t="s">
        <v>931</v>
      </c>
      <c r="B142" s="14">
        <v>78.26428091</v>
      </c>
      <c r="C142" s="14">
        <v>124.8430028</v>
      </c>
      <c r="D142" s="14">
        <v>31.68555905</v>
      </c>
      <c r="E142" s="14">
        <v>0.253516501</v>
      </c>
      <c r="F142" s="14">
        <v>-1.979848444</v>
      </c>
      <c r="G142" s="14">
        <v>0.000146546</v>
      </c>
      <c r="H142" s="14">
        <v>0.000665414</v>
      </c>
      <c r="I142" s="14" t="s">
        <v>147</v>
      </c>
      <c r="J142" s="14">
        <v>1.917244731</v>
      </c>
      <c r="K142" s="14">
        <v>0.964882044</v>
      </c>
      <c r="L142" s="14">
        <v>1.300603598</v>
      </c>
      <c r="M142" s="14">
        <v>2.796109827</v>
      </c>
      <c r="N142" s="14">
        <v>3.362111068</v>
      </c>
      <c r="O142" s="14">
        <v>7.76929424</v>
      </c>
      <c r="P142" s="14" t="s">
        <v>932</v>
      </c>
      <c r="Q142" s="14" t="s">
        <v>933</v>
      </c>
      <c r="T142" s="14" t="s">
        <v>934</v>
      </c>
      <c r="U142" s="14" t="s">
        <v>935</v>
      </c>
    </row>
    <row r="143" spans="1:21">
      <c r="A143" s="14" t="s">
        <v>936</v>
      </c>
      <c r="B143" s="14">
        <v>1660.993908</v>
      </c>
      <c r="C143" s="14">
        <v>2226.621005</v>
      </c>
      <c r="D143" s="14">
        <v>1095.36681</v>
      </c>
      <c r="E143" s="14">
        <v>0.491887147</v>
      </c>
      <c r="F143" s="14">
        <v>-1.023600736</v>
      </c>
      <c r="G143" s="51" t="s">
        <v>937</v>
      </c>
      <c r="H143" s="51" t="s">
        <v>938</v>
      </c>
      <c r="I143" s="14" t="s">
        <v>147</v>
      </c>
      <c r="J143" s="14">
        <v>10.9810201</v>
      </c>
      <c r="K143" s="14">
        <v>14.88449126</v>
      </c>
      <c r="L143" s="14">
        <v>12.50050943</v>
      </c>
      <c r="M143" s="14">
        <v>20.58254387</v>
      </c>
      <c r="N143" s="14">
        <v>18.8156955</v>
      </c>
      <c r="O143" s="14">
        <v>25.15506903</v>
      </c>
      <c r="P143" s="14" t="s">
        <v>939</v>
      </c>
      <c r="Q143" s="14" t="s">
        <v>940</v>
      </c>
      <c r="T143" s="14" t="s">
        <v>941</v>
      </c>
      <c r="U143" s="14" t="s">
        <v>942</v>
      </c>
    </row>
    <row r="144" spans="1:15">
      <c r="A144" s="14" t="s">
        <v>943</v>
      </c>
      <c r="B144" s="14">
        <v>27.69602462</v>
      </c>
      <c r="C144" s="14">
        <v>12.07503035</v>
      </c>
      <c r="D144" s="14">
        <v>43.31701889</v>
      </c>
      <c r="E144" s="14">
        <v>3.55964733</v>
      </c>
      <c r="F144" s="14">
        <v>1.831734314</v>
      </c>
      <c r="G144" s="14">
        <v>0.002924581</v>
      </c>
      <c r="H144" s="14">
        <v>0.009291166</v>
      </c>
      <c r="I144" s="14" t="s">
        <v>164</v>
      </c>
      <c r="J144" s="14">
        <v>1.070873228</v>
      </c>
      <c r="K144" s="14">
        <v>1.959756164</v>
      </c>
      <c r="L144" s="14">
        <v>1.218560536</v>
      </c>
      <c r="M144" s="14">
        <v>0.194352552</v>
      </c>
      <c r="N144" s="14">
        <v>0.239731972</v>
      </c>
      <c r="O144" s="14">
        <v>0.570453837</v>
      </c>
    </row>
    <row r="145" spans="1:21">
      <c r="A145" s="14" t="s">
        <v>944</v>
      </c>
      <c r="B145" s="14">
        <v>936.898794</v>
      </c>
      <c r="C145" s="14">
        <v>1419.367678</v>
      </c>
      <c r="D145" s="14">
        <v>454.4299096</v>
      </c>
      <c r="E145" s="14">
        <v>0.320256753</v>
      </c>
      <c r="F145" s="14">
        <v>-1.642699104</v>
      </c>
      <c r="G145" s="51" t="s">
        <v>945</v>
      </c>
      <c r="H145" s="51" t="s">
        <v>946</v>
      </c>
      <c r="I145" s="14" t="s">
        <v>147</v>
      </c>
      <c r="J145" s="14">
        <v>5.964103313</v>
      </c>
      <c r="K145" s="14">
        <v>7.191621569</v>
      </c>
      <c r="L145" s="14">
        <v>7.426434324</v>
      </c>
      <c r="M145" s="14">
        <v>17.91754416</v>
      </c>
      <c r="N145" s="14">
        <v>18.61303395</v>
      </c>
      <c r="O145" s="14">
        <v>16.11629524</v>
      </c>
      <c r="P145" s="14" t="s">
        <v>947</v>
      </c>
      <c r="Q145" s="14" t="s">
        <v>948</v>
      </c>
      <c r="T145" s="14" t="s">
        <v>949</v>
      </c>
      <c r="U145" s="14" t="s">
        <v>950</v>
      </c>
    </row>
    <row r="146" spans="1:15">
      <c r="A146" s="14" t="s">
        <v>951</v>
      </c>
      <c r="B146" s="14">
        <v>177.7169177</v>
      </c>
      <c r="C146" s="14">
        <v>75.8395675</v>
      </c>
      <c r="D146" s="14">
        <v>279.5942679</v>
      </c>
      <c r="E146" s="14">
        <v>3.692192466</v>
      </c>
      <c r="F146" s="14">
        <v>1.884477759</v>
      </c>
      <c r="G146" s="14">
        <v>0.002168641</v>
      </c>
      <c r="H146" s="14">
        <v>0.007193668</v>
      </c>
      <c r="I146" s="14" t="s">
        <v>164</v>
      </c>
      <c r="J146" s="14">
        <v>57.49955672</v>
      </c>
      <c r="K146" s="14">
        <v>46.86927956</v>
      </c>
      <c r="L146" s="14">
        <v>55.36341582</v>
      </c>
      <c r="M146" s="14">
        <v>15.48474209</v>
      </c>
      <c r="N146" s="14">
        <v>15.93900506</v>
      </c>
      <c r="O146" s="14">
        <v>3.156252523</v>
      </c>
    </row>
    <row r="147" spans="1:15">
      <c r="A147" s="14" t="s">
        <v>952</v>
      </c>
      <c r="B147" s="14">
        <v>300.7175779</v>
      </c>
      <c r="C147" s="14">
        <v>174.1475412</v>
      </c>
      <c r="D147" s="14">
        <v>427.2876147</v>
      </c>
      <c r="E147" s="14">
        <v>2.454863914</v>
      </c>
      <c r="F147" s="14">
        <v>1.295643051</v>
      </c>
      <c r="G147" s="14">
        <v>0.006179187</v>
      </c>
      <c r="H147" s="14">
        <v>0.017796258</v>
      </c>
      <c r="I147" s="14" t="s">
        <v>164</v>
      </c>
      <c r="J147" s="14">
        <v>97.18760457</v>
      </c>
      <c r="K147" s="14">
        <v>73.9962192</v>
      </c>
      <c r="L147" s="14">
        <v>77.82644109</v>
      </c>
      <c r="M147" s="14">
        <v>24.69897014</v>
      </c>
      <c r="N147" s="14">
        <v>43.758114</v>
      </c>
      <c r="O147" s="14">
        <v>13.53243269</v>
      </c>
    </row>
    <row r="148" spans="1:21">
      <c r="A148" s="14" t="s">
        <v>953</v>
      </c>
      <c r="B148" s="14">
        <v>4072.742697</v>
      </c>
      <c r="C148" s="14">
        <v>6930.247252</v>
      </c>
      <c r="D148" s="14">
        <v>1215.238143</v>
      </c>
      <c r="E148" s="14">
        <v>0.175350998</v>
      </c>
      <c r="F148" s="14">
        <v>-2.51168245</v>
      </c>
      <c r="G148" s="51" t="s">
        <v>954</v>
      </c>
      <c r="H148" s="51" t="s">
        <v>955</v>
      </c>
      <c r="I148" s="14" t="s">
        <v>147</v>
      </c>
      <c r="J148" s="14">
        <v>15.37802272</v>
      </c>
      <c r="K148" s="14">
        <v>88.45989266</v>
      </c>
      <c r="L148" s="14">
        <v>45.12338312</v>
      </c>
      <c r="M148" s="14">
        <v>257.8355508</v>
      </c>
      <c r="N148" s="14">
        <v>259.4859329</v>
      </c>
      <c r="O148" s="14">
        <v>175.9754037</v>
      </c>
      <c r="P148" s="14" t="s">
        <v>956</v>
      </c>
      <c r="Q148" s="14" t="s">
        <v>957</v>
      </c>
      <c r="T148" s="14" t="s">
        <v>958</v>
      </c>
      <c r="U148" s="14" t="s">
        <v>959</v>
      </c>
    </row>
    <row r="149" spans="1:21">
      <c r="A149" s="14" t="s">
        <v>960</v>
      </c>
      <c r="B149" s="14">
        <v>97.50428182</v>
      </c>
      <c r="C149" s="14">
        <v>11.98375513</v>
      </c>
      <c r="D149" s="14">
        <v>183.0248085</v>
      </c>
      <c r="E149" s="14">
        <v>15.35687903</v>
      </c>
      <c r="F149" s="14">
        <v>3.940813143</v>
      </c>
      <c r="G149" s="51" t="s">
        <v>961</v>
      </c>
      <c r="H149" s="14">
        <v>0.000299515</v>
      </c>
      <c r="I149" s="14" t="s">
        <v>164</v>
      </c>
      <c r="J149" s="14">
        <v>11.00007697</v>
      </c>
      <c r="K149" s="14">
        <v>14.86449264</v>
      </c>
      <c r="L149" s="14">
        <v>7.724127988</v>
      </c>
      <c r="M149" s="14">
        <v>1.039956637</v>
      </c>
      <c r="N149" s="14">
        <v>0.698400451</v>
      </c>
      <c r="O149" s="14">
        <v>0</v>
      </c>
      <c r="P149" s="14" t="s">
        <v>962</v>
      </c>
      <c r="Q149" s="14" t="s">
        <v>963</v>
      </c>
      <c r="T149" s="14" t="s">
        <v>964</v>
      </c>
      <c r="U149" s="14" t="s">
        <v>965</v>
      </c>
    </row>
    <row r="150" spans="1:21">
      <c r="A150" s="14" t="s">
        <v>966</v>
      </c>
      <c r="B150" s="14">
        <v>23.29242935</v>
      </c>
      <c r="C150" s="14">
        <v>1.974129195</v>
      </c>
      <c r="D150" s="14">
        <v>44.61072951</v>
      </c>
      <c r="E150" s="14">
        <v>22.3422735</v>
      </c>
      <c r="F150" s="14">
        <v>4.481704094</v>
      </c>
      <c r="G150" s="51" t="s">
        <v>967</v>
      </c>
      <c r="H150" s="51" t="s">
        <v>968</v>
      </c>
      <c r="I150" s="14" t="s">
        <v>164</v>
      </c>
      <c r="J150" s="14">
        <v>4.304916677</v>
      </c>
      <c r="K150" s="14">
        <v>5.687098228</v>
      </c>
      <c r="L150" s="14">
        <v>2.0724933</v>
      </c>
      <c r="M150" s="14">
        <v>0</v>
      </c>
      <c r="N150" s="14">
        <v>0.294471203</v>
      </c>
      <c r="O150" s="14">
        <v>0.150151819</v>
      </c>
      <c r="P150" s="14" t="s">
        <v>969</v>
      </c>
      <c r="Q150" s="14" t="s">
        <v>970</v>
      </c>
      <c r="T150" s="14" t="s">
        <v>971</v>
      </c>
      <c r="U150" s="14" t="s">
        <v>972</v>
      </c>
    </row>
    <row r="151" spans="1:21">
      <c r="A151" s="14" t="s">
        <v>973</v>
      </c>
      <c r="B151" s="14">
        <v>3987.820515</v>
      </c>
      <c r="C151" s="14">
        <v>5770.829554</v>
      </c>
      <c r="D151" s="14">
        <v>2204.811476</v>
      </c>
      <c r="E151" s="14">
        <v>0.382074705</v>
      </c>
      <c r="F151" s="14">
        <v>-1.388073346</v>
      </c>
      <c r="G151" s="51" t="s">
        <v>974</v>
      </c>
      <c r="H151" s="51" t="s">
        <v>975</v>
      </c>
      <c r="I151" s="14" t="s">
        <v>147</v>
      </c>
      <c r="J151" s="14">
        <v>28.21677204</v>
      </c>
      <c r="K151" s="14">
        <v>34.48695757</v>
      </c>
      <c r="L151" s="14">
        <v>30.72628324</v>
      </c>
      <c r="M151" s="14">
        <v>69.70797826</v>
      </c>
      <c r="N151" s="14">
        <v>68.760699</v>
      </c>
      <c r="O151" s="14">
        <v>61.99142975</v>
      </c>
      <c r="P151" s="14" t="s">
        <v>976</v>
      </c>
      <c r="Q151" s="14" t="s">
        <v>977</v>
      </c>
      <c r="T151" s="14" t="s">
        <v>978</v>
      </c>
      <c r="U151" s="14" t="s">
        <v>979</v>
      </c>
    </row>
    <row r="152" spans="1:21">
      <c r="A152" s="14" t="s">
        <v>980</v>
      </c>
      <c r="B152" s="14">
        <v>187.6555798</v>
      </c>
      <c r="C152" s="14">
        <v>251.4736248</v>
      </c>
      <c r="D152" s="14">
        <v>123.8375347</v>
      </c>
      <c r="E152" s="14">
        <v>0.49188124</v>
      </c>
      <c r="F152" s="14">
        <v>-1.023618061</v>
      </c>
      <c r="G152" s="14">
        <v>0.000149188</v>
      </c>
      <c r="H152" s="14">
        <v>0.000676031</v>
      </c>
      <c r="I152" s="14" t="s">
        <v>147</v>
      </c>
      <c r="J152" s="14">
        <v>2.63283909</v>
      </c>
      <c r="K152" s="14">
        <v>3.632370332</v>
      </c>
      <c r="L152" s="14">
        <v>2.229076024</v>
      </c>
      <c r="M152" s="14">
        <v>4.116899592</v>
      </c>
      <c r="N152" s="14">
        <v>4.694898367</v>
      </c>
      <c r="O152" s="14">
        <v>5.49087125</v>
      </c>
      <c r="P152" s="14" t="s">
        <v>981</v>
      </c>
      <c r="Q152" s="14" t="s">
        <v>982</v>
      </c>
      <c r="T152" s="14" t="s">
        <v>983</v>
      </c>
      <c r="U152" s="14" t="s">
        <v>984</v>
      </c>
    </row>
    <row r="153" spans="1:21">
      <c r="A153" s="14" t="s">
        <v>985</v>
      </c>
      <c r="B153" s="14">
        <v>9.75226499</v>
      </c>
      <c r="C153" s="14">
        <v>2.07974399</v>
      </c>
      <c r="D153" s="14">
        <v>17.42478599</v>
      </c>
      <c r="E153" s="14">
        <v>8.493550377</v>
      </c>
      <c r="F153" s="14">
        <v>3.086367739</v>
      </c>
      <c r="G153" s="14">
        <v>0.005308494</v>
      </c>
      <c r="H153" s="14">
        <v>0.015593701</v>
      </c>
      <c r="I153" s="14" t="s">
        <v>164</v>
      </c>
      <c r="J153" s="14">
        <v>0.354384925</v>
      </c>
      <c r="K153" s="14">
        <v>0.228287368</v>
      </c>
      <c r="L153" s="14">
        <v>0.163785276</v>
      </c>
      <c r="M153" s="14">
        <v>0.024256789</v>
      </c>
      <c r="N153" s="14">
        <v>0.046543019</v>
      </c>
      <c r="O153" s="14">
        <v>0</v>
      </c>
      <c r="P153" s="14" t="s">
        <v>986</v>
      </c>
      <c r="Q153" s="14" t="s">
        <v>987</v>
      </c>
      <c r="T153" s="14" t="s">
        <v>988</v>
      </c>
      <c r="U153" s="14" t="s">
        <v>989</v>
      </c>
    </row>
    <row r="154" spans="1:21">
      <c r="A154" s="14" t="s">
        <v>990</v>
      </c>
      <c r="B154" s="14">
        <v>178.4929101</v>
      </c>
      <c r="C154" s="14">
        <v>278.7052203</v>
      </c>
      <c r="D154" s="14">
        <v>78.28059992</v>
      </c>
      <c r="E154" s="14">
        <v>0.280708858</v>
      </c>
      <c r="F154" s="14">
        <v>-1.832853507</v>
      </c>
      <c r="G154" s="51" t="s">
        <v>991</v>
      </c>
      <c r="H154" s="51" t="s">
        <v>992</v>
      </c>
      <c r="I154" s="14" t="s">
        <v>147</v>
      </c>
      <c r="J154" s="14">
        <v>1.53666182</v>
      </c>
      <c r="K154" s="14">
        <v>0.760014424</v>
      </c>
      <c r="L154" s="14">
        <v>0.841826569</v>
      </c>
      <c r="M154" s="14">
        <v>2.867536265</v>
      </c>
      <c r="N154" s="14">
        <v>2.413974136</v>
      </c>
      <c r="O154" s="14">
        <v>4.014264382</v>
      </c>
      <c r="P154" s="14" t="s">
        <v>993</v>
      </c>
      <c r="Q154" s="14" t="s">
        <v>994</v>
      </c>
      <c r="R154" s="14" t="s">
        <v>995</v>
      </c>
      <c r="S154" s="14" t="s">
        <v>996</v>
      </c>
      <c r="T154" s="14" t="s">
        <v>997</v>
      </c>
      <c r="U154" s="14" t="s">
        <v>998</v>
      </c>
    </row>
    <row r="155" spans="1:21">
      <c r="A155" s="14" t="s">
        <v>999</v>
      </c>
      <c r="B155" s="14">
        <v>335.9889495</v>
      </c>
      <c r="C155" s="14">
        <v>487.8957559</v>
      </c>
      <c r="D155" s="14">
        <v>184.0821432</v>
      </c>
      <c r="E155" s="14">
        <v>0.377589349</v>
      </c>
      <c r="F155" s="14">
        <v>-1.405110026</v>
      </c>
      <c r="G155" s="51" t="s">
        <v>1000</v>
      </c>
      <c r="H155" s="51" t="s">
        <v>1001</v>
      </c>
      <c r="I155" s="14" t="s">
        <v>147</v>
      </c>
      <c r="J155" s="14">
        <v>2.749362678</v>
      </c>
      <c r="K155" s="14">
        <v>3.106863591</v>
      </c>
      <c r="L155" s="14">
        <v>3.556697456</v>
      </c>
      <c r="M155" s="14">
        <v>7.158041157</v>
      </c>
      <c r="N155" s="14">
        <v>6.119642109</v>
      </c>
      <c r="O155" s="14">
        <v>7.2433402</v>
      </c>
      <c r="P155" s="14" t="s">
        <v>1002</v>
      </c>
      <c r="Q155" s="14" t="s">
        <v>1003</v>
      </c>
      <c r="T155" s="14" t="s">
        <v>406</v>
      </c>
      <c r="U155" s="14" t="s">
        <v>407</v>
      </c>
    </row>
    <row r="156" spans="1:21">
      <c r="A156" s="14" t="s">
        <v>1004</v>
      </c>
      <c r="B156" s="14">
        <v>25.14954736</v>
      </c>
      <c r="C156" s="14">
        <v>6.971951502</v>
      </c>
      <c r="D156" s="14">
        <v>43.32714323</v>
      </c>
      <c r="E156" s="14">
        <v>6.249592639</v>
      </c>
      <c r="F156" s="14">
        <v>2.643762155</v>
      </c>
      <c r="G156" s="14">
        <v>0.013767078</v>
      </c>
      <c r="H156" s="14">
        <v>0.035469042</v>
      </c>
      <c r="I156" s="14" t="s">
        <v>164</v>
      </c>
      <c r="J156" s="14">
        <v>0.58746242</v>
      </c>
      <c r="K156" s="14">
        <v>2.442319779</v>
      </c>
      <c r="L156" s="14">
        <v>0.295115405</v>
      </c>
      <c r="M156" s="14">
        <v>0.240388133</v>
      </c>
      <c r="N156" s="14">
        <v>0.146760648</v>
      </c>
      <c r="O156" s="14">
        <v>0.042762131</v>
      </c>
      <c r="P156" s="14" t="s">
        <v>1005</v>
      </c>
      <c r="Q156" s="14" t="s">
        <v>1006</v>
      </c>
      <c r="R156" s="14" t="s">
        <v>1007</v>
      </c>
      <c r="S156" s="14" t="s">
        <v>1008</v>
      </c>
      <c r="T156" s="14" t="s">
        <v>1009</v>
      </c>
      <c r="U156" s="14" t="s">
        <v>1010</v>
      </c>
    </row>
    <row r="157" spans="1:15">
      <c r="A157" s="14" t="s">
        <v>1011</v>
      </c>
      <c r="B157" s="14">
        <v>8.63759568</v>
      </c>
      <c r="C157" s="14">
        <v>1.997037563</v>
      </c>
      <c r="D157" s="14">
        <v>15.2781538</v>
      </c>
      <c r="E157" s="14">
        <v>7.620787029</v>
      </c>
      <c r="F157" s="14">
        <v>2.929939998</v>
      </c>
      <c r="G157" s="14">
        <v>0.001470765</v>
      </c>
      <c r="H157" s="14">
        <v>0.005137008</v>
      </c>
      <c r="I157" s="14" t="s">
        <v>164</v>
      </c>
      <c r="J157" s="14">
        <v>1.055729566</v>
      </c>
      <c r="K157" s="14">
        <v>1.328279178</v>
      </c>
      <c r="L157" s="14">
        <v>1.694181031</v>
      </c>
      <c r="M157" s="14">
        <v>0.075273052</v>
      </c>
      <c r="N157" s="14">
        <v>0.216646671</v>
      </c>
      <c r="O157" s="14">
        <v>0.147291784</v>
      </c>
    </row>
    <row r="158" spans="1:21">
      <c r="A158" s="14" t="s">
        <v>1012</v>
      </c>
      <c r="B158" s="14">
        <v>37.07906089</v>
      </c>
      <c r="C158" s="14">
        <v>17.06081773</v>
      </c>
      <c r="D158" s="14">
        <v>57.09730406</v>
      </c>
      <c r="E158" s="14">
        <v>3.357162828</v>
      </c>
      <c r="F158" s="14">
        <v>1.747242512</v>
      </c>
      <c r="G158" s="14">
        <v>0.006091551</v>
      </c>
      <c r="H158" s="14">
        <v>0.017583667</v>
      </c>
      <c r="I158" s="14" t="s">
        <v>164</v>
      </c>
      <c r="J158" s="14">
        <v>1.371526401</v>
      </c>
      <c r="K158" s="14">
        <v>0.933855667</v>
      </c>
      <c r="L158" s="14">
        <v>1.184632042</v>
      </c>
      <c r="M158" s="14">
        <v>0.241596913</v>
      </c>
      <c r="N158" s="14">
        <v>0.48012308</v>
      </c>
      <c r="O158" s="14">
        <v>0.118187185</v>
      </c>
      <c r="P158" s="14" t="s">
        <v>1013</v>
      </c>
      <c r="Q158" s="14" t="s">
        <v>1014</v>
      </c>
      <c r="T158" s="14" t="s">
        <v>1015</v>
      </c>
      <c r="U158" s="14" t="s">
        <v>1016</v>
      </c>
    </row>
    <row r="159" spans="1:21">
      <c r="A159" s="14" t="s">
        <v>1017</v>
      </c>
      <c r="B159" s="14">
        <v>2698.427058</v>
      </c>
      <c r="C159" s="14">
        <v>3764.075374</v>
      </c>
      <c r="D159" s="14">
        <v>1632.778743</v>
      </c>
      <c r="E159" s="14">
        <v>0.433768489</v>
      </c>
      <c r="F159" s="14">
        <v>-1.205002843</v>
      </c>
      <c r="G159" s="51" t="s">
        <v>1018</v>
      </c>
      <c r="H159" s="51" t="s">
        <v>1019</v>
      </c>
      <c r="I159" s="14" t="s">
        <v>147</v>
      </c>
      <c r="J159" s="14">
        <v>18.51508479</v>
      </c>
      <c r="K159" s="14">
        <v>33.15402004</v>
      </c>
      <c r="L159" s="14">
        <v>22.05401982</v>
      </c>
      <c r="M159" s="14">
        <v>46.52774961</v>
      </c>
      <c r="N159" s="14">
        <v>47.86128833</v>
      </c>
      <c r="O159" s="14">
        <v>45.38447946</v>
      </c>
      <c r="P159" s="14" t="s">
        <v>1020</v>
      </c>
      <c r="Q159" s="14" t="s">
        <v>1021</v>
      </c>
      <c r="T159" s="14" t="s">
        <v>1022</v>
      </c>
      <c r="U159" s="14" t="s">
        <v>1023</v>
      </c>
    </row>
    <row r="160" spans="1:21">
      <c r="A160" s="14" t="s">
        <v>1024</v>
      </c>
      <c r="B160" s="14">
        <v>904.4602121</v>
      </c>
      <c r="C160" s="14">
        <v>263.7244651</v>
      </c>
      <c r="D160" s="14">
        <v>1545.195959</v>
      </c>
      <c r="E160" s="14">
        <v>5.856166179</v>
      </c>
      <c r="F160" s="14">
        <v>2.549956493</v>
      </c>
      <c r="G160" s="14">
        <v>0.000720373</v>
      </c>
      <c r="H160" s="14">
        <v>0.002746576</v>
      </c>
      <c r="I160" s="14" t="s">
        <v>164</v>
      </c>
      <c r="J160" s="14">
        <v>42.64241012</v>
      </c>
      <c r="K160" s="14">
        <v>112.7494351</v>
      </c>
      <c r="L160" s="14">
        <v>62.44083874</v>
      </c>
      <c r="M160" s="14">
        <v>2.87406198</v>
      </c>
      <c r="N160" s="14">
        <v>4.327462538</v>
      </c>
      <c r="O160" s="14">
        <v>25.19024267</v>
      </c>
      <c r="P160" s="14" t="s">
        <v>1025</v>
      </c>
      <c r="Q160" s="14" t="s">
        <v>1026</v>
      </c>
      <c r="T160" s="14" t="s">
        <v>1027</v>
      </c>
      <c r="U160" s="14" t="s">
        <v>1028</v>
      </c>
    </row>
    <row r="161" spans="1:17">
      <c r="A161" s="14" t="s">
        <v>1029</v>
      </c>
      <c r="B161" s="14">
        <v>299.2792527</v>
      </c>
      <c r="C161" s="14">
        <v>190.8162721</v>
      </c>
      <c r="D161" s="14">
        <v>407.7422333</v>
      </c>
      <c r="E161" s="14">
        <v>2.134181501</v>
      </c>
      <c r="F161" s="14">
        <v>1.093682875</v>
      </c>
      <c r="G161" s="51" t="s">
        <v>1030</v>
      </c>
      <c r="H161" s="14">
        <v>0.000264994</v>
      </c>
      <c r="I161" s="14" t="s">
        <v>164</v>
      </c>
      <c r="J161" s="14">
        <v>11.83652229</v>
      </c>
      <c r="K161" s="14">
        <v>9.971343689</v>
      </c>
      <c r="L161" s="14">
        <v>9.95980241</v>
      </c>
      <c r="M161" s="14">
        <v>2.685927003</v>
      </c>
      <c r="N161" s="14">
        <v>4.477766842</v>
      </c>
      <c r="O161" s="14">
        <v>5.212652147</v>
      </c>
      <c r="P161" s="14" t="s">
        <v>1031</v>
      </c>
      <c r="Q161" s="14" t="s">
        <v>1032</v>
      </c>
    </row>
    <row r="162" spans="1:21">
      <c r="A162" s="14" t="s">
        <v>1033</v>
      </c>
      <c r="B162" s="14">
        <v>39.99194629</v>
      </c>
      <c r="C162" s="14">
        <v>12.26957736</v>
      </c>
      <c r="D162" s="14">
        <v>67.71431523</v>
      </c>
      <c r="E162" s="14">
        <v>5.49210159</v>
      </c>
      <c r="F162" s="14">
        <v>2.457358312</v>
      </c>
      <c r="G162" s="14">
        <v>0.007780017</v>
      </c>
      <c r="H162" s="14">
        <v>0.021708247</v>
      </c>
      <c r="I162" s="14" t="s">
        <v>164</v>
      </c>
      <c r="J162" s="14">
        <v>1.739012369</v>
      </c>
      <c r="K162" s="14">
        <v>0.364076522</v>
      </c>
      <c r="L162" s="14">
        <v>0.750134372</v>
      </c>
      <c r="M162" s="14">
        <v>0.023806236</v>
      </c>
      <c r="N162" s="14">
        <v>0.159874802</v>
      </c>
      <c r="O162" s="14">
        <v>0.256207848</v>
      </c>
      <c r="P162" s="14" t="s">
        <v>1034</v>
      </c>
      <c r="Q162" s="14" t="s">
        <v>1035</v>
      </c>
      <c r="R162" s="14" t="s">
        <v>1036</v>
      </c>
      <c r="S162" s="14" t="s">
        <v>1037</v>
      </c>
      <c r="T162" s="14" t="s">
        <v>1038</v>
      </c>
      <c r="U162" s="14" t="s">
        <v>1039</v>
      </c>
    </row>
    <row r="163" spans="1:21">
      <c r="A163" s="14" t="s">
        <v>1040</v>
      </c>
      <c r="B163" s="14">
        <v>842.0458816</v>
      </c>
      <c r="C163" s="14">
        <v>169.9521486</v>
      </c>
      <c r="D163" s="14">
        <v>1514.139615</v>
      </c>
      <c r="E163" s="14">
        <v>8.902337068</v>
      </c>
      <c r="F163" s="14">
        <v>3.154184126</v>
      </c>
      <c r="G163" s="51" t="s">
        <v>968</v>
      </c>
      <c r="H163" s="14">
        <v>0.000140341</v>
      </c>
      <c r="I163" s="14" t="s">
        <v>164</v>
      </c>
      <c r="J163" s="14">
        <v>23.05079637</v>
      </c>
      <c r="K163" s="14">
        <v>14.63970303</v>
      </c>
      <c r="L163" s="14">
        <v>21.94436805</v>
      </c>
      <c r="M163" s="14">
        <v>0.68888599</v>
      </c>
      <c r="N163" s="14">
        <v>0.469028875</v>
      </c>
      <c r="O163" s="14">
        <v>4.663607142</v>
      </c>
      <c r="P163" s="14" t="s">
        <v>1041</v>
      </c>
      <c r="Q163" s="14" t="s">
        <v>1042</v>
      </c>
      <c r="R163" s="14" t="s">
        <v>1043</v>
      </c>
      <c r="S163" s="14" t="s">
        <v>1044</v>
      </c>
      <c r="T163" s="14" t="s">
        <v>1045</v>
      </c>
      <c r="U163" s="14" t="s">
        <v>1046</v>
      </c>
    </row>
    <row r="164" spans="1:21">
      <c r="A164" s="14" t="s">
        <v>1047</v>
      </c>
      <c r="B164" s="14">
        <v>7205.858317</v>
      </c>
      <c r="C164" s="14">
        <v>3214.335502</v>
      </c>
      <c r="D164" s="14">
        <v>11197.38113</v>
      </c>
      <c r="E164" s="14">
        <v>3.483695539</v>
      </c>
      <c r="F164" s="14">
        <v>1.800618544</v>
      </c>
      <c r="G164" s="51" t="s">
        <v>423</v>
      </c>
      <c r="H164" s="51" t="s">
        <v>424</v>
      </c>
      <c r="I164" s="14" t="s">
        <v>164</v>
      </c>
      <c r="J164" s="14">
        <v>95.13383962</v>
      </c>
      <c r="K164" s="14">
        <v>104.8021421</v>
      </c>
      <c r="L164" s="14">
        <v>69.28174376</v>
      </c>
      <c r="M164" s="14">
        <v>21.23374149</v>
      </c>
      <c r="N164" s="14">
        <v>22.2973823</v>
      </c>
      <c r="O164" s="14">
        <v>19.98236699</v>
      </c>
      <c r="P164" s="14" t="s">
        <v>1048</v>
      </c>
      <c r="Q164" s="14" t="s">
        <v>1049</v>
      </c>
      <c r="R164" s="14" t="s">
        <v>771</v>
      </c>
      <c r="S164" s="14" t="s">
        <v>772</v>
      </c>
      <c r="T164" s="14" t="s">
        <v>1050</v>
      </c>
      <c r="U164" s="14" t="s">
        <v>1051</v>
      </c>
    </row>
    <row r="165" spans="1:21">
      <c r="A165" s="14" t="s">
        <v>1052</v>
      </c>
      <c r="B165" s="14">
        <v>658.483786</v>
      </c>
      <c r="C165" s="14">
        <v>336.0514128</v>
      </c>
      <c r="D165" s="14">
        <v>980.9161591</v>
      </c>
      <c r="E165" s="14">
        <v>2.920137359</v>
      </c>
      <c r="F165" s="14">
        <v>1.546036233</v>
      </c>
      <c r="G165" s="51" t="s">
        <v>1053</v>
      </c>
      <c r="H165" s="14">
        <v>0.000303745</v>
      </c>
      <c r="I165" s="14" t="s">
        <v>164</v>
      </c>
      <c r="J165" s="14">
        <v>6.065675142</v>
      </c>
      <c r="K165" s="14">
        <v>13.03207242</v>
      </c>
      <c r="L165" s="14">
        <v>8.412221172</v>
      </c>
      <c r="M165" s="14">
        <v>3.07100448</v>
      </c>
      <c r="N165" s="14">
        <v>2.763550151</v>
      </c>
      <c r="O165" s="14">
        <v>1.832274306</v>
      </c>
      <c r="P165" s="14" t="s">
        <v>1054</v>
      </c>
      <c r="Q165" s="14" t="s">
        <v>1055</v>
      </c>
      <c r="R165" s="14" t="s">
        <v>1056</v>
      </c>
      <c r="S165" s="14" t="s">
        <v>1057</v>
      </c>
      <c r="T165" s="14" t="s">
        <v>1058</v>
      </c>
      <c r="U165" s="14" t="s">
        <v>1059</v>
      </c>
    </row>
    <row r="166" spans="1:21">
      <c r="A166" s="14" t="s">
        <v>1060</v>
      </c>
      <c r="B166" s="14">
        <v>9696.585829</v>
      </c>
      <c r="C166" s="14">
        <v>14071.55516</v>
      </c>
      <c r="D166" s="14">
        <v>5321.616498</v>
      </c>
      <c r="E166" s="14">
        <v>0.378188476</v>
      </c>
      <c r="F166" s="14">
        <v>-1.402822692</v>
      </c>
      <c r="G166" s="51" t="s">
        <v>1061</v>
      </c>
      <c r="H166" s="51" t="s">
        <v>1062</v>
      </c>
      <c r="I166" s="14" t="s">
        <v>147</v>
      </c>
      <c r="J166" s="14">
        <v>28.67368906</v>
      </c>
      <c r="K166" s="14">
        <v>32.32669503</v>
      </c>
      <c r="L166" s="14">
        <v>28.46402377</v>
      </c>
      <c r="M166" s="14">
        <v>79.03987224</v>
      </c>
      <c r="N166" s="14">
        <v>71.53963954</v>
      </c>
      <c r="O166" s="14">
        <v>41.09241542</v>
      </c>
      <c r="P166" s="14" t="s">
        <v>1063</v>
      </c>
      <c r="Q166" s="14" t="s">
        <v>1064</v>
      </c>
      <c r="R166" s="14" t="s">
        <v>1065</v>
      </c>
      <c r="S166" s="14" t="s">
        <v>1066</v>
      </c>
      <c r="T166" s="14" t="s">
        <v>1067</v>
      </c>
      <c r="U166" s="14" t="s">
        <v>1068</v>
      </c>
    </row>
    <row r="167" spans="1:21">
      <c r="A167" s="14" t="s">
        <v>1069</v>
      </c>
      <c r="B167" s="14">
        <v>112.4314655</v>
      </c>
      <c r="C167" s="14">
        <v>222.6125237</v>
      </c>
      <c r="D167" s="14">
        <v>2.250407317</v>
      </c>
      <c r="E167" s="14">
        <v>0.010186403</v>
      </c>
      <c r="F167" s="14">
        <v>-6.617211419</v>
      </c>
      <c r="G167" s="51" t="s">
        <v>1070</v>
      </c>
      <c r="H167" s="51" t="s">
        <v>1071</v>
      </c>
      <c r="I167" s="14" t="s">
        <v>147</v>
      </c>
      <c r="J167" s="14">
        <v>0.058098325</v>
      </c>
      <c r="K167" s="14">
        <v>0.02923885</v>
      </c>
      <c r="L167" s="14">
        <v>0.111879879</v>
      </c>
      <c r="M167" s="14">
        <v>6.735517894</v>
      </c>
      <c r="N167" s="14">
        <v>7.868770586</v>
      </c>
      <c r="O167" s="14">
        <v>0.996998635</v>
      </c>
      <c r="P167" s="14" t="s">
        <v>1072</v>
      </c>
      <c r="Q167" s="14" t="s">
        <v>1073</v>
      </c>
      <c r="T167" s="14" t="s">
        <v>1074</v>
      </c>
      <c r="U167" s="14" t="s">
        <v>1075</v>
      </c>
    </row>
    <row r="168" spans="1:21">
      <c r="A168" s="14" t="s">
        <v>1076</v>
      </c>
      <c r="B168" s="14">
        <v>310.7426284</v>
      </c>
      <c r="C168" s="14">
        <v>614.4311532</v>
      </c>
      <c r="D168" s="14">
        <v>7.054103548</v>
      </c>
      <c r="E168" s="14">
        <v>0.011594381</v>
      </c>
      <c r="F168" s="14">
        <v>-6.430430338</v>
      </c>
      <c r="G168" s="51" t="s">
        <v>1077</v>
      </c>
      <c r="H168" s="51" t="s">
        <v>1078</v>
      </c>
      <c r="I168" s="14" t="s">
        <v>147</v>
      </c>
      <c r="J168" s="14">
        <v>0.085710003</v>
      </c>
      <c r="K168" s="14">
        <v>0.143782798</v>
      </c>
      <c r="L168" s="14">
        <v>0.385120533</v>
      </c>
      <c r="M168" s="14">
        <v>16.42659754</v>
      </c>
      <c r="N168" s="14">
        <v>16.01733607</v>
      </c>
      <c r="O168" s="14">
        <v>10.8100022</v>
      </c>
      <c r="P168" s="14" t="s">
        <v>1079</v>
      </c>
      <c r="Q168" s="14" t="s">
        <v>1080</v>
      </c>
      <c r="T168" s="14" t="s">
        <v>1081</v>
      </c>
      <c r="U168" s="14" t="s">
        <v>1082</v>
      </c>
    </row>
    <row r="169" spans="1:21">
      <c r="A169" s="14" t="s">
        <v>1083</v>
      </c>
      <c r="B169" s="14">
        <v>257.9319565</v>
      </c>
      <c r="C169" s="14">
        <v>98.15546571</v>
      </c>
      <c r="D169" s="14">
        <v>417.7084473</v>
      </c>
      <c r="E169" s="14">
        <v>4.25116345</v>
      </c>
      <c r="F169" s="14">
        <v>2.087857729</v>
      </c>
      <c r="G169" s="14">
        <v>0.019924268</v>
      </c>
      <c r="H169" s="14">
        <v>0.048385956</v>
      </c>
      <c r="I169" s="14" t="s">
        <v>164</v>
      </c>
      <c r="J169" s="14">
        <v>4.026136813</v>
      </c>
      <c r="K169" s="14">
        <v>1.268526206</v>
      </c>
      <c r="L169" s="14">
        <v>3.345257898</v>
      </c>
      <c r="M169" s="14">
        <v>0.128230641</v>
      </c>
      <c r="N169" s="14">
        <v>0.162165465</v>
      </c>
      <c r="O169" s="14">
        <v>1.482693847</v>
      </c>
      <c r="P169" s="14" t="s">
        <v>1084</v>
      </c>
      <c r="Q169" s="14" t="s">
        <v>1085</v>
      </c>
      <c r="R169" s="14" t="s">
        <v>1086</v>
      </c>
      <c r="S169" s="14" t="s">
        <v>1087</v>
      </c>
      <c r="T169" s="14" t="s">
        <v>1088</v>
      </c>
      <c r="U169" s="14" t="s">
        <v>1089</v>
      </c>
    </row>
    <row r="170" spans="1:21">
      <c r="A170" s="14" t="s">
        <v>1090</v>
      </c>
      <c r="B170" s="14">
        <v>1629.397167</v>
      </c>
      <c r="C170" s="14">
        <v>2226.002479</v>
      </c>
      <c r="D170" s="14">
        <v>1032.791856</v>
      </c>
      <c r="E170" s="14">
        <v>0.464007931</v>
      </c>
      <c r="F170" s="14">
        <v>-1.107778631</v>
      </c>
      <c r="G170" s="51" t="s">
        <v>1091</v>
      </c>
      <c r="H170" s="51" t="s">
        <v>1092</v>
      </c>
      <c r="I170" s="14" t="s">
        <v>147</v>
      </c>
      <c r="J170" s="14">
        <v>14.60647166</v>
      </c>
      <c r="K170" s="14">
        <v>16.65396288</v>
      </c>
      <c r="L170" s="14">
        <v>16.13547647</v>
      </c>
      <c r="M170" s="14">
        <v>29.53181182</v>
      </c>
      <c r="N170" s="14">
        <v>24.63837656</v>
      </c>
      <c r="O170" s="14">
        <v>29.95885903</v>
      </c>
      <c r="P170" s="14" t="s">
        <v>1093</v>
      </c>
      <c r="Q170" s="14" t="s">
        <v>1094</v>
      </c>
      <c r="T170" s="14" t="s">
        <v>1095</v>
      </c>
      <c r="U170" s="14" t="s">
        <v>1096</v>
      </c>
    </row>
    <row r="171" spans="1:15">
      <c r="A171" s="14" t="s">
        <v>1097</v>
      </c>
      <c r="B171" s="14">
        <v>13.67785991</v>
      </c>
      <c r="C171" s="14">
        <v>2.675013314</v>
      </c>
      <c r="D171" s="14">
        <v>24.68070651</v>
      </c>
      <c r="E171" s="14">
        <v>9.203295749</v>
      </c>
      <c r="F171" s="14">
        <v>3.202150591</v>
      </c>
      <c r="G171" s="14">
        <v>0.000344568</v>
      </c>
      <c r="H171" s="14">
        <v>0.00143172</v>
      </c>
      <c r="I171" s="14" t="s">
        <v>164</v>
      </c>
      <c r="J171" s="14">
        <v>0.792929932</v>
      </c>
      <c r="K171" s="14">
        <v>1.436593789</v>
      </c>
      <c r="L171" s="14">
        <v>0.725298531</v>
      </c>
      <c r="M171" s="14">
        <v>0.033921332</v>
      </c>
      <c r="N171" s="14">
        <v>0.162717457</v>
      </c>
      <c r="O171" s="14">
        <v>0.066376126</v>
      </c>
    </row>
    <row r="172" spans="1:21">
      <c r="A172" s="14" t="s">
        <v>1098</v>
      </c>
      <c r="B172" s="14">
        <v>293.1320794</v>
      </c>
      <c r="C172" s="14">
        <v>423.3470368</v>
      </c>
      <c r="D172" s="14">
        <v>162.917122</v>
      </c>
      <c r="E172" s="14">
        <v>0.384645501</v>
      </c>
      <c r="F172" s="14">
        <v>-1.378398661</v>
      </c>
      <c r="G172" s="14">
        <v>0.000237178</v>
      </c>
      <c r="H172" s="14">
        <v>0.001020497</v>
      </c>
      <c r="I172" s="14" t="s">
        <v>147</v>
      </c>
      <c r="J172" s="14">
        <v>12.76746121</v>
      </c>
      <c r="K172" s="14">
        <v>11.71693421</v>
      </c>
      <c r="L172" s="14">
        <v>12.58239326</v>
      </c>
      <c r="M172" s="14">
        <v>19.91981982</v>
      </c>
      <c r="N172" s="14">
        <v>17.01468975</v>
      </c>
      <c r="O172" s="14">
        <v>44.25938497</v>
      </c>
      <c r="P172" s="14" t="s">
        <v>1099</v>
      </c>
      <c r="Q172" s="14" t="s">
        <v>1100</v>
      </c>
      <c r="T172" s="14" t="s">
        <v>1101</v>
      </c>
      <c r="U172" s="14" t="s">
        <v>1102</v>
      </c>
    </row>
    <row r="173" spans="1:21">
      <c r="A173" s="14" t="s">
        <v>1103</v>
      </c>
      <c r="B173" s="14">
        <v>1714.158639</v>
      </c>
      <c r="C173" s="14">
        <v>958.0892898</v>
      </c>
      <c r="D173" s="14">
        <v>2470.227989</v>
      </c>
      <c r="E173" s="14">
        <v>2.579037891</v>
      </c>
      <c r="F173" s="14">
        <v>1.366832969</v>
      </c>
      <c r="G173" s="51" t="s">
        <v>1104</v>
      </c>
      <c r="H173" s="51" t="s">
        <v>1105</v>
      </c>
      <c r="I173" s="14" t="s">
        <v>164</v>
      </c>
      <c r="J173" s="14">
        <v>140.2931855</v>
      </c>
      <c r="K173" s="14">
        <v>116.9041031</v>
      </c>
      <c r="L173" s="14">
        <v>147.3565966</v>
      </c>
      <c r="M173" s="14">
        <v>42.52267139</v>
      </c>
      <c r="N173" s="14">
        <v>42.87957058</v>
      </c>
      <c r="O173" s="14">
        <v>43.50275772</v>
      </c>
      <c r="P173" s="14" t="s">
        <v>1106</v>
      </c>
      <c r="Q173" s="14" t="s">
        <v>1107</v>
      </c>
      <c r="T173" s="14" t="s">
        <v>1108</v>
      </c>
      <c r="U173" s="14" t="s">
        <v>1109</v>
      </c>
    </row>
    <row r="174" spans="1:21">
      <c r="A174" s="14" t="s">
        <v>1110</v>
      </c>
      <c r="B174" s="14">
        <v>62983.67099</v>
      </c>
      <c r="C174" s="14">
        <v>89260.69814</v>
      </c>
      <c r="D174" s="14">
        <v>36706.64385</v>
      </c>
      <c r="E174" s="14">
        <v>0.411230618</v>
      </c>
      <c r="F174" s="14">
        <v>-1.281980413</v>
      </c>
      <c r="G174" s="51" t="s">
        <v>1111</v>
      </c>
      <c r="H174" s="14">
        <v>0.000213451</v>
      </c>
      <c r="I174" s="14" t="s">
        <v>147</v>
      </c>
      <c r="J174" s="14">
        <v>2339.054785</v>
      </c>
      <c r="K174" s="14">
        <v>3132.113192</v>
      </c>
      <c r="L174" s="14">
        <v>2482.792751</v>
      </c>
      <c r="M174" s="14">
        <v>6086.132586</v>
      </c>
      <c r="N174" s="14">
        <v>6180.022621</v>
      </c>
      <c r="O174" s="14">
        <v>3427.137284</v>
      </c>
      <c r="P174" s="14" t="s">
        <v>1112</v>
      </c>
      <c r="Q174" s="14" t="s">
        <v>1113</v>
      </c>
      <c r="T174" s="14" t="s">
        <v>1114</v>
      </c>
      <c r="U174" s="14" t="s">
        <v>1115</v>
      </c>
    </row>
    <row r="175" spans="1:21">
      <c r="A175" s="14" t="s">
        <v>1116</v>
      </c>
      <c r="B175" s="14">
        <v>1279.609986</v>
      </c>
      <c r="C175" s="14">
        <v>831.4555015</v>
      </c>
      <c r="D175" s="14">
        <v>1727.764471</v>
      </c>
      <c r="E175" s="14">
        <v>2.079061163</v>
      </c>
      <c r="F175" s="14">
        <v>1.055932201</v>
      </c>
      <c r="G175" s="51" t="s">
        <v>1117</v>
      </c>
      <c r="H175" s="51" t="s">
        <v>1118</v>
      </c>
      <c r="I175" s="14" t="s">
        <v>164</v>
      </c>
      <c r="J175" s="14">
        <v>19.71901717</v>
      </c>
      <c r="K175" s="14">
        <v>19.5454703</v>
      </c>
      <c r="L175" s="14">
        <v>21.21098408</v>
      </c>
      <c r="M175" s="14">
        <v>8.094755432</v>
      </c>
      <c r="N175" s="14">
        <v>7.557347493</v>
      </c>
      <c r="O175" s="14">
        <v>8.287235026</v>
      </c>
      <c r="P175" s="14" t="s">
        <v>1119</v>
      </c>
      <c r="Q175" s="14" t="s">
        <v>1120</v>
      </c>
      <c r="T175" s="14" t="s">
        <v>1121</v>
      </c>
      <c r="U175" s="14" t="s">
        <v>1122</v>
      </c>
    </row>
    <row r="176" spans="1:21">
      <c r="A176" s="14" t="s">
        <v>1123</v>
      </c>
      <c r="B176" s="14">
        <v>174.9481388</v>
      </c>
      <c r="C176" s="14">
        <v>57.83912842</v>
      </c>
      <c r="D176" s="14">
        <v>292.0571491</v>
      </c>
      <c r="E176" s="14">
        <v>5.03289139</v>
      </c>
      <c r="F176" s="14">
        <v>2.331387465</v>
      </c>
      <c r="G176" s="51" t="s">
        <v>1124</v>
      </c>
      <c r="H176" s="51" t="s">
        <v>1125</v>
      </c>
      <c r="I176" s="14" t="s">
        <v>164</v>
      </c>
      <c r="J176" s="14">
        <v>2.241849612</v>
      </c>
      <c r="K176" s="14">
        <v>2.489631331</v>
      </c>
      <c r="L176" s="14">
        <v>2.588683329</v>
      </c>
      <c r="M176" s="14">
        <v>0.311428209</v>
      </c>
      <c r="N176" s="14">
        <v>0.393844246</v>
      </c>
      <c r="O176" s="14">
        <v>0.498593682</v>
      </c>
      <c r="P176" s="14" t="s">
        <v>1126</v>
      </c>
      <c r="Q176" s="14" t="s">
        <v>1127</v>
      </c>
      <c r="R176" s="14" t="s">
        <v>1128</v>
      </c>
      <c r="S176" s="14" t="s">
        <v>1129</v>
      </c>
      <c r="T176" s="14" t="s">
        <v>1130</v>
      </c>
      <c r="U176" s="14" t="s">
        <v>1131</v>
      </c>
    </row>
    <row r="177" spans="1:21">
      <c r="A177" s="14" t="s">
        <v>1132</v>
      </c>
      <c r="B177" s="14">
        <v>358.5187433</v>
      </c>
      <c r="C177" s="14">
        <v>38.97230562</v>
      </c>
      <c r="D177" s="14">
        <v>678.065181</v>
      </c>
      <c r="E177" s="14">
        <v>17.41319779</v>
      </c>
      <c r="F177" s="14">
        <v>4.122109261</v>
      </c>
      <c r="G177" s="51" t="s">
        <v>1133</v>
      </c>
      <c r="H177" s="51" t="s">
        <v>1134</v>
      </c>
      <c r="I177" s="14" t="s">
        <v>164</v>
      </c>
      <c r="J177" s="14">
        <v>10.64036905</v>
      </c>
      <c r="K177" s="14">
        <v>7.988823734</v>
      </c>
      <c r="L177" s="14">
        <v>8.719211359</v>
      </c>
      <c r="M177" s="14">
        <v>0.376003543</v>
      </c>
      <c r="N177" s="14">
        <v>0.502836819</v>
      </c>
      <c r="O177" s="14">
        <v>0.412466542</v>
      </c>
      <c r="P177" s="14" t="s">
        <v>1135</v>
      </c>
      <c r="Q177" s="14" t="s">
        <v>1136</v>
      </c>
      <c r="T177" s="14" t="s">
        <v>1137</v>
      </c>
      <c r="U177" s="14" t="s">
        <v>1138</v>
      </c>
    </row>
    <row r="178" spans="1:21">
      <c r="A178" s="14" t="s">
        <v>1139</v>
      </c>
      <c r="B178" s="14">
        <v>2640.255613</v>
      </c>
      <c r="C178" s="14">
        <v>3803.256225</v>
      </c>
      <c r="D178" s="14">
        <v>1477.255</v>
      </c>
      <c r="E178" s="14">
        <v>0.388433663</v>
      </c>
      <c r="F178" s="14">
        <v>-1.364259859</v>
      </c>
      <c r="G178" s="51" t="s">
        <v>1140</v>
      </c>
      <c r="H178" s="14">
        <v>0.000265456</v>
      </c>
      <c r="I178" s="14" t="s">
        <v>147</v>
      </c>
      <c r="J178" s="14">
        <v>32.96922162</v>
      </c>
      <c r="K178" s="14">
        <v>42.87160025</v>
      </c>
      <c r="L178" s="14">
        <v>34.4768857</v>
      </c>
      <c r="M178" s="14">
        <v>89.1221539</v>
      </c>
      <c r="N178" s="14">
        <v>93.72621126</v>
      </c>
      <c r="O178" s="14">
        <v>47.26453021</v>
      </c>
      <c r="P178" s="14" t="s">
        <v>1141</v>
      </c>
      <c r="Q178" s="14" t="s">
        <v>1142</v>
      </c>
      <c r="T178" s="14" t="s">
        <v>1143</v>
      </c>
      <c r="U178" s="14" t="s">
        <v>1144</v>
      </c>
    </row>
    <row r="179" spans="1:21">
      <c r="A179" s="14" t="s">
        <v>1145</v>
      </c>
      <c r="B179" s="14">
        <v>275.6155181</v>
      </c>
      <c r="C179" s="14">
        <v>96.96556683</v>
      </c>
      <c r="D179" s="14">
        <v>454.2654693</v>
      </c>
      <c r="E179" s="14">
        <v>4.686474422</v>
      </c>
      <c r="F179" s="14">
        <v>2.228503009</v>
      </c>
      <c r="G179" s="51" t="s">
        <v>1146</v>
      </c>
      <c r="H179" s="51" t="s">
        <v>1147</v>
      </c>
      <c r="I179" s="14" t="s">
        <v>164</v>
      </c>
      <c r="J179" s="14">
        <v>11.12388965</v>
      </c>
      <c r="K179" s="14">
        <v>8.142928873</v>
      </c>
      <c r="L179" s="14">
        <v>10.3584438</v>
      </c>
      <c r="M179" s="14">
        <v>1.693643667</v>
      </c>
      <c r="N179" s="14">
        <v>1.642511443</v>
      </c>
      <c r="O179" s="14">
        <v>1.873167258</v>
      </c>
      <c r="P179" s="14" t="s">
        <v>1148</v>
      </c>
      <c r="Q179" s="14" t="s">
        <v>1149</v>
      </c>
      <c r="T179" s="14" t="s">
        <v>1150</v>
      </c>
      <c r="U179" s="14" t="s">
        <v>1151</v>
      </c>
    </row>
    <row r="180" spans="1:21">
      <c r="A180" s="14" t="s">
        <v>1152</v>
      </c>
      <c r="B180" s="14">
        <v>401.4446231</v>
      </c>
      <c r="C180" s="14">
        <v>554.1420193</v>
      </c>
      <c r="D180" s="14">
        <v>248.747227</v>
      </c>
      <c r="E180" s="14">
        <v>0.44908628</v>
      </c>
      <c r="F180" s="14">
        <v>-1.154935448</v>
      </c>
      <c r="G180" s="14">
        <v>0.000838361</v>
      </c>
      <c r="H180" s="14">
        <v>0.003134701</v>
      </c>
      <c r="I180" s="14" t="s">
        <v>147</v>
      </c>
      <c r="J180" s="14">
        <v>2.628891805</v>
      </c>
      <c r="K180" s="14">
        <v>1.341404466</v>
      </c>
      <c r="L180" s="14">
        <v>2.926731212</v>
      </c>
      <c r="M180" s="14">
        <v>4.068984487</v>
      </c>
      <c r="N180" s="14">
        <v>4.787848606</v>
      </c>
      <c r="O180" s="14">
        <v>3.683022336</v>
      </c>
      <c r="P180" s="14" t="s">
        <v>1153</v>
      </c>
      <c r="Q180" s="14" t="s">
        <v>1154</v>
      </c>
      <c r="T180" s="14" t="s">
        <v>1155</v>
      </c>
      <c r="U180" s="14" t="s">
        <v>1156</v>
      </c>
    </row>
    <row r="181" spans="1:15">
      <c r="A181" s="14" t="s">
        <v>1157</v>
      </c>
      <c r="B181" s="14">
        <v>2173.825017</v>
      </c>
      <c r="C181" s="14">
        <v>615.7695266</v>
      </c>
      <c r="D181" s="14">
        <v>3731.880507</v>
      </c>
      <c r="E181" s="14">
        <v>6.05907323</v>
      </c>
      <c r="F181" s="14">
        <v>2.599097142</v>
      </c>
      <c r="G181" s="14">
        <v>0.000409165</v>
      </c>
      <c r="H181" s="14">
        <v>0.00166517</v>
      </c>
      <c r="I181" s="14" t="s">
        <v>164</v>
      </c>
      <c r="J181" s="14">
        <v>277.7660893</v>
      </c>
      <c r="K181" s="14">
        <v>319.7374094</v>
      </c>
      <c r="L181" s="14">
        <v>302.4879903</v>
      </c>
      <c r="M181" s="14">
        <v>8.925696795</v>
      </c>
      <c r="N181" s="14">
        <v>17.45313049</v>
      </c>
      <c r="O181" s="14">
        <v>103.0598076</v>
      </c>
    </row>
    <row r="182" spans="1:15">
      <c r="A182" s="14" t="s">
        <v>1158</v>
      </c>
      <c r="B182" s="14">
        <v>164.2843153</v>
      </c>
      <c r="C182" s="14">
        <v>23.24804554</v>
      </c>
      <c r="D182" s="14">
        <v>305.320585</v>
      </c>
      <c r="E182" s="14">
        <v>13.06231344</v>
      </c>
      <c r="F182" s="14">
        <v>3.707338527</v>
      </c>
      <c r="G182" s="51" t="s">
        <v>1159</v>
      </c>
      <c r="H182" s="51" t="s">
        <v>1160</v>
      </c>
      <c r="I182" s="14" t="s">
        <v>164</v>
      </c>
      <c r="J182" s="14">
        <v>19.37649996</v>
      </c>
      <c r="K182" s="14">
        <v>14.68396433</v>
      </c>
      <c r="L182" s="14">
        <v>18.06007309</v>
      </c>
      <c r="M182" s="14">
        <v>0.433738012</v>
      </c>
      <c r="N182" s="14">
        <v>0.32364899</v>
      </c>
      <c r="O182" s="14">
        <v>2.687626005</v>
      </c>
    </row>
    <row r="183" spans="1:21">
      <c r="A183" s="14" t="s">
        <v>1161</v>
      </c>
      <c r="B183" s="14">
        <v>1616.188469</v>
      </c>
      <c r="C183" s="14">
        <v>1058.26293</v>
      </c>
      <c r="D183" s="14">
        <v>2174.114009</v>
      </c>
      <c r="E183" s="14">
        <v>2.055148893</v>
      </c>
      <c r="F183" s="14">
        <v>1.039242919</v>
      </c>
      <c r="G183" s="51" t="s">
        <v>1162</v>
      </c>
      <c r="H183" s="51" t="s">
        <v>1163</v>
      </c>
      <c r="I183" s="14" t="s">
        <v>164</v>
      </c>
      <c r="J183" s="14">
        <v>29.23158817</v>
      </c>
      <c r="K183" s="14">
        <v>24.69769096</v>
      </c>
      <c r="L183" s="14">
        <v>28.76194562</v>
      </c>
      <c r="M183" s="14">
        <v>11.43669704</v>
      </c>
      <c r="N183" s="14">
        <v>10.52914594</v>
      </c>
      <c r="O183" s="14">
        <v>11.09491376</v>
      </c>
      <c r="P183" s="14" t="s">
        <v>1164</v>
      </c>
      <c r="Q183" s="14" t="s">
        <v>1165</v>
      </c>
      <c r="T183" s="14" t="s">
        <v>1166</v>
      </c>
      <c r="U183" s="14" t="s">
        <v>1167</v>
      </c>
    </row>
    <row r="184" spans="1:15">
      <c r="A184" s="14" t="s">
        <v>1168</v>
      </c>
      <c r="B184" s="14">
        <v>1546.126295</v>
      </c>
      <c r="C184" s="14">
        <v>2151.544721</v>
      </c>
      <c r="D184" s="14">
        <v>940.7078683</v>
      </c>
      <c r="E184" s="14">
        <v>0.437265433</v>
      </c>
      <c r="F184" s="14">
        <v>-1.19341879</v>
      </c>
      <c r="G184" s="51" t="s">
        <v>1169</v>
      </c>
      <c r="H184" s="51" t="s">
        <v>1170</v>
      </c>
      <c r="I184" s="14" t="s">
        <v>147</v>
      </c>
      <c r="J184" s="14">
        <v>13.61616528</v>
      </c>
      <c r="K184" s="14">
        <v>17.05879004</v>
      </c>
      <c r="L184" s="14">
        <v>14.94576147</v>
      </c>
      <c r="M184" s="14">
        <v>30.05679067</v>
      </c>
      <c r="N184" s="14">
        <v>31.57093</v>
      </c>
      <c r="O184" s="14">
        <v>23.60074141</v>
      </c>
    </row>
    <row r="185" spans="1:21">
      <c r="A185" s="14" t="s">
        <v>1171</v>
      </c>
      <c r="B185" s="14">
        <v>3295.253779</v>
      </c>
      <c r="C185" s="14">
        <v>1511.925047</v>
      </c>
      <c r="D185" s="14">
        <v>5078.582511</v>
      </c>
      <c r="E185" s="14">
        <v>3.359077046</v>
      </c>
      <c r="F185" s="14">
        <v>1.748064887</v>
      </c>
      <c r="G185" s="51" t="s">
        <v>1172</v>
      </c>
      <c r="H185" s="51" t="s">
        <v>1173</v>
      </c>
      <c r="I185" s="14" t="s">
        <v>164</v>
      </c>
      <c r="J185" s="14">
        <v>27.09785697</v>
      </c>
      <c r="K185" s="14">
        <v>20.42447101</v>
      </c>
      <c r="L185" s="14">
        <v>21.51785557</v>
      </c>
      <c r="M185" s="14">
        <v>5.342947799</v>
      </c>
      <c r="N185" s="14">
        <v>5.634462942</v>
      </c>
      <c r="O185" s="14">
        <v>5.96027074</v>
      </c>
      <c r="P185" s="14" t="s">
        <v>1174</v>
      </c>
      <c r="Q185" s="14" t="s">
        <v>1175</v>
      </c>
      <c r="T185" s="14" t="s">
        <v>1176</v>
      </c>
      <c r="U185" s="14" t="s">
        <v>1177</v>
      </c>
    </row>
    <row r="186" spans="1:21">
      <c r="A186" s="14" t="s">
        <v>1178</v>
      </c>
      <c r="B186" s="14">
        <v>11180.83721</v>
      </c>
      <c r="C186" s="14">
        <v>6213.72761</v>
      </c>
      <c r="D186" s="14">
        <v>16147.9468</v>
      </c>
      <c r="E186" s="14">
        <v>2.598637168</v>
      </c>
      <c r="F186" s="14">
        <v>1.377755213</v>
      </c>
      <c r="G186" s="51" t="s">
        <v>1179</v>
      </c>
      <c r="H186" s="51" t="s">
        <v>1180</v>
      </c>
      <c r="I186" s="14" t="s">
        <v>164</v>
      </c>
      <c r="J186" s="14">
        <v>214.5140335</v>
      </c>
      <c r="K186" s="14">
        <v>179.7341833</v>
      </c>
      <c r="L186" s="14">
        <v>244.7732653</v>
      </c>
      <c r="M186" s="14">
        <v>51.00546647</v>
      </c>
      <c r="N186" s="14">
        <v>52.89636543</v>
      </c>
      <c r="O186" s="14">
        <v>101.9792769</v>
      </c>
      <c r="P186" s="14" t="s">
        <v>1181</v>
      </c>
      <c r="Q186" s="14" t="s">
        <v>1182</v>
      </c>
      <c r="R186" s="14" t="s">
        <v>1183</v>
      </c>
      <c r="S186" s="14" t="s">
        <v>1184</v>
      </c>
      <c r="T186" s="14" t="s">
        <v>1185</v>
      </c>
      <c r="U186" s="14" t="s">
        <v>1186</v>
      </c>
    </row>
    <row r="187" spans="1:21">
      <c r="A187" s="14" t="s">
        <v>1187</v>
      </c>
      <c r="B187" s="14">
        <v>700.2801236</v>
      </c>
      <c r="C187" s="14">
        <v>1006.234662</v>
      </c>
      <c r="D187" s="14">
        <v>394.3255856</v>
      </c>
      <c r="E187" s="14">
        <v>0.391921283</v>
      </c>
      <c r="F187" s="14">
        <v>-1.351364174</v>
      </c>
      <c r="G187" s="14">
        <v>0.000476633</v>
      </c>
      <c r="H187" s="14">
        <v>0.001904074</v>
      </c>
      <c r="I187" s="14" t="s">
        <v>147</v>
      </c>
      <c r="J187" s="14">
        <v>3.761666322</v>
      </c>
      <c r="K187" s="14">
        <v>7.749938533</v>
      </c>
      <c r="L187" s="14">
        <v>6.027098423</v>
      </c>
      <c r="M187" s="14">
        <v>12.8864192</v>
      </c>
      <c r="N187" s="14">
        <v>15.25773809</v>
      </c>
      <c r="O187" s="14">
        <v>8.216632362</v>
      </c>
      <c r="P187" s="14" t="s">
        <v>1188</v>
      </c>
      <c r="Q187" s="14" t="s">
        <v>1189</v>
      </c>
      <c r="T187" s="14" t="s">
        <v>1190</v>
      </c>
      <c r="U187" s="14" t="s">
        <v>1191</v>
      </c>
    </row>
    <row r="188" spans="1:21">
      <c r="A188" s="14" t="s">
        <v>1192</v>
      </c>
      <c r="B188" s="14">
        <v>1109.9989</v>
      </c>
      <c r="C188" s="14">
        <v>1503.141752</v>
      </c>
      <c r="D188" s="14">
        <v>716.8560473</v>
      </c>
      <c r="E188" s="14">
        <v>0.476832078</v>
      </c>
      <c r="F188" s="14">
        <v>-1.068446801</v>
      </c>
      <c r="G188" s="51" t="s">
        <v>1193</v>
      </c>
      <c r="H188" s="51" t="s">
        <v>1194</v>
      </c>
      <c r="I188" s="14" t="s">
        <v>147</v>
      </c>
      <c r="J188" s="14">
        <v>6.335461307</v>
      </c>
      <c r="K188" s="14">
        <v>7.083246458</v>
      </c>
      <c r="L188" s="14">
        <v>7.177657108</v>
      </c>
      <c r="M188" s="14">
        <v>11.03592588</v>
      </c>
      <c r="N188" s="14">
        <v>10.28404396</v>
      </c>
      <c r="O188" s="14">
        <v>14.46529326</v>
      </c>
      <c r="P188" s="14" t="s">
        <v>1195</v>
      </c>
      <c r="Q188" s="14" t="s">
        <v>1196</v>
      </c>
      <c r="T188" s="14" t="s">
        <v>1197</v>
      </c>
      <c r="U188" s="14" t="s">
        <v>1198</v>
      </c>
    </row>
    <row r="189" spans="1:21">
      <c r="A189" s="14" t="s">
        <v>1199</v>
      </c>
      <c r="B189" s="14">
        <v>13.49769624</v>
      </c>
      <c r="C189" s="14">
        <v>1.326052473</v>
      </c>
      <c r="D189" s="14">
        <v>25.66934</v>
      </c>
      <c r="E189" s="14">
        <v>19.22587183</v>
      </c>
      <c r="F189" s="14">
        <v>4.264977116</v>
      </c>
      <c r="G189" s="14">
        <v>0.000181078</v>
      </c>
      <c r="H189" s="14">
        <v>0.000804774</v>
      </c>
      <c r="I189" s="14" t="s">
        <v>164</v>
      </c>
      <c r="J189" s="14">
        <v>0.892365331</v>
      </c>
      <c r="K189" s="14">
        <v>0.299397453</v>
      </c>
      <c r="L189" s="14">
        <v>0.739878254</v>
      </c>
      <c r="M189" s="14">
        <v>0</v>
      </c>
      <c r="N189" s="14">
        <v>0.061040878</v>
      </c>
      <c r="O189" s="14">
        <v>0.020749961</v>
      </c>
      <c r="P189" s="14" t="s">
        <v>1200</v>
      </c>
      <c r="Q189" s="14" t="s">
        <v>1201</v>
      </c>
      <c r="T189" s="14" t="s">
        <v>1202</v>
      </c>
      <c r="U189" s="14" t="s">
        <v>1203</v>
      </c>
    </row>
    <row r="190" spans="1:21">
      <c r="A190" s="14" t="s">
        <v>1204</v>
      </c>
      <c r="B190" s="14">
        <v>2755.798849</v>
      </c>
      <c r="C190" s="14">
        <v>1683.598852</v>
      </c>
      <c r="D190" s="14">
        <v>3827.998846</v>
      </c>
      <c r="E190" s="14">
        <v>2.273915107</v>
      </c>
      <c r="F190" s="14">
        <v>1.185178395</v>
      </c>
      <c r="G190" s="51" t="s">
        <v>1205</v>
      </c>
      <c r="H190" s="51" t="s">
        <v>1206</v>
      </c>
      <c r="I190" s="14" t="s">
        <v>164</v>
      </c>
      <c r="J190" s="14">
        <v>28.58995198</v>
      </c>
      <c r="K190" s="14">
        <v>46.04838227</v>
      </c>
      <c r="L190" s="14">
        <v>35.79809763</v>
      </c>
      <c r="M190" s="14">
        <v>13.58876673</v>
      </c>
      <c r="N190" s="14">
        <v>14.99311221</v>
      </c>
      <c r="O190" s="14">
        <v>11.13238603</v>
      </c>
      <c r="P190" s="14" t="s">
        <v>1207</v>
      </c>
      <c r="Q190" s="14" t="s">
        <v>1208</v>
      </c>
      <c r="R190" s="14" t="s">
        <v>1209</v>
      </c>
      <c r="S190" s="14" t="s">
        <v>1210</v>
      </c>
      <c r="T190" s="14" t="s">
        <v>1211</v>
      </c>
      <c r="U190" s="14" t="s">
        <v>1212</v>
      </c>
    </row>
    <row r="191" spans="1:21">
      <c r="A191" s="14" t="s">
        <v>1213</v>
      </c>
      <c r="B191" s="14">
        <v>22.61091929</v>
      </c>
      <c r="C191" s="14">
        <v>10.54356745</v>
      </c>
      <c r="D191" s="14">
        <v>34.67827113</v>
      </c>
      <c r="E191" s="14">
        <v>3.273531249</v>
      </c>
      <c r="F191" s="14">
        <v>1.710847751</v>
      </c>
      <c r="G191" s="14">
        <v>0.004806346</v>
      </c>
      <c r="H191" s="14">
        <v>0.014316963</v>
      </c>
      <c r="I191" s="14" t="s">
        <v>164</v>
      </c>
      <c r="J191" s="14">
        <v>1.31041739</v>
      </c>
      <c r="K191" s="14">
        <v>1.465526939</v>
      </c>
      <c r="L191" s="14">
        <v>2.336545642</v>
      </c>
      <c r="M191" s="14">
        <v>0.207627069</v>
      </c>
      <c r="N191" s="14">
        <v>0.517903162</v>
      </c>
      <c r="O191" s="14">
        <v>0.568788765</v>
      </c>
      <c r="P191" s="14" t="s">
        <v>1214</v>
      </c>
      <c r="Q191" s="14" t="s">
        <v>1215</v>
      </c>
      <c r="T191" s="14" t="s">
        <v>1216</v>
      </c>
      <c r="U191" s="14" t="s">
        <v>1217</v>
      </c>
    </row>
    <row r="192" spans="1:19">
      <c r="A192" s="14" t="s">
        <v>1218</v>
      </c>
      <c r="B192" s="14">
        <v>1627.735185</v>
      </c>
      <c r="C192" s="14">
        <v>2456.840986</v>
      </c>
      <c r="D192" s="14">
        <v>798.629383</v>
      </c>
      <c r="E192" s="14">
        <v>0.325071046</v>
      </c>
      <c r="F192" s="14">
        <v>-1.621173032</v>
      </c>
      <c r="G192" s="14">
        <v>0.000114313</v>
      </c>
      <c r="H192" s="14">
        <v>0.000534171</v>
      </c>
      <c r="I192" s="14" t="s">
        <v>147</v>
      </c>
      <c r="J192" s="14">
        <v>11.81393131</v>
      </c>
      <c r="K192" s="14">
        <v>17.03893974</v>
      </c>
      <c r="L192" s="14">
        <v>10.58838171</v>
      </c>
      <c r="M192" s="14">
        <v>42.27718058</v>
      </c>
      <c r="N192" s="14">
        <v>38.54803408</v>
      </c>
      <c r="O192" s="14">
        <v>17.17998867</v>
      </c>
      <c r="R192" s="14" t="s">
        <v>1219</v>
      </c>
      <c r="S192" s="14" t="s">
        <v>1220</v>
      </c>
    </row>
    <row r="193" spans="1:15">
      <c r="A193" s="14" t="s">
        <v>1221</v>
      </c>
      <c r="B193" s="14">
        <v>165.2533631</v>
      </c>
      <c r="C193" s="14">
        <v>293.2543477</v>
      </c>
      <c r="D193" s="14">
        <v>37.25237848</v>
      </c>
      <c r="E193" s="14">
        <v>0.127057813</v>
      </c>
      <c r="F193" s="14">
        <v>-2.976443001</v>
      </c>
      <c r="G193" s="51" t="s">
        <v>1222</v>
      </c>
      <c r="H193" s="51" t="s">
        <v>1223</v>
      </c>
      <c r="I193" s="14" t="s">
        <v>147</v>
      </c>
      <c r="J193" s="14">
        <v>0.438495271</v>
      </c>
      <c r="K193" s="14">
        <v>1.647738727</v>
      </c>
      <c r="L193" s="14">
        <v>1.210320784</v>
      </c>
      <c r="M193" s="14">
        <v>8.303856289</v>
      </c>
      <c r="N193" s="14">
        <v>9.190343735</v>
      </c>
      <c r="O193" s="14">
        <v>3.425932327</v>
      </c>
    </row>
    <row r="194" spans="1:21">
      <c r="A194" s="14" t="s">
        <v>1224</v>
      </c>
      <c r="B194" s="14">
        <v>54.77581507</v>
      </c>
      <c r="C194" s="14">
        <v>25.91954434</v>
      </c>
      <c r="D194" s="14">
        <v>83.6320858</v>
      </c>
      <c r="E194" s="14">
        <v>3.217893544</v>
      </c>
      <c r="F194" s="14">
        <v>1.686116599</v>
      </c>
      <c r="G194" s="51" t="s">
        <v>1225</v>
      </c>
      <c r="H194" s="51" t="s">
        <v>1226</v>
      </c>
      <c r="I194" s="14" t="s">
        <v>164</v>
      </c>
      <c r="J194" s="14">
        <v>4.110746997</v>
      </c>
      <c r="K194" s="14">
        <v>3.114814672</v>
      </c>
      <c r="L194" s="14">
        <v>4.491697457</v>
      </c>
      <c r="M194" s="14">
        <v>0.750848692</v>
      </c>
      <c r="N194" s="14">
        <v>1.023655519</v>
      </c>
      <c r="O194" s="14">
        <v>1.237250989</v>
      </c>
      <c r="P194" s="14" t="s">
        <v>1227</v>
      </c>
      <c r="Q194" s="14" t="s">
        <v>1228</v>
      </c>
      <c r="T194" s="14" t="s">
        <v>1229</v>
      </c>
      <c r="U194" s="14" t="s">
        <v>1230</v>
      </c>
    </row>
    <row r="195" spans="1:21">
      <c r="A195" s="14" t="s">
        <v>1231</v>
      </c>
      <c r="B195" s="14">
        <v>123.8727785</v>
      </c>
      <c r="C195" s="14">
        <v>65.21726314</v>
      </c>
      <c r="D195" s="14">
        <v>182.5282938</v>
      </c>
      <c r="E195" s="14">
        <v>2.791491146</v>
      </c>
      <c r="F195" s="14">
        <v>1.48103598</v>
      </c>
      <c r="G195" s="51" t="s">
        <v>1232</v>
      </c>
      <c r="H195" s="51" t="s">
        <v>1233</v>
      </c>
      <c r="I195" s="14" t="s">
        <v>164</v>
      </c>
      <c r="J195" s="14">
        <v>3.012920357</v>
      </c>
      <c r="K195" s="14">
        <v>2.281952172</v>
      </c>
      <c r="L195" s="14">
        <v>2.95843399</v>
      </c>
      <c r="M195" s="14">
        <v>0.561509418</v>
      </c>
      <c r="N195" s="14">
        <v>0.820295656</v>
      </c>
      <c r="O195" s="14">
        <v>1.073771378</v>
      </c>
      <c r="P195" s="14" t="s">
        <v>1227</v>
      </c>
      <c r="Q195" s="14" t="s">
        <v>1228</v>
      </c>
      <c r="T195" s="14" t="s">
        <v>1229</v>
      </c>
      <c r="U195" s="14" t="s">
        <v>1230</v>
      </c>
    </row>
    <row r="196" spans="1:21">
      <c r="A196" s="14" t="s">
        <v>1234</v>
      </c>
      <c r="B196" s="14">
        <v>215.1029683</v>
      </c>
      <c r="C196" s="14">
        <v>3.352989065</v>
      </c>
      <c r="D196" s="14">
        <v>426.8529476</v>
      </c>
      <c r="E196" s="14">
        <v>127.2421695</v>
      </c>
      <c r="F196" s="14">
        <v>6.991433065</v>
      </c>
      <c r="G196" s="51" t="s">
        <v>1235</v>
      </c>
      <c r="H196" s="51" t="s">
        <v>1236</v>
      </c>
      <c r="I196" s="14" t="s">
        <v>164</v>
      </c>
      <c r="J196" s="14">
        <v>2.07457775</v>
      </c>
      <c r="K196" s="14">
        <v>8.596112409</v>
      </c>
      <c r="L196" s="14">
        <v>0.399501204</v>
      </c>
      <c r="M196" s="14">
        <v>0.007395824</v>
      </c>
      <c r="N196" s="14">
        <v>0.049667905</v>
      </c>
      <c r="O196" s="14">
        <v>0.0144719</v>
      </c>
      <c r="P196" s="14" t="s">
        <v>1237</v>
      </c>
      <c r="Q196" s="14" t="s">
        <v>1238</v>
      </c>
      <c r="R196" s="14" t="s">
        <v>1239</v>
      </c>
      <c r="S196" s="14" t="s">
        <v>1240</v>
      </c>
      <c r="T196" s="14" t="s">
        <v>1241</v>
      </c>
      <c r="U196" s="14" t="s">
        <v>1242</v>
      </c>
    </row>
    <row r="197" spans="1:21">
      <c r="A197" s="14" t="s">
        <v>1243</v>
      </c>
      <c r="B197" s="14">
        <v>285.1327544</v>
      </c>
      <c r="C197" s="14">
        <v>125.959307</v>
      </c>
      <c r="D197" s="14">
        <v>444.3062018</v>
      </c>
      <c r="E197" s="14">
        <v>3.5238935</v>
      </c>
      <c r="F197" s="14">
        <v>1.817170323</v>
      </c>
      <c r="G197" s="51" t="s">
        <v>1244</v>
      </c>
      <c r="H197" s="51" t="s">
        <v>1245</v>
      </c>
      <c r="I197" s="14" t="s">
        <v>164</v>
      </c>
      <c r="J197" s="14">
        <v>8.589378706</v>
      </c>
      <c r="K197" s="14">
        <v>5.562460347</v>
      </c>
      <c r="L197" s="14">
        <v>7.677315091</v>
      </c>
      <c r="M197" s="14">
        <v>1.553001912</v>
      </c>
      <c r="N197" s="14">
        <v>1.290377977</v>
      </c>
      <c r="O197" s="14">
        <v>2.306279256</v>
      </c>
      <c r="P197" s="14" t="s">
        <v>1246</v>
      </c>
      <c r="Q197" s="14" t="s">
        <v>1247</v>
      </c>
      <c r="T197" s="14" t="s">
        <v>549</v>
      </c>
      <c r="U197" s="14" t="s">
        <v>550</v>
      </c>
    </row>
    <row r="198" spans="1:15">
      <c r="A198" s="14" t="s">
        <v>1248</v>
      </c>
      <c r="B198" s="14">
        <v>8278.882589</v>
      </c>
      <c r="C198" s="14">
        <v>12323.86967</v>
      </c>
      <c r="D198" s="14">
        <v>4233.895509</v>
      </c>
      <c r="E198" s="14">
        <v>0.343557125</v>
      </c>
      <c r="F198" s="14">
        <v>-1.54137809</v>
      </c>
      <c r="G198" s="51" t="s">
        <v>1249</v>
      </c>
      <c r="H198" s="51" t="s">
        <v>1250</v>
      </c>
      <c r="I198" s="14" t="s">
        <v>147</v>
      </c>
      <c r="J198" s="14">
        <v>18.87947218</v>
      </c>
      <c r="K198" s="14">
        <v>22.36391149</v>
      </c>
      <c r="L198" s="14">
        <v>18.51488676</v>
      </c>
      <c r="M198" s="14">
        <v>54.52096059</v>
      </c>
      <c r="N198" s="14">
        <v>52.37147051</v>
      </c>
      <c r="O198" s="14">
        <v>34.63370978</v>
      </c>
    </row>
    <row r="199" spans="1:21">
      <c r="A199" s="14" t="s">
        <v>1251</v>
      </c>
      <c r="B199" s="14">
        <v>3510.759004</v>
      </c>
      <c r="C199" s="14">
        <v>2124.329792</v>
      </c>
      <c r="D199" s="14">
        <v>4897.188217</v>
      </c>
      <c r="E199" s="14">
        <v>2.304896391</v>
      </c>
      <c r="F199" s="14">
        <v>1.2047019</v>
      </c>
      <c r="G199" s="51" t="s">
        <v>1252</v>
      </c>
      <c r="H199" s="51" t="s">
        <v>1253</v>
      </c>
      <c r="I199" s="14" t="s">
        <v>164</v>
      </c>
      <c r="J199" s="14">
        <v>33.04986103</v>
      </c>
      <c r="K199" s="14">
        <v>29.61416004</v>
      </c>
      <c r="L199" s="14">
        <v>34.52694503</v>
      </c>
      <c r="M199" s="14">
        <v>10.14665442</v>
      </c>
      <c r="N199" s="14">
        <v>10.08389915</v>
      </c>
      <c r="O199" s="14">
        <v>14.77311886</v>
      </c>
      <c r="P199" s="14" t="s">
        <v>1254</v>
      </c>
      <c r="Q199" s="14" t="s">
        <v>1255</v>
      </c>
      <c r="T199" s="14" t="s">
        <v>1256</v>
      </c>
      <c r="U199" s="14" t="s">
        <v>1257</v>
      </c>
    </row>
    <row r="200" spans="1:15">
      <c r="A200" s="14" t="s">
        <v>1258</v>
      </c>
      <c r="B200" s="14">
        <v>118.9307628</v>
      </c>
      <c r="C200" s="14">
        <v>8.806694105</v>
      </c>
      <c r="D200" s="14">
        <v>229.0548314</v>
      </c>
      <c r="E200" s="14">
        <v>26.03179949</v>
      </c>
      <c r="F200" s="14">
        <v>4.702203138</v>
      </c>
      <c r="G200" s="51" t="s">
        <v>1259</v>
      </c>
      <c r="H200" s="14">
        <v>0.000137784</v>
      </c>
      <c r="I200" s="14" t="s">
        <v>164</v>
      </c>
      <c r="J200" s="14">
        <v>36.73059115</v>
      </c>
      <c r="K200" s="14">
        <v>10.62623342</v>
      </c>
      <c r="L200" s="14">
        <v>29.11873646</v>
      </c>
      <c r="M200" s="14">
        <v>0.094091315</v>
      </c>
      <c r="N200" s="14">
        <v>2.166466707</v>
      </c>
      <c r="O200" s="14">
        <v>0.092057365</v>
      </c>
    </row>
    <row r="201" spans="1:21">
      <c r="A201" s="14" t="s">
        <v>1260</v>
      </c>
      <c r="B201" s="14">
        <v>111.6179431</v>
      </c>
      <c r="C201" s="14">
        <v>216.5569269</v>
      </c>
      <c r="D201" s="14">
        <v>6.678959365</v>
      </c>
      <c r="E201" s="14">
        <v>0.030784141</v>
      </c>
      <c r="F201" s="14">
        <v>-5.021668864</v>
      </c>
      <c r="G201" s="14">
        <v>0.000593339</v>
      </c>
      <c r="H201" s="14">
        <v>0.002311636</v>
      </c>
      <c r="I201" s="14" t="s">
        <v>147</v>
      </c>
      <c r="J201" s="14">
        <v>0.196545398</v>
      </c>
      <c r="K201" s="14">
        <v>0.553920678</v>
      </c>
      <c r="L201" s="14">
        <v>0.037848725</v>
      </c>
      <c r="M201" s="14">
        <v>9.417139252</v>
      </c>
      <c r="N201" s="14">
        <v>10.93835212</v>
      </c>
      <c r="O201" s="14">
        <v>0.032905611</v>
      </c>
      <c r="P201" s="14" t="s">
        <v>1261</v>
      </c>
      <c r="Q201" s="14" t="s">
        <v>1262</v>
      </c>
      <c r="T201" s="14" t="s">
        <v>1263</v>
      </c>
      <c r="U201" s="14" t="s">
        <v>1264</v>
      </c>
    </row>
    <row r="202" spans="1:15">
      <c r="A202" s="14" t="s">
        <v>1265</v>
      </c>
      <c r="B202" s="14">
        <v>10.4330825</v>
      </c>
      <c r="C202" s="14">
        <v>20.866165</v>
      </c>
      <c r="D202" s="14">
        <v>0</v>
      </c>
      <c r="E202" s="14">
        <v>0.008644185</v>
      </c>
      <c r="F202" s="14">
        <v>-6.854054366</v>
      </c>
      <c r="G202" s="14">
        <v>0.010063681</v>
      </c>
      <c r="H202" s="14">
        <v>0.027161264</v>
      </c>
      <c r="I202" s="14" t="s">
        <v>147</v>
      </c>
      <c r="J202" s="14">
        <v>0</v>
      </c>
      <c r="K202" s="14">
        <v>0</v>
      </c>
      <c r="L202" s="14">
        <v>0</v>
      </c>
      <c r="M202" s="14">
        <v>2.673300297</v>
      </c>
      <c r="N202" s="14">
        <v>4.125844684</v>
      </c>
      <c r="O202" s="14">
        <v>0</v>
      </c>
    </row>
    <row r="203" spans="1:21">
      <c r="A203" s="14" t="s">
        <v>1266</v>
      </c>
      <c r="B203" s="14">
        <v>5839.67396</v>
      </c>
      <c r="C203" s="14">
        <v>9727.805923</v>
      </c>
      <c r="D203" s="14">
        <v>1951.541997</v>
      </c>
      <c r="E203" s="14">
        <v>0.200616082</v>
      </c>
      <c r="F203" s="14">
        <v>-2.317490834</v>
      </c>
      <c r="G203" s="51" t="s">
        <v>1267</v>
      </c>
      <c r="H203" s="51" t="s">
        <v>1268</v>
      </c>
      <c r="I203" s="14" t="s">
        <v>147</v>
      </c>
      <c r="J203" s="14">
        <v>17.43851854</v>
      </c>
      <c r="K203" s="14">
        <v>11.86875881</v>
      </c>
      <c r="L203" s="14">
        <v>15.34419898</v>
      </c>
      <c r="M203" s="14">
        <v>56.46463118</v>
      </c>
      <c r="N203" s="14">
        <v>53.55144523</v>
      </c>
      <c r="O203" s="14">
        <v>74.30962805</v>
      </c>
      <c r="P203" s="14" t="s">
        <v>1269</v>
      </c>
      <c r="Q203" s="14" t="s">
        <v>1270</v>
      </c>
      <c r="R203" s="14" t="s">
        <v>1271</v>
      </c>
      <c r="S203" s="14" t="s">
        <v>1272</v>
      </c>
      <c r="T203" s="14" t="s">
        <v>1273</v>
      </c>
      <c r="U203" s="14" t="s">
        <v>1274</v>
      </c>
    </row>
    <row r="204" spans="1:21">
      <c r="A204" s="14" t="s">
        <v>1275</v>
      </c>
      <c r="B204" s="14">
        <v>13.11965699</v>
      </c>
      <c r="C204" s="14">
        <v>0</v>
      </c>
      <c r="D204" s="14">
        <v>26.23931398</v>
      </c>
      <c r="E204" s="14">
        <v>141.4465741</v>
      </c>
      <c r="F204" s="14">
        <v>7.144113424</v>
      </c>
      <c r="G204" s="51" t="s">
        <v>1276</v>
      </c>
      <c r="H204" s="51" t="s">
        <v>1277</v>
      </c>
      <c r="I204" s="14" t="s">
        <v>164</v>
      </c>
      <c r="J204" s="14">
        <v>0.519941859</v>
      </c>
      <c r="K204" s="14">
        <v>0.71522725</v>
      </c>
      <c r="L204" s="14">
        <v>0.133500194</v>
      </c>
      <c r="M204" s="14">
        <v>0</v>
      </c>
      <c r="N204" s="14">
        <v>0</v>
      </c>
      <c r="O204" s="14">
        <v>0</v>
      </c>
      <c r="P204" s="14" t="s">
        <v>1278</v>
      </c>
      <c r="Q204" s="14" t="s">
        <v>1279</v>
      </c>
      <c r="T204" s="14" t="s">
        <v>1280</v>
      </c>
      <c r="U204" s="14" t="s">
        <v>1281</v>
      </c>
    </row>
    <row r="205" spans="1:21">
      <c r="A205" s="14" t="s">
        <v>1282</v>
      </c>
      <c r="B205" s="14">
        <v>13.72292404</v>
      </c>
      <c r="C205" s="14">
        <v>2.125560726</v>
      </c>
      <c r="D205" s="14">
        <v>25.32028736</v>
      </c>
      <c r="E205" s="14">
        <v>12.10272417</v>
      </c>
      <c r="F205" s="14">
        <v>3.597259912</v>
      </c>
      <c r="G205" s="14">
        <v>0.009666338</v>
      </c>
      <c r="H205" s="14">
        <v>0.026204</v>
      </c>
      <c r="I205" s="14" t="s">
        <v>164</v>
      </c>
      <c r="J205" s="14">
        <v>1.033664479</v>
      </c>
      <c r="K205" s="14">
        <v>0.107629052</v>
      </c>
      <c r="L205" s="14">
        <v>0.223076248</v>
      </c>
      <c r="M205" s="14">
        <v>0.060992955</v>
      </c>
      <c r="N205" s="14">
        <v>0.02925775</v>
      </c>
      <c r="O205" s="14">
        <v>0</v>
      </c>
      <c r="P205" s="14" t="s">
        <v>1283</v>
      </c>
      <c r="Q205" s="14" t="s">
        <v>1284</v>
      </c>
      <c r="R205" s="14" t="s">
        <v>1285</v>
      </c>
      <c r="S205" s="14" t="s">
        <v>1286</v>
      </c>
      <c r="T205" s="14" t="s">
        <v>1287</v>
      </c>
      <c r="U205" s="14" t="s">
        <v>1288</v>
      </c>
    </row>
    <row r="206" spans="1:21">
      <c r="A206" s="14" t="s">
        <v>1289</v>
      </c>
      <c r="B206" s="14">
        <v>38620.5855</v>
      </c>
      <c r="C206" s="14">
        <v>54993.10717</v>
      </c>
      <c r="D206" s="14">
        <v>22248.06383</v>
      </c>
      <c r="E206" s="14">
        <v>0.404562178</v>
      </c>
      <c r="F206" s="14">
        <v>-1.305566644</v>
      </c>
      <c r="G206" s="14">
        <v>0.000141911</v>
      </c>
      <c r="H206" s="14">
        <v>0.000647338</v>
      </c>
      <c r="I206" s="14" t="s">
        <v>147</v>
      </c>
      <c r="J206" s="14">
        <v>419.4351694</v>
      </c>
      <c r="K206" s="14">
        <v>556.6977665</v>
      </c>
      <c r="L206" s="14">
        <v>407.3170017</v>
      </c>
      <c r="M206" s="14">
        <v>1122.526417</v>
      </c>
      <c r="N206" s="14">
        <v>1084.052207</v>
      </c>
      <c r="O206" s="14">
        <v>563.5607121</v>
      </c>
      <c r="P206" s="14" t="s">
        <v>1290</v>
      </c>
      <c r="Q206" s="14" t="s">
        <v>1291</v>
      </c>
      <c r="T206" s="14" t="s">
        <v>1292</v>
      </c>
      <c r="U206" s="14" t="s">
        <v>1293</v>
      </c>
    </row>
    <row r="207" spans="1:15">
      <c r="A207" s="14" t="s">
        <v>1294</v>
      </c>
      <c r="B207" s="14">
        <v>21.1810395</v>
      </c>
      <c r="C207" s="14">
        <v>5.592326753</v>
      </c>
      <c r="D207" s="14">
        <v>36.76975225</v>
      </c>
      <c r="E207" s="14">
        <v>6.517966423</v>
      </c>
      <c r="F207" s="14">
        <v>2.70442192</v>
      </c>
      <c r="G207" s="51" t="s">
        <v>1295</v>
      </c>
      <c r="H207" s="14">
        <v>0.000401417</v>
      </c>
      <c r="I207" s="14" t="s">
        <v>164</v>
      </c>
      <c r="J207" s="14">
        <v>2.158325631</v>
      </c>
      <c r="K207" s="14">
        <v>4.692425507</v>
      </c>
      <c r="L207" s="14">
        <v>2.743148258</v>
      </c>
      <c r="M207" s="14">
        <v>0.221598237</v>
      </c>
      <c r="N207" s="14">
        <v>0.4251944</v>
      </c>
      <c r="O207" s="14">
        <v>0.578154668</v>
      </c>
    </row>
    <row r="208" spans="1:21">
      <c r="A208" s="14" t="s">
        <v>1296</v>
      </c>
      <c r="B208" s="14">
        <v>7.398109327</v>
      </c>
      <c r="C208" s="14">
        <v>14.79621865</v>
      </c>
      <c r="D208" s="14">
        <v>0</v>
      </c>
      <c r="E208" s="14">
        <v>0.012205408</v>
      </c>
      <c r="F208" s="14">
        <v>-6.356335707</v>
      </c>
      <c r="G208" s="14">
        <v>0.001700717</v>
      </c>
      <c r="H208" s="14">
        <v>0.005831546</v>
      </c>
      <c r="I208" s="14" t="s">
        <v>147</v>
      </c>
      <c r="J208" s="14">
        <v>0</v>
      </c>
      <c r="K208" s="14">
        <v>0</v>
      </c>
      <c r="L208" s="14">
        <v>0</v>
      </c>
      <c r="M208" s="14">
        <v>0.378143713</v>
      </c>
      <c r="N208" s="14">
        <v>0.174673778</v>
      </c>
      <c r="O208" s="14">
        <v>0.027405146</v>
      </c>
      <c r="P208" s="14" t="s">
        <v>1297</v>
      </c>
      <c r="Q208" s="14" t="s">
        <v>1298</v>
      </c>
      <c r="T208" s="14" t="s">
        <v>1299</v>
      </c>
      <c r="U208" s="14" t="s">
        <v>1300</v>
      </c>
    </row>
    <row r="209" spans="1:21">
      <c r="A209" s="14" t="s">
        <v>1301</v>
      </c>
      <c r="B209" s="14">
        <v>5401.051791</v>
      </c>
      <c r="C209" s="14">
        <v>2310.232597</v>
      </c>
      <c r="D209" s="14">
        <v>8491.870986</v>
      </c>
      <c r="E209" s="14">
        <v>3.676383488</v>
      </c>
      <c r="F209" s="14">
        <v>1.878287264</v>
      </c>
      <c r="G209" s="51" t="s">
        <v>1302</v>
      </c>
      <c r="H209" s="51" t="s">
        <v>1303</v>
      </c>
      <c r="I209" s="14" t="s">
        <v>164</v>
      </c>
      <c r="J209" s="14">
        <v>95.53082866</v>
      </c>
      <c r="K209" s="14">
        <v>96.89157604</v>
      </c>
      <c r="L209" s="14">
        <v>88.49908013</v>
      </c>
      <c r="M209" s="14">
        <v>21.21462331</v>
      </c>
      <c r="N209" s="14">
        <v>21.20506175</v>
      </c>
      <c r="O209" s="14">
        <v>20.35353497</v>
      </c>
      <c r="P209" s="14" t="s">
        <v>1304</v>
      </c>
      <c r="Q209" s="14" t="s">
        <v>1305</v>
      </c>
      <c r="T209" s="14" t="s">
        <v>1306</v>
      </c>
      <c r="U209" s="14" t="s">
        <v>1307</v>
      </c>
    </row>
    <row r="210" spans="1:21">
      <c r="A210" s="14" t="s">
        <v>1308</v>
      </c>
      <c r="B210" s="14">
        <v>721.6046308</v>
      </c>
      <c r="C210" s="14">
        <v>51.89230271</v>
      </c>
      <c r="D210" s="14">
        <v>1391.316959</v>
      </c>
      <c r="E210" s="14">
        <v>26.72596764</v>
      </c>
      <c r="F210" s="14">
        <v>4.740170278</v>
      </c>
      <c r="G210" s="51" t="s">
        <v>1309</v>
      </c>
      <c r="H210" s="51" t="s">
        <v>1310</v>
      </c>
      <c r="I210" s="14" t="s">
        <v>164</v>
      </c>
      <c r="J210" s="14">
        <v>10.05673423</v>
      </c>
      <c r="K210" s="14">
        <v>20.31351088</v>
      </c>
      <c r="L210" s="14">
        <v>17.56982569</v>
      </c>
      <c r="M210" s="14">
        <v>0.282273944</v>
      </c>
      <c r="N210" s="14">
        <v>0.476249147</v>
      </c>
      <c r="O210" s="14">
        <v>0.742807706</v>
      </c>
      <c r="P210" s="14" t="s">
        <v>1311</v>
      </c>
      <c r="Q210" s="14" t="s">
        <v>1312</v>
      </c>
      <c r="R210" s="14" t="s">
        <v>1313</v>
      </c>
      <c r="S210" s="14" t="s">
        <v>1314</v>
      </c>
      <c r="T210" s="14" t="s">
        <v>1315</v>
      </c>
      <c r="U210" s="14" t="s">
        <v>1316</v>
      </c>
    </row>
    <row r="211" spans="1:21">
      <c r="A211" s="14" t="s">
        <v>1317</v>
      </c>
      <c r="B211" s="14">
        <v>1510.182798</v>
      </c>
      <c r="C211" s="14">
        <v>387.4420048</v>
      </c>
      <c r="D211" s="14">
        <v>2632.923592</v>
      </c>
      <c r="E211" s="14">
        <v>6.792962622</v>
      </c>
      <c r="F211" s="14">
        <v>2.764040916</v>
      </c>
      <c r="G211" s="51" t="s">
        <v>1318</v>
      </c>
      <c r="H211" s="51" t="s">
        <v>1319</v>
      </c>
      <c r="I211" s="14" t="s">
        <v>164</v>
      </c>
      <c r="J211" s="14">
        <v>33.56094623</v>
      </c>
      <c r="K211" s="14">
        <v>86.02799001</v>
      </c>
      <c r="L211" s="14">
        <v>40.15080044</v>
      </c>
      <c r="M211" s="14">
        <v>3.989089651</v>
      </c>
      <c r="N211" s="14">
        <v>4.239456423</v>
      </c>
      <c r="O211" s="14">
        <v>11.77586601</v>
      </c>
      <c r="P211" s="14" t="s">
        <v>1320</v>
      </c>
      <c r="Q211" s="14" t="s">
        <v>1321</v>
      </c>
      <c r="T211" s="14" t="s">
        <v>1322</v>
      </c>
      <c r="U211" s="14" t="s">
        <v>1323</v>
      </c>
    </row>
    <row r="212" spans="1:21">
      <c r="A212" s="14" t="s">
        <v>1324</v>
      </c>
      <c r="B212" s="14">
        <v>235.4988598</v>
      </c>
      <c r="C212" s="14">
        <v>350.404189</v>
      </c>
      <c r="D212" s="14">
        <v>120.5935307</v>
      </c>
      <c r="E212" s="14">
        <v>0.344054423</v>
      </c>
      <c r="F212" s="14">
        <v>-1.539291302</v>
      </c>
      <c r="G212" s="14">
        <v>0.000761208</v>
      </c>
      <c r="H212" s="14">
        <v>0.002880797</v>
      </c>
      <c r="I212" s="14" t="s">
        <v>147</v>
      </c>
      <c r="J212" s="14">
        <v>2.020550929</v>
      </c>
      <c r="K212" s="14">
        <v>1.770760614</v>
      </c>
      <c r="L212" s="14">
        <v>2.582800811</v>
      </c>
      <c r="M212" s="14">
        <v>3.219093933</v>
      </c>
      <c r="N212" s="14">
        <v>3.21701923</v>
      </c>
      <c r="O212" s="14">
        <v>9.244387888</v>
      </c>
      <c r="P212" s="14" t="s">
        <v>1325</v>
      </c>
      <c r="Q212" s="14" t="s">
        <v>1326</v>
      </c>
      <c r="T212" s="14" t="s">
        <v>1327</v>
      </c>
      <c r="U212" s="14" t="s">
        <v>1328</v>
      </c>
    </row>
    <row r="213" spans="1:15">
      <c r="A213" s="14" t="s">
        <v>1329</v>
      </c>
      <c r="B213" s="14">
        <v>9518.439229</v>
      </c>
      <c r="C213" s="14">
        <v>13496.90697</v>
      </c>
      <c r="D213" s="14">
        <v>5539.971487</v>
      </c>
      <c r="E213" s="14">
        <v>0.410466096</v>
      </c>
      <c r="F213" s="14">
        <v>-1.284665034</v>
      </c>
      <c r="G213" s="51" t="s">
        <v>1330</v>
      </c>
      <c r="H213" s="51" t="s">
        <v>1331</v>
      </c>
      <c r="I213" s="14" t="s">
        <v>147</v>
      </c>
      <c r="J213" s="14">
        <v>102.8029731</v>
      </c>
      <c r="K213" s="14">
        <v>111.9805103</v>
      </c>
      <c r="L213" s="14">
        <v>91.85061167</v>
      </c>
      <c r="M213" s="14">
        <v>226.6553572</v>
      </c>
      <c r="N213" s="14">
        <v>207.1485374</v>
      </c>
      <c r="O213" s="14">
        <v>177.3188917</v>
      </c>
    </row>
    <row r="214" spans="1:21">
      <c r="A214" s="14" t="s">
        <v>1332</v>
      </c>
      <c r="B214" s="14">
        <v>463.9361371</v>
      </c>
      <c r="C214" s="14">
        <v>180.6714322</v>
      </c>
      <c r="D214" s="14">
        <v>747.2008421</v>
      </c>
      <c r="E214" s="14">
        <v>4.134296176</v>
      </c>
      <c r="F214" s="14">
        <v>2.047641745</v>
      </c>
      <c r="G214" s="51" t="s">
        <v>1333</v>
      </c>
      <c r="H214" s="51" t="s">
        <v>1334</v>
      </c>
      <c r="I214" s="14" t="s">
        <v>164</v>
      </c>
      <c r="J214" s="14">
        <v>75.66061889</v>
      </c>
      <c r="K214" s="14">
        <v>39.03664917</v>
      </c>
      <c r="L214" s="14">
        <v>51.24897618</v>
      </c>
      <c r="M214" s="14">
        <v>9.660041654</v>
      </c>
      <c r="N214" s="14">
        <v>10.71197427</v>
      </c>
      <c r="O214" s="14">
        <v>12.82665956</v>
      </c>
      <c r="P214" s="14" t="s">
        <v>1335</v>
      </c>
      <c r="Q214" s="14" t="s">
        <v>1336</v>
      </c>
      <c r="T214" s="14" t="s">
        <v>1337</v>
      </c>
      <c r="U214" s="14" t="s">
        <v>1338</v>
      </c>
    </row>
    <row r="215" spans="1:21">
      <c r="A215" s="14" t="s">
        <v>1339</v>
      </c>
      <c r="B215" s="14">
        <v>132.2738205</v>
      </c>
      <c r="C215" s="14">
        <v>68.314774</v>
      </c>
      <c r="D215" s="14">
        <v>196.232867</v>
      </c>
      <c r="E215" s="14">
        <v>2.866632063</v>
      </c>
      <c r="F215" s="14">
        <v>1.519356744</v>
      </c>
      <c r="G215" s="14">
        <v>0.007263182</v>
      </c>
      <c r="H215" s="14">
        <v>0.02047785</v>
      </c>
      <c r="I215" s="14" t="s">
        <v>164</v>
      </c>
      <c r="J215" s="14">
        <v>3.204795998</v>
      </c>
      <c r="K215" s="14">
        <v>1.900872422</v>
      </c>
      <c r="L215" s="14">
        <v>3.416350597</v>
      </c>
      <c r="M215" s="14">
        <v>0.440679612</v>
      </c>
      <c r="N215" s="14">
        <v>0.4697553</v>
      </c>
      <c r="O215" s="14">
        <v>1.616825795</v>
      </c>
      <c r="P215" s="14" t="s">
        <v>1340</v>
      </c>
      <c r="Q215" s="14" t="s">
        <v>1341</v>
      </c>
      <c r="T215" s="14" t="s">
        <v>1342</v>
      </c>
      <c r="U215" s="14" t="s">
        <v>1343</v>
      </c>
    </row>
    <row r="216" spans="1:21">
      <c r="A216" s="14" t="s">
        <v>1344</v>
      </c>
      <c r="B216" s="14">
        <v>53.55083533</v>
      </c>
      <c r="C216" s="14">
        <v>33.50461926</v>
      </c>
      <c r="D216" s="14">
        <v>73.5970514</v>
      </c>
      <c r="E216" s="14">
        <v>2.198401469</v>
      </c>
      <c r="F216" s="14">
        <v>1.136454874</v>
      </c>
      <c r="G216" s="14">
        <v>0.004840834</v>
      </c>
      <c r="H216" s="14">
        <v>0.014414118</v>
      </c>
      <c r="I216" s="14" t="s">
        <v>164</v>
      </c>
      <c r="J216" s="14">
        <v>0.520351262</v>
      </c>
      <c r="K216" s="14">
        <v>0.515301522</v>
      </c>
      <c r="L216" s="14">
        <v>0.840420511</v>
      </c>
      <c r="M216" s="14">
        <v>0.251328103</v>
      </c>
      <c r="N216" s="14">
        <v>0.172228198</v>
      </c>
      <c r="O216" s="14">
        <v>0.28102309</v>
      </c>
      <c r="P216" s="14" t="s">
        <v>1345</v>
      </c>
      <c r="Q216" s="14" t="s">
        <v>1346</v>
      </c>
      <c r="T216" s="14" t="s">
        <v>1347</v>
      </c>
      <c r="U216" s="14" t="s">
        <v>1348</v>
      </c>
    </row>
    <row r="217" spans="1:15">
      <c r="A217" s="14" t="s">
        <v>1349</v>
      </c>
      <c r="B217" s="14">
        <v>2489.702593</v>
      </c>
      <c r="C217" s="14">
        <v>3461.34827</v>
      </c>
      <c r="D217" s="14">
        <v>1518.056915</v>
      </c>
      <c r="E217" s="14">
        <v>0.438517818</v>
      </c>
      <c r="F217" s="14">
        <v>-1.18929263</v>
      </c>
      <c r="G217" s="51" t="s">
        <v>1350</v>
      </c>
      <c r="H217" s="51" t="s">
        <v>1351</v>
      </c>
      <c r="I217" s="14" t="s">
        <v>147</v>
      </c>
      <c r="J217" s="14">
        <v>73.13126681</v>
      </c>
      <c r="K217" s="14">
        <v>61.03934778</v>
      </c>
      <c r="L217" s="14">
        <v>62.42586492</v>
      </c>
      <c r="M217" s="14">
        <v>101.6499838</v>
      </c>
      <c r="N217" s="14">
        <v>108.1227366</v>
      </c>
      <c r="O217" s="14">
        <v>163.5347951</v>
      </c>
    </row>
    <row r="218" spans="1:15">
      <c r="A218" s="14" t="s">
        <v>1352</v>
      </c>
      <c r="B218" s="14">
        <v>27.84046761</v>
      </c>
      <c r="C218" s="14">
        <v>15.87338697</v>
      </c>
      <c r="D218" s="14">
        <v>39.80754825</v>
      </c>
      <c r="E218" s="14">
        <v>2.514718576</v>
      </c>
      <c r="F218" s="14">
        <v>1.330396956</v>
      </c>
      <c r="G218" s="14">
        <v>0.004712046</v>
      </c>
      <c r="H218" s="14">
        <v>0.014066647</v>
      </c>
      <c r="I218" s="14" t="s">
        <v>164</v>
      </c>
      <c r="J218" s="14">
        <v>1.287939314</v>
      </c>
      <c r="K218" s="14">
        <v>2.100980046</v>
      </c>
      <c r="L218" s="14">
        <v>1.967041918</v>
      </c>
      <c r="M218" s="14">
        <v>0.645973065</v>
      </c>
      <c r="N218" s="14">
        <v>0.546824529</v>
      </c>
      <c r="O218" s="14">
        <v>0.557655193</v>
      </c>
    </row>
    <row r="219" spans="1:21">
      <c r="A219" s="14" t="s">
        <v>1353</v>
      </c>
      <c r="B219" s="14">
        <v>1594.025413</v>
      </c>
      <c r="C219" s="14">
        <v>873.8727979</v>
      </c>
      <c r="D219" s="14">
        <v>2314.178029</v>
      </c>
      <c r="E219" s="14">
        <v>2.649233514</v>
      </c>
      <c r="F219" s="14">
        <v>1.405575014</v>
      </c>
      <c r="G219" s="51" t="s">
        <v>1354</v>
      </c>
      <c r="H219" s="51" t="s">
        <v>1355</v>
      </c>
      <c r="I219" s="14" t="s">
        <v>164</v>
      </c>
      <c r="J219" s="14">
        <v>24.57559155</v>
      </c>
      <c r="K219" s="14">
        <v>27.71469702</v>
      </c>
      <c r="L219" s="14">
        <v>25.66572041</v>
      </c>
      <c r="M219" s="14">
        <v>8.224132393</v>
      </c>
      <c r="N219" s="14">
        <v>7.990531059</v>
      </c>
      <c r="O219" s="14">
        <v>7.971850008</v>
      </c>
      <c r="P219" s="14" t="s">
        <v>1356</v>
      </c>
      <c r="Q219" s="14" t="s">
        <v>1357</v>
      </c>
      <c r="T219" s="14" t="s">
        <v>1358</v>
      </c>
      <c r="U219" s="14" t="s">
        <v>1359</v>
      </c>
    </row>
    <row r="220" spans="1:21">
      <c r="A220" s="14" t="s">
        <v>1360</v>
      </c>
      <c r="B220" s="14">
        <v>7.496687521</v>
      </c>
      <c r="C220" s="14">
        <v>0.648076722</v>
      </c>
      <c r="D220" s="14">
        <v>14.34529832</v>
      </c>
      <c r="E220" s="14">
        <v>21.55074211</v>
      </c>
      <c r="F220" s="14">
        <v>4.429665645</v>
      </c>
      <c r="G220" s="14">
        <v>0.000602418</v>
      </c>
      <c r="H220" s="14">
        <v>0.002340941</v>
      </c>
      <c r="I220" s="14" t="s">
        <v>164</v>
      </c>
      <c r="J220" s="14">
        <v>0.779273142</v>
      </c>
      <c r="K220" s="14">
        <v>0.58827127</v>
      </c>
      <c r="L220" s="14">
        <v>0.750322706</v>
      </c>
      <c r="M220" s="14">
        <v>0</v>
      </c>
      <c r="N220" s="14">
        <v>0.039978735</v>
      </c>
      <c r="O220" s="14">
        <v>0.040770573</v>
      </c>
      <c r="P220" s="14" t="s">
        <v>1361</v>
      </c>
      <c r="Q220" s="14" t="s">
        <v>1362</v>
      </c>
      <c r="T220" s="14" t="s">
        <v>1363</v>
      </c>
      <c r="U220" s="14" t="s">
        <v>1364</v>
      </c>
    </row>
    <row r="221" spans="1:21">
      <c r="A221" s="14" t="s">
        <v>1365</v>
      </c>
      <c r="B221" s="14">
        <v>4057.290561</v>
      </c>
      <c r="C221" s="14">
        <v>1957.486049</v>
      </c>
      <c r="D221" s="14">
        <v>6157.095074</v>
      </c>
      <c r="E221" s="14">
        <v>3.145063946</v>
      </c>
      <c r="F221" s="14">
        <v>1.653089351</v>
      </c>
      <c r="G221" s="14">
        <v>0.00018023</v>
      </c>
      <c r="H221" s="14">
        <v>0.000802206</v>
      </c>
      <c r="I221" s="14" t="s">
        <v>164</v>
      </c>
      <c r="J221" s="14">
        <v>125.9069819</v>
      </c>
      <c r="K221" s="14">
        <v>106.1153757</v>
      </c>
      <c r="L221" s="14">
        <v>134.8739321</v>
      </c>
      <c r="M221" s="14">
        <v>19.64146187</v>
      </c>
      <c r="N221" s="14">
        <v>18.10152076</v>
      </c>
      <c r="O221" s="14">
        <v>61.4512293</v>
      </c>
      <c r="P221" s="14" t="s">
        <v>1366</v>
      </c>
      <c r="Q221" s="14" t="s">
        <v>1367</v>
      </c>
      <c r="T221" s="14" t="s">
        <v>1368</v>
      </c>
      <c r="U221" s="14" t="s">
        <v>1369</v>
      </c>
    </row>
    <row r="222" spans="1:21">
      <c r="A222" s="14" t="s">
        <v>1370</v>
      </c>
      <c r="B222" s="14">
        <v>26688.52319</v>
      </c>
      <c r="C222" s="14">
        <v>36628.85428</v>
      </c>
      <c r="D222" s="14">
        <v>16748.19209</v>
      </c>
      <c r="E222" s="14">
        <v>0.457242428</v>
      </c>
      <c r="F222" s="14">
        <v>-1.128968815</v>
      </c>
      <c r="G222" s="51" t="s">
        <v>1371</v>
      </c>
      <c r="H222" s="51" t="s">
        <v>1372</v>
      </c>
      <c r="I222" s="14" t="s">
        <v>147</v>
      </c>
      <c r="J222" s="14">
        <v>59.05321635</v>
      </c>
      <c r="K222" s="14">
        <v>61.55981168</v>
      </c>
      <c r="L222" s="14">
        <v>51.35409755</v>
      </c>
      <c r="M222" s="14">
        <v>113.2304583</v>
      </c>
      <c r="N222" s="14">
        <v>106.6145934</v>
      </c>
      <c r="O222" s="14">
        <v>87.6638607</v>
      </c>
      <c r="P222" s="14" t="s">
        <v>1373</v>
      </c>
      <c r="Q222" s="14" t="s">
        <v>1374</v>
      </c>
      <c r="T222" s="14" t="s">
        <v>1375</v>
      </c>
      <c r="U222" s="14" t="s">
        <v>1376</v>
      </c>
    </row>
    <row r="223" spans="1:15">
      <c r="A223" s="14" t="s">
        <v>1377</v>
      </c>
      <c r="B223" s="14">
        <v>5743.74169</v>
      </c>
      <c r="C223" s="14">
        <v>7917.88341</v>
      </c>
      <c r="D223" s="14">
        <v>3569.599969</v>
      </c>
      <c r="E223" s="14">
        <v>0.450829093</v>
      </c>
      <c r="F223" s="14">
        <v>-1.149347476</v>
      </c>
      <c r="G223" s="51" t="s">
        <v>1378</v>
      </c>
      <c r="H223" s="14">
        <v>0.000196284</v>
      </c>
      <c r="I223" s="14" t="s">
        <v>147</v>
      </c>
      <c r="J223" s="14">
        <v>30.27518892</v>
      </c>
      <c r="K223" s="14">
        <v>47.43372597</v>
      </c>
      <c r="L223" s="14">
        <v>30.72745595</v>
      </c>
      <c r="M223" s="14">
        <v>73.29952234</v>
      </c>
      <c r="N223" s="14">
        <v>69.93453505</v>
      </c>
      <c r="O223" s="14">
        <v>53.2857937</v>
      </c>
    </row>
    <row r="224" spans="1:21">
      <c r="A224" s="14" t="s">
        <v>1379</v>
      </c>
      <c r="B224" s="14">
        <v>7.201941931</v>
      </c>
      <c r="C224" s="14">
        <v>0.618177692</v>
      </c>
      <c r="D224" s="14">
        <v>13.78570617</v>
      </c>
      <c r="E224" s="14">
        <v>21.35384719</v>
      </c>
      <c r="F224" s="14">
        <v>4.41642411</v>
      </c>
      <c r="G224" s="14">
        <v>0.010168399</v>
      </c>
      <c r="H224" s="14">
        <v>0.027398229</v>
      </c>
      <c r="I224" s="14" t="s">
        <v>164</v>
      </c>
      <c r="J224" s="14">
        <v>0.024352286</v>
      </c>
      <c r="K224" s="14">
        <v>0.098045212</v>
      </c>
      <c r="L224" s="14">
        <v>0.218844123</v>
      </c>
      <c r="M224" s="14">
        <v>0</v>
      </c>
      <c r="N224" s="14">
        <v>0</v>
      </c>
      <c r="O224" s="14">
        <v>0.013590191</v>
      </c>
      <c r="P224" s="14" t="s">
        <v>1380</v>
      </c>
      <c r="Q224" s="14" t="s">
        <v>1381</v>
      </c>
      <c r="T224" s="14" t="s">
        <v>1382</v>
      </c>
      <c r="U224" s="14" t="s">
        <v>1383</v>
      </c>
    </row>
    <row r="225" spans="1:21">
      <c r="A225" s="14" t="s">
        <v>1384</v>
      </c>
      <c r="B225" s="14">
        <v>2286.936093</v>
      </c>
      <c r="C225" s="14">
        <v>1302.878777</v>
      </c>
      <c r="D225" s="14">
        <v>3270.99341</v>
      </c>
      <c r="E225" s="14">
        <v>2.510827378</v>
      </c>
      <c r="F225" s="14">
        <v>1.328162845</v>
      </c>
      <c r="G225" s="51" t="s">
        <v>1385</v>
      </c>
      <c r="H225" s="51" t="s">
        <v>1386</v>
      </c>
      <c r="I225" s="14" t="s">
        <v>164</v>
      </c>
      <c r="J225" s="14">
        <v>44.41676062</v>
      </c>
      <c r="K225" s="14">
        <v>50.11247364</v>
      </c>
      <c r="L225" s="14">
        <v>45.06038967</v>
      </c>
      <c r="M225" s="14">
        <v>15.24451593</v>
      </c>
      <c r="N225" s="14">
        <v>14.26661303</v>
      </c>
      <c r="O225" s="14">
        <v>16.31915804</v>
      </c>
      <c r="P225" s="14" t="s">
        <v>1387</v>
      </c>
      <c r="Q225" s="14" t="s">
        <v>1388</v>
      </c>
      <c r="T225" s="14" t="s">
        <v>1389</v>
      </c>
      <c r="U225" s="14" t="s">
        <v>1390</v>
      </c>
    </row>
    <row r="226" spans="1:21">
      <c r="A226" s="14" t="s">
        <v>1391</v>
      </c>
      <c r="B226" s="14">
        <v>560.8197206</v>
      </c>
      <c r="C226" s="14">
        <v>811.720424</v>
      </c>
      <c r="D226" s="14">
        <v>309.9190172</v>
      </c>
      <c r="E226" s="14">
        <v>0.381673367</v>
      </c>
      <c r="F226" s="14">
        <v>-1.389589576</v>
      </c>
      <c r="G226" s="51" t="s">
        <v>1392</v>
      </c>
      <c r="H226" s="51" t="s">
        <v>1393</v>
      </c>
      <c r="I226" s="14" t="s">
        <v>147</v>
      </c>
      <c r="J226" s="14">
        <v>3.615740464</v>
      </c>
      <c r="K226" s="14">
        <v>3.627610937</v>
      </c>
      <c r="L226" s="14">
        <v>3.706021005</v>
      </c>
      <c r="M226" s="14">
        <v>6.167257998</v>
      </c>
      <c r="N226" s="14">
        <v>5.897603813</v>
      </c>
      <c r="O226" s="14">
        <v>11.98001076</v>
      </c>
      <c r="P226" s="14" t="s">
        <v>1394</v>
      </c>
      <c r="Q226" s="14" t="s">
        <v>1395</v>
      </c>
      <c r="T226" s="14" t="s">
        <v>1396</v>
      </c>
      <c r="U226" s="14" t="s">
        <v>1397</v>
      </c>
    </row>
    <row r="227" spans="1:21">
      <c r="A227" s="14" t="s">
        <v>1398</v>
      </c>
      <c r="B227" s="14">
        <v>4742.401119</v>
      </c>
      <c r="C227" s="14">
        <v>2512.782988</v>
      </c>
      <c r="D227" s="14">
        <v>6972.01925</v>
      </c>
      <c r="E227" s="14">
        <v>2.774912884</v>
      </c>
      <c r="F227" s="14">
        <v>1.47244248</v>
      </c>
      <c r="G227" s="51" t="s">
        <v>1399</v>
      </c>
      <c r="H227" s="51" t="s">
        <v>1400</v>
      </c>
      <c r="I227" s="14" t="s">
        <v>164</v>
      </c>
      <c r="J227" s="14">
        <v>85.04560237</v>
      </c>
      <c r="K227" s="14">
        <v>61.91488398</v>
      </c>
      <c r="L227" s="14">
        <v>74.38047207</v>
      </c>
      <c r="M227" s="14">
        <v>25.01085883</v>
      </c>
      <c r="N227" s="14">
        <v>24.53677123</v>
      </c>
      <c r="O227" s="14">
        <v>15.208364</v>
      </c>
      <c r="P227" s="14" t="s">
        <v>1401</v>
      </c>
      <c r="Q227" s="14" t="s">
        <v>1402</v>
      </c>
      <c r="R227" s="14" t="s">
        <v>341</v>
      </c>
      <c r="S227" s="14" t="s">
        <v>342</v>
      </c>
      <c r="T227" s="14" t="s">
        <v>1403</v>
      </c>
      <c r="U227" s="14" t="s">
        <v>1404</v>
      </c>
    </row>
    <row r="228" spans="1:21">
      <c r="A228" s="14" t="s">
        <v>1405</v>
      </c>
      <c r="B228" s="14">
        <v>404.4092195</v>
      </c>
      <c r="C228" s="14">
        <v>587.2317981</v>
      </c>
      <c r="D228" s="14">
        <v>221.5866408</v>
      </c>
      <c r="E228" s="14">
        <v>0.377560459</v>
      </c>
      <c r="F228" s="14">
        <v>-1.405220412</v>
      </c>
      <c r="G228" s="51" t="s">
        <v>1406</v>
      </c>
      <c r="H228" s="51" t="s">
        <v>1407</v>
      </c>
      <c r="I228" s="14" t="s">
        <v>147</v>
      </c>
      <c r="J228" s="14">
        <v>2.513495682</v>
      </c>
      <c r="K228" s="14">
        <v>3.061837956</v>
      </c>
      <c r="L228" s="14">
        <v>3.077893538</v>
      </c>
      <c r="M228" s="14">
        <v>7.146388532</v>
      </c>
      <c r="N228" s="14">
        <v>5.925034528</v>
      </c>
      <c r="O228" s="14">
        <v>5.686319225</v>
      </c>
      <c r="P228" s="14" t="s">
        <v>1408</v>
      </c>
      <c r="Q228" s="14" t="s">
        <v>1409</v>
      </c>
      <c r="T228" s="14" t="s">
        <v>1410</v>
      </c>
      <c r="U228" s="14" t="s">
        <v>1411</v>
      </c>
    </row>
    <row r="229" spans="1:21">
      <c r="A229" s="14" t="s">
        <v>1412</v>
      </c>
      <c r="B229" s="14">
        <v>31.09072824</v>
      </c>
      <c r="C229" s="14">
        <v>56.98450812</v>
      </c>
      <c r="D229" s="14">
        <v>5.196948353</v>
      </c>
      <c r="E229" s="14">
        <v>0.091213072</v>
      </c>
      <c r="F229" s="14">
        <v>-3.454615593</v>
      </c>
      <c r="G229" s="51" t="s">
        <v>1413</v>
      </c>
      <c r="H229" s="51" t="s">
        <v>1414</v>
      </c>
      <c r="I229" s="14" t="s">
        <v>147</v>
      </c>
      <c r="J229" s="14">
        <v>0.11619665</v>
      </c>
      <c r="K229" s="14">
        <v>0.146194249</v>
      </c>
      <c r="L229" s="14">
        <v>0.195789789</v>
      </c>
      <c r="M229" s="14">
        <v>0.695920668</v>
      </c>
      <c r="N229" s="14">
        <v>0.882256096</v>
      </c>
      <c r="O229" s="14">
        <v>2.699191426</v>
      </c>
      <c r="P229" s="14" t="s">
        <v>1415</v>
      </c>
      <c r="Q229" s="14" t="s">
        <v>1416</v>
      </c>
      <c r="T229" s="14" t="s">
        <v>1417</v>
      </c>
      <c r="U229" s="14" t="s">
        <v>1418</v>
      </c>
    </row>
    <row r="230" spans="1:15">
      <c r="A230" s="14" t="s">
        <v>1419</v>
      </c>
      <c r="B230" s="14">
        <v>58.36738968</v>
      </c>
      <c r="C230" s="14">
        <v>102.145088</v>
      </c>
      <c r="D230" s="14">
        <v>14.5896914</v>
      </c>
      <c r="E230" s="14">
        <v>0.142529498</v>
      </c>
      <c r="F230" s="14">
        <v>-2.810667566</v>
      </c>
      <c r="G230" s="51" t="s">
        <v>1420</v>
      </c>
      <c r="H230" s="14">
        <v>0.000272219</v>
      </c>
      <c r="I230" s="14" t="s">
        <v>147</v>
      </c>
      <c r="J230" s="14">
        <v>0.401636248</v>
      </c>
      <c r="K230" s="14">
        <v>1.257694294</v>
      </c>
      <c r="L230" s="14">
        <v>0.300778516</v>
      </c>
      <c r="M230" s="14">
        <v>4.352746042</v>
      </c>
      <c r="N230" s="14">
        <v>4.542253868</v>
      </c>
      <c r="O230" s="14">
        <v>2.278753331</v>
      </c>
    </row>
    <row r="231" spans="1:15">
      <c r="A231" s="14" t="s">
        <v>1421</v>
      </c>
      <c r="B231" s="14">
        <v>52.59993457</v>
      </c>
      <c r="C231" s="14">
        <v>91.81163699</v>
      </c>
      <c r="D231" s="14">
        <v>13.38823216</v>
      </c>
      <c r="E231" s="14">
        <v>0.145929024</v>
      </c>
      <c r="F231" s="14">
        <v>-2.776661246</v>
      </c>
      <c r="G231" s="51" t="s">
        <v>1422</v>
      </c>
      <c r="H231" s="51" t="s">
        <v>1423</v>
      </c>
      <c r="I231" s="14" t="s">
        <v>147</v>
      </c>
      <c r="J231" s="14">
        <v>0.461881685</v>
      </c>
      <c r="K231" s="14">
        <v>0.37191817</v>
      </c>
      <c r="L231" s="14">
        <v>0.415074353</v>
      </c>
      <c r="M231" s="14">
        <v>2.081299884</v>
      </c>
      <c r="N231" s="14">
        <v>3.538562288</v>
      </c>
      <c r="O231" s="14">
        <v>1.314579176</v>
      </c>
    </row>
    <row r="232" spans="1:21">
      <c r="A232" s="14" t="s">
        <v>1424</v>
      </c>
      <c r="B232" s="14">
        <v>7745.219487</v>
      </c>
      <c r="C232" s="14">
        <v>11149.82696</v>
      </c>
      <c r="D232" s="14">
        <v>4340.612017</v>
      </c>
      <c r="E232" s="14">
        <v>0.389307349</v>
      </c>
      <c r="F232" s="14">
        <v>-1.361018515</v>
      </c>
      <c r="G232" s="51" t="s">
        <v>1425</v>
      </c>
      <c r="H232" s="51" t="s">
        <v>1426</v>
      </c>
      <c r="I232" s="14" t="s">
        <v>147</v>
      </c>
      <c r="J232" s="14">
        <v>62.04928838</v>
      </c>
      <c r="K232" s="14">
        <v>68.95859548</v>
      </c>
      <c r="L232" s="14">
        <v>61.97834046</v>
      </c>
      <c r="M232" s="14">
        <v>151.0116238</v>
      </c>
      <c r="N232" s="14">
        <v>145.5528085</v>
      </c>
      <c r="O232" s="14">
        <v>107.6939454</v>
      </c>
      <c r="P232" s="14" t="s">
        <v>1427</v>
      </c>
      <c r="Q232" s="14" t="s">
        <v>1428</v>
      </c>
      <c r="T232" s="14" t="s">
        <v>1429</v>
      </c>
      <c r="U232" s="14" t="s">
        <v>1430</v>
      </c>
    </row>
    <row r="233" spans="1:15">
      <c r="A233" s="14" t="s">
        <v>1431</v>
      </c>
      <c r="B233" s="14">
        <v>908.0490096</v>
      </c>
      <c r="C233" s="14">
        <v>404.7773759</v>
      </c>
      <c r="D233" s="14">
        <v>1411.320643</v>
      </c>
      <c r="E233" s="14">
        <v>3.489484325</v>
      </c>
      <c r="F233" s="14">
        <v>1.803013851</v>
      </c>
      <c r="G233" s="51" t="s">
        <v>1432</v>
      </c>
      <c r="H233" s="51" t="s">
        <v>1433</v>
      </c>
      <c r="I233" s="14" t="s">
        <v>164</v>
      </c>
      <c r="J233" s="14">
        <v>51.34792788</v>
      </c>
      <c r="K233" s="14">
        <v>60.81364669</v>
      </c>
      <c r="L233" s="14">
        <v>65.82694606</v>
      </c>
      <c r="M233" s="14">
        <v>15.4513197</v>
      </c>
      <c r="N233" s="14">
        <v>14.27721077</v>
      </c>
      <c r="O233" s="14">
        <v>11.94755319</v>
      </c>
    </row>
    <row r="234" spans="1:15">
      <c r="A234" s="14" t="s">
        <v>1434</v>
      </c>
      <c r="B234" s="14">
        <v>1223.964013</v>
      </c>
      <c r="C234" s="14">
        <v>554.6848748</v>
      </c>
      <c r="D234" s="14">
        <v>1893.243151</v>
      </c>
      <c r="E234" s="14">
        <v>3.411736989</v>
      </c>
      <c r="F234" s="14">
        <v>1.770506434</v>
      </c>
      <c r="G234" s="51" t="s">
        <v>1435</v>
      </c>
      <c r="H234" s="51" t="s">
        <v>1436</v>
      </c>
      <c r="I234" s="14" t="s">
        <v>164</v>
      </c>
      <c r="J234" s="14">
        <v>148.9966608</v>
      </c>
      <c r="K234" s="14">
        <v>162.6340445</v>
      </c>
      <c r="L234" s="14">
        <v>144.7648481</v>
      </c>
      <c r="M234" s="14">
        <v>23.09779552</v>
      </c>
      <c r="N234" s="14">
        <v>22.74790042</v>
      </c>
      <c r="O234" s="14">
        <v>67.72882568</v>
      </c>
    </row>
    <row r="235" spans="1:21">
      <c r="A235" s="14" t="s">
        <v>1437</v>
      </c>
      <c r="B235" s="14">
        <v>115.513449</v>
      </c>
      <c r="C235" s="14">
        <v>59.52007647</v>
      </c>
      <c r="D235" s="14">
        <v>171.5068215</v>
      </c>
      <c r="E235" s="14">
        <v>2.876551683</v>
      </c>
      <c r="F235" s="14">
        <v>1.524340391</v>
      </c>
      <c r="G235" s="14">
        <v>0.000332607</v>
      </c>
      <c r="H235" s="14">
        <v>0.0013872</v>
      </c>
      <c r="I235" s="14" t="s">
        <v>164</v>
      </c>
      <c r="J235" s="14">
        <v>1.650675945</v>
      </c>
      <c r="K235" s="14">
        <v>2.012320841</v>
      </c>
      <c r="L235" s="14">
        <v>1.658454683</v>
      </c>
      <c r="M235" s="14">
        <v>0.491238119</v>
      </c>
      <c r="N235" s="14">
        <v>0.26088972</v>
      </c>
      <c r="O235" s="14">
        <v>0.798171074</v>
      </c>
      <c r="P235" s="14" t="s">
        <v>1438</v>
      </c>
      <c r="Q235" s="14" t="s">
        <v>1439</v>
      </c>
      <c r="T235" s="14" t="s">
        <v>1440</v>
      </c>
      <c r="U235" s="14" t="s">
        <v>1441</v>
      </c>
    </row>
    <row r="236" spans="1:15">
      <c r="A236" s="14" t="s">
        <v>1442</v>
      </c>
      <c r="B236" s="14">
        <v>21.52943963</v>
      </c>
      <c r="C236" s="14">
        <v>38.8091874</v>
      </c>
      <c r="D236" s="14">
        <v>4.249691856</v>
      </c>
      <c r="E236" s="14">
        <v>0.109687124</v>
      </c>
      <c r="F236" s="14">
        <v>-3.188533909</v>
      </c>
      <c r="G236" s="51" t="s">
        <v>1443</v>
      </c>
      <c r="H236" s="51" t="s">
        <v>1444</v>
      </c>
      <c r="I236" s="14" t="s">
        <v>147</v>
      </c>
      <c r="J236" s="14">
        <v>0.233535683</v>
      </c>
      <c r="K236" s="14">
        <v>0.117530321</v>
      </c>
      <c r="L236" s="14">
        <v>0.149906468</v>
      </c>
      <c r="M236" s="14">
        <v>1.731703075</v>
      </c>
      <c r="N236" s="14">
        <v>1.214073337</v>
      </c>
      <c r="O236" s="14">
        <v>0.749388327</v>
      </c>
    </row>
    <row r="237" spans="1:21">
      <c r="A237" s="14" t="s">
        <v>1445</v>
      </c>
      <c r="B237" s="14">
        <v>1464116.194</v>
      </c>
      <c r="C237" s="14">
        <v>2242342.146</v>
      </c>
      <c r="D237" s="14">
        <v>685890.2432</v>
      </c>
      <c r="E237" s="14">
        <v>0.305881224</v>
      </c>
      <c r="F237" s="14">
        <v>-1.708956544</v>
      </c>
      <c r="G237" s="51" t="s">
        <v>1446</v>
      </c>
      <c r="H237" s="51" t="s">
        <v>1447</v>
      </c>
      <c r="I237" s="14" t="s">
        <v>147</v>
      </c>
      <c r="J237" s="14">
        <v>15771.54423</v>
      </c>
      <c r="K237" s="14">
        <v>22187.75431</v>
      </c>
      <c r="L237" s="14">
        <v>15818.53461</v>
      </c>
      <c r="M237" s="14">
        <v>48512.10813</v>
      </c>
      <c r="N237" s="14">
        <v>47593.60839</v>
      </c>
      <c r="O237" s="14">
        <v>48630.6912</v>
      </c>
      <c r="P237" s="14" t="s">
        <v>1448</v>
      </c>
      <c r="Q237" s="14" t="s">
        <v>1449</v>
      </c>
      <c r="R237" s="14" t="s">
        <v>1450</v>
      </c>
      <c r="S237" s="14" t="s">
        <v>1451</v>
      </c>
      <c r="T237" s="14" t="s">
        <v>1452</v>
      </c>
      <c r="U237" s="14" t="s">
        <v>1453</v>
      </c>
    </row>
    <row r="238" spans="1:15">
      <c r="A238" s="14" t="s">
        <v>1454</v>
      </c>
      <c r="B238" s="14">
        <v>4258.705098</v>
      </c>
      <c r="C238" s="14">
        <v>2838.235837</v>
      </c>
      <c r="D238" s="14">
        <v>5679.17436</v>
      </c>
      <c r="E238" s="14">
        <v>2.001057481</v>
      </c>
      <c r="F238" s="14">
        <v>1.00076261</v>
      </c>
      <c r="G238" s="51" t="s">
        <v>1455</v>
      </c>
      <c r="H238" s="14">
        <v>0.000222823</v>
      </c>
      <c r="I238" s="14" t="s">
        <v>164</v>
      </c>
      <c r="J238" s="14">
        <v>120.520479</v>
      </c>
      <c r="K238" s="14">
        <v>162.2687199</v>
      </c>
      <c r="L238" s="14">
        <v>106.8863807</v>
      </c>
      <c r="M238" s="14">
        <v>55.98595059</v>
      </c>
      <c r="N238" s="14">
        <v>57.97826872</v>
      </c>
      <c r="O238" s="14">
        <v>45.48493347</v>
      </c>
    </row>
    <row r="239" spans="1:21">
      <c r="A239" s="14" t="s">
        <v>1456</v>
      </c>
      <c r="B239" s="14">
        <v>197.9718938</v>
      </c>
      <c r="C239" s="14">
        <v>50.78559362</v>
      </c>
      <c r="D239" s="14">
        <v>345.158194</v>
      </c>
      <c r="E239" s="14">
        <v>6.809577277</v>
      </c>
      <c r="F239" s="14">
        <v>2.767565242</v>
      </c>
      <c r="G239" s="51" t="s">
        <v>1457</v>
      </c>
      <c r="H239" s="51" t="s">
        <v>1458</v>
      </c>
      <c r="I239" s="14" t="s">
        <v>164</v>
      </c>
      <c r="J239" s="14">
        <v>5.501950433</v>
      </c>
      <c r="K239" s="14">
        <v>7.701909564</v>
      </c>
      <c r="L239" s="14">
        <v>4.449941898</v>
      </c>
      <c r="M239" s="14">
        <v>0.81112806</v>
      </c>
      <c r="N239" s="14">
        <v>0.680908443</v>
      </c>
      <c r="O239" s="14">
        <v>0.637709543</v>
      </c>
      <c r="P239" s="14" t="s">
        <v>1459</v>
      </c>
      <c r="Q239" s="14" t="s">
        <v>1460</v>
      </c>
      <c r="T239" s="14" t="s">
        <v>1461</v>
      </c>
      <c r="U239" s="14" t="s">
        <v>1462</v>
      </c>
    </row>
    <row r="240" spans="1:21">
      <c r="A240" s="14" t="s">
        <v>1463</v>
      </c>
      <c r="B240" s="14">
        <v>1829.04125</v>
      </c>
      <c r="C240" s="14">
        <v>1056.985027</v>
      </c>
      <c r="D240" s="14">
        <v>2601.097472</v>
      </c>
      <c r="E240" s="14">
        <v>2.459987014</v>
      </c>
      <c r="F240" s="14">
        <v>1.2986507</v>
      </c>
      <c r="G240" s="51" t="s">
        <v>1464</v>
      </c>
      <c r="H240" s="51" t="s">
        <v>1465</v>
      </c>
      <c r="I240" s="14" t="s">
        <v>164</v>
      </c>
      <c r="J240" s="14">
        <v>14.12506831</v>
      </c>
      <c r="K240" s="14">
        <v>17.1822792</v>
      </c>
      <c r="L240" s="14">
        <v>16.24481958</v>
      </c>
      <c r="M240" s="14">
        <v>4.364148241</v>
      </c>
      <c r="N240" s="14">
        <v>4.984619434</v>
      </c>
      <c r="O240" s="14">
        <v>6.705369455</v>
      </c>
      <c r="P240" s="14" t="s">
        <v>1466</v>
      </c>
      <c r="Q240" s="14" t="s">
        <v>1467</v>
      </c>
      <c r="T240" s="14" t="s">
        <v>1468</v>
      </c>
      <c r="U240" s="14" t="s">
        <v>1469</v>
      </c>
    </row>
    <row r="241" spans="1:21">
      <c r="A241" s="14" t="s">
        <v>1470</v>
      </c>
      <c r="B241" s="14">
        <v>284.4855811</v>
      </c>
      <c r="C241" s="14">
        <v>144.6230441</v>
      </c>
      <c r="D241" s="14">
        <v>424.348118</v>
      </c>
      <c r="E241" s="14">
        <v>2.934770368</v>
      </c>
      <c r="F241" s="14">
        <v>1.553247623</v>
      </c>
      <c r="G241" s="51" t="s">
        <v>1471</v>
      </c>
      <c r="H241" s="51" t="s">
        <v>1472</v>
      </c>
      <c r="I241" s="14" t="s">
        <v>164</v>
      </c>
      <c r="J241" s="14">
        <v>7.553902009</v>
      </c>
      <c r="K241" s="14">
        <v>6.113302516</v>
      </c>
      <c r="L241" s="14">
        <v>5.936164041</v>
      </c>
      <c r="M241" s="14">
        <v>1.462353122</v>
      </c>
      <c r="N241" s="14">
        <v>2.430117115</v>
      </c>
      <c r="O241" s="14">
        <v>1.584035545</v>
      </c>
      <c r="P241" s="14" t="s">
        <v>1473</v>
      </c>
      <c r="Q241" s="14" t="s">
        <v>1474</v>
      </c>
      <c r="T241" s="14" t="s">
        <v>1475</v>
      </c>
      <c r="U241" s="14" t="s">
        <v>1476</v>
      </c>
    </row>
    <row r="242" spans="1:21">
      <c r="A242" s="14" t="s">
        <v>1477</v>
      </c>
      <c r="B242" s="14">
        <v>16.80247643</v>
      </c>
      <c r="C242" s="14">
        <v>8.033966986</v>
      </c>
      <c r="D242" s="14">
        <v>25.57098588</v>
      </c>
      <c r="E242" s="14">
        <v>3.179215536</v>
      </c>
      <c r="F242" s="14">
        <v>1.668670828</v>
      </c>
      <c r="G242" s="14">
        <v>0.013767011</v>
      </c>
      <c r="H242" s="14">
        <v>0.035469042</v>
      </c>
      <c r="I242" s="14" t="s">
        <v>164</v>
      </c>
      <c r="J242" s="14">
        <v>0.227652528</v>
      </c>
      <c r="K242" s="14">
        <v>0.580485643</v>
      </c>
      <c r="L242" s="14">
        <v>0.365325181</v>
      </c>
      <c r="M242" s="14">
        <v>0.077911319</v>
      </c>
      <c r="N242" s="14">
        <v>0.124577768</v>
      </c>
      <c r="O242" s="14">
        <v>0.101636171</v>
      </c>
      <c r="P242" s="14" t="s">
        <v>1478</v>
      </c>
      <c r="Q242" s="14" t="s">
        <v>1479</v>
      </c>
      <c r="T242" s="14" t="s">
        <v>1480</v>
      </c>
      <c r="U242" s="14" t="s">
        <v>1481</v>
      </c>
    </row>
    <row r="243" spans="1:21">
      <c r="A243" s="14" t="s">
        <v>1482</v>
      </c>
      <c r="B243" s="14">
        <v>849.8375744</v>
      </c>
      <c r="C243" s="14">
        <v>491.00571</v>
      </c>
      <c r="D243" s="14">
        <v>1208.669439</v>
      </c>
      <c r="E243" s="14">
        <v>2.462868674</v>
      </c>
      <c r="F243" s="14">
        <v>1.300339702</v>
      </c>
      <c r="G243" s="51" t="s">
        <v>1483</v>
      </c>
      <c r="H243" s="51" t="s">
        <v>1484</v>
      </c>
      <c r="I243" s="14" t="s">
        <v>164</v>
      </c>
      <c r="J243" s="14">
        <v>7.607004104</v>
      </c>
      <c r="K243" s="14">
        <v>6.514065073</v>
      </c>
      <c r="L243" s="14">
        <v>7.30749716</v>
      </c>
      <c r="M243" s="14">
        <v>2.298005532</v>
      </c>
      <c r="N243" s="14">
        <v>2.588918566</v>
      </c>
      <c r="O243" s="14">
        <v>2.253228416</v>
      </c>
      <c r="P243" s="14" t="s">
        <v>1485</v>
      </c>
      <c r="Q243" s="14" t="s">
        <v>1486</v>
      </c>
      <c r="T243" s="14" t="s">
        <v>1487</v>
      </c>
      <c r="U243" s="14" t="s">
        <v>1488</v>
      </c>
    </row>
    <row r="244" spans="1:21">
      <c r="A244" s="14" t="s">
        <v>1489</v>
      </c>
      <c r="B244" s="14">
        <v>81.15032534</v>
      </c>
      <c r="C244" s="14">
        <v>20.35477361</v>
      </c>
      <c r="D244" s="14">
        <v>141.9458771</v>
      </c>
      <c r="E244" s="14">
        <v>7.002983315</v>
      </c>
      <c r="F244" s="14">
        <v>2.80796965</v>
      </c>
      <c r="G244" s="51" t="s">
        <v>1490</v>
      </c>
      <c r="H244" s="51" t="s">
        <v>1491</v>
      </c>
      <c r="I244" s="14" t="s">
        <v>164</v>
      </c>
      <c r="J244" s="14">
        <v>3.820801374</v>
      </c>
      <c r="K244" s="14">
        <v>3.018184101</v>
      </c>
      <c r="L244" s="14">
        <v>3.562436945</v>
      </c>
      <c r="M244" s="14">
        <v>0.455185209</v>
      </c>
      <c r="N244" s="14">
        <v>0.635194427</v>
      </c>
      <c r="O244" s="14">
        <v>0.101214904</v>
      </c>
      <c r="P244" s="14" t="s">
        <v>1492</v>
      </c>
      <c r="Q244" s="14" t="s">
        <v>1493</v>
      </c>
      <c r="T244" s="14" t="s">
        <v>1494</v>
      </c>
      <c r="U244" s="14" t="s">
        <v>1495</v>
      </c>
    </row>
    <row r="245" spans="1:21">
      <c r="A245" s="14" t="s">
        <v>1496</v>
      </c>
      <c r="B245" s="14">
        <v>2692.209377</v>
      </c>
      <c r="C245" s="14">
        <v>763.9080891</v>
      </c>
      <c r="D245" s="14">
        <v>4620.510664</v>
      </c>
      <c r="E245" s="14">
        <v>6.046837627</v>
      </c>
      <c r="F245" s="14">
        <v>2.59618084</v>
      </c>
      <c r="G245" s="51" t="s">
        <v>1497</v>
      </c>
      <c r="H245" s="51" t="s">
        <v>1498</v>
      </c>
      <c r="I245" s="14" t="s">
        <v>164</v>
      </c>
      <c r="J245" s="14">
        <v>569.1574313</v>
      </c>
      <c r="K245" s="14">
        <v>316.2304224</v>
      </c>
      <c r="L245" s="14">
        <v>506.6011164</v>
      </c>
      <c r="M245" s="14">
        <v>45.55233718</v>
      </c>
      <c r="N245" s="14">
        <v>52.18156369</v>
      </c>
      <c r="O245" s="14">
        <v>94.95568745</v>
      </c>
      <c r="Q245" s="14" t="s">
        <v>1499</v>
      </c>
      <c r="T245" s="14" t="s">
        <v>1500</v>
      </c>
      <c r="U245" s="14" t="s">
        <v>1501</v>
      </c>
    </row>
    <row r="246" spans="1:21">
      <c r="A246" s="14" t="s">
        <v>1502</v>
      </c>
      <c r="B246" s="14">
        <v>538.0870259</v>
      </c>
      <c r="C246" s="14">
        <v>339.7849742</v>
      </c>
      <c r="D246" s="14">
        <v>736.3890777</v>
      </c>
      <c r="E246" s="14">
        <v>2.165756925</v>
      </c>
      <c r="F246" s="14">
        <v>1.11487133</v>
      </c>
      <c r="G246" s="14">
        <v>0.011534626</v>
      </c>
      <c r="H246" s="14">
        <v>0.030556549</v>
      </c>
      <c r="I246" s="14" t="s">
        <v>164</v>
      </c>
      <c r="J246" s="14">
        <v>8.131591699</v>
      </c>
      <c r="K246" s="14">
        <v>8.558219406</v>
      </c>
      <c r="L246" s="14">
        <v>7.6403294</v>
      </c>
      <c r="M246" s="14">
        <v>1.51287272</v>
      </c>
      <c r="N246" s="14">
        <v>2.374239311</v>
      </c>
      <c r="O246" s="14">
        <v>5.655708661</v>
      </c>
      <c r="P246" s="14" t="s">
        <v>1503</v>
      </c>
      <c r="Q246" s="14" t="s">
        <v>1504</v>
      </c>
      <c r="T246" s="14" t="s">
        <v>1505</v>
      </c>
      <c r="U246" s="14" t="s">
        <v>1506</v>
      </c>
    </row>
    <row r="247" spans="1:21">
      <c r="A247" s="14" t="s">
        <v>1507</v>
      </c>
      <c r="B247" s="14">
        <v>72.11795228</v>
      </c>
      <c r="C247" s="14">
        <v>43.48399792</v>
      </c>
      <c r="D247" s="14">
        <v>100.7519066</v>
      </c>
      <c r="E247" s="14">
        <v>2.316273418</v>
      </c>
      <c r="F247" s="14">
        <v>1.211805562</v>
      </c>
      <c r="G247" s="14">
        <v>0.010849254</v>
      </c>
      <c r="H247" s="14">
        <v>0.028956812</v>
      </c>
      <c r="I247" s="14" t="s">
        <v>164</v>
      </c>
      <c r="J247" s="14">
        <v>1.023382487</v>
      </c>
      <c r="K247" s="14">
        <v>0.477711323</v>
      </c>
      <c r="L247" s="14">
        <v>0.764013535</v>
      </c>
      <c r="M247" s="14">
        <v>0.177658099</v>
      </c>
      <c r="N247" s="14">
        <v>0.371319755</v>
      </c>
      <c r="O247" s="14">
        <v>0.254518784</v>
      </c>
      <c r="P247" s="14" t="s">
        <v>1508</v>
      </c>
      <c r="Q247" s="14" t="s">
        <v>1509</v>
      </c>
      <c r="T247" s="14" t="s">
        <v>1510</v>
      </c>
      <c r="U247" s="14" t="s">
        <v>1511</v>
      </c>
    </row>
    <row r="248" spans="1:19">
      <c r="A248" s="14" t="s">
        <v>1512</v>
      </c>
      <c r="B248" s="14">
        <v>141.3448079</v>
      </c>
      <c r="C248" s="14">
        <v>200.1912609</v>
      </c>
      <c r="D248" s="14">
        <v>82.49835497</v>
      </c>
      <c r="E248" s="14">
        <v>0.412298951</v>
      </c>
      <c r="F248" s="14">
        <v>-1.278237306</v>
      </c>
      <c r="G248" s="14">
        <v>0.007601931</v>
      </c>
      <c r="H248" s="14">
        <v>0.021289731</v>
      </c>
      <c r="I248" s="14" t="s">
        <v>147</v>
      </c>
      <c r="J248" s="14">
        <v>1.403758063</v>
      </c>
      <c r="K248" s="14">
        <v>1.245804327</v>
      </c>
      <c r="L248" s="14">
        <v>1.119073009</v>
      </c>
      <c r="M248" s="14">
        <v>2.854103216</v>
      </c>
      <c r="N248" s="14">
        <v>3.320499626</v>
      </c>
      <c r="O248" s="14">
        <v>1.200355841</v>
      </c>
      <c r="R248" s="14" t="s">
        <v>1513</v>
      </c>
      <c r="S248" s="14" t="s">
        <v>1514</v>
      </c>
    </row>
    <row r="249" spans="1:15">
      <c r="A249" s="14" t="s">
        <v>1515</v>
      </c>
      <c r="B249" s="14">
        <v>592.206324</v>
      </c>
      <c r="C249" s="14">
        <v>214.2743073</v>
      </c>
      <c r="D249" s="14">
        <v>970.1383406</v>
      </c>
      <c r="E249" s="14">
        <v>4.524942074</v>
      </c>
      <c r="F249" s="14">
        <v>2.177899324</v>
      </c>
      <c r="G249" s="51" t="s">
        <v>1516</v>
      </c>
      <c r="H249" s="51" t="s">
        <v>1517</v>
      </c>
      <c r="I249" s="14" t="s">
        <v>164</v>
      </c>
      <c r="J249" s="14">
        <v>33.6206901</v>
      </c>
      <c r="K249" s="14">
        <v>26.52439661</v>
      </c>
      <c r="L249" s="14">
        <v>45.3341174</v>
      </c>
      <c r="M249" s="14">
        <v>5.66736059</v>
      </c>
      <c r="N249" s="14">
        <v>5.055088982</v>
      </c>
      <c r="O249" s="14">
        <v>8.631983643</v>
      </c>
    </row>
    <row r="250" spans="1:15">
      <c r="A250" s="14" t="s">
        <v>1518</v>
      </c>
      <c r="B250" s="14">
        <v>1218.266419</v>
      </c>
      <c r="C250" s="14">
        <v>110.8868814</v>
      </c>
      <c r="D250" s="14">
        <v>2325.645956</v>
      </c>
      <c r="E250" s="14">
        <v>20.98895792</v>
      </c>
      <c r="F250" s="14">
        <v>4.391558635</v>
      </c>
      <c r="G250" s="51" t="s">
        <v>1519</v>
      </c>
      <c r="H250" s="51" t="s">
        <v>1520</v>
      </c>
      <c r="I250" s="14" t="s">
        <v>164</v>
      </c>
      <c r="J250" s="14">
        <v>45.31495935</v>
      </c>
      <c r="K250" s="14">
        <v>205.8502308</v>
      </c>
      <c r="L250" s="14">
        <v>71.06710129</v>
      </c>
      <c r="M250" s="14">
        <v>5.780296295</v>
      </c>
      <c r="N250" s="14">
        <v>5.319160795</v>
      </c>
      <c r="O250" s="14">
        <v>1.231095511</v>
      </c>
    </row>
    <row r="251" spans="1:15">
      <c r="A251" s="14" t="s">
        <v>1521</v>
      </c>
      <c r="B251" s="14">
        <v>63.98940202</v>
      </c>
      <c r="C251" s="14">
        <v>27.80280494</v>
      </c>
      <c r="D251" s="14">
        <v>100.1759991</v>
      </c>
      <c r="E251" s="14">
        <v>3.600898465</v>
      </c>
      <c r="F251" s="14">
        <v>1.84835692</v>
      </c>
      <c r="G251" s="14">
        <v>0.002501427</v>
      </c>
      <c r="H251" s="14">
        <v>0.008119155</v>
      </c>
      <c r="I251" s="14" t="s">
        <v>164</v>
      </c>
      <c r="J251" s="14">
        <v>24.68416875</v>
      </c>
      <c r="K251" s="14">
        <v>15.09012246</v>
      </c>
      <c r="L251" s="14">
        <v>5.978237161</v>
      </c>
      <c r="M251" s="14">
        <v>2.850504095</v>
      </c>
      <c r="N251" s="14">
        <v>4.102080404</v>
      </c>
      <c r="O251" s="14">
        <v>3.549490542</v>
      </c>
    </row>
    <row r="252" spans="1:21">
      <c r="A252" s="14" t="s">
        <v>1522</v>
      </c>
      <c r="B252" s="14">
        <v>146.8938916</v>
      </c>
      <c r="C252" s="14">
        <v>56.96115477</v>
      </c>
      <c r="D252" s="14">
        <v>236.8266285</v>
      </c>
      <c r="E252" s="14">
        <v>4.163567681</v>
      </c>
      <c r="F252" s="14">
        <v>2.057820276</v>
      </c>
      <c r="G252" s="51" t="s">
        <v>1523</v>
      </c>
      <c r="H252" s="51" t="s">
        <v>1524</v>
      </c>
      <c r="I252" s="14" t="s">
        <v>164</v>
      </c>
      <c r="J252" s="14">
        <v>6.735340149</v>
      </c>
      <c r="K252" s="14">
        <v>4.386619497</v>
      </c>
      <c r="L252" s="14">
        <v>3.814775571</v>
      </c>
      <c r="M252" s="14">
        <v>0.963427097</v>
      </c>
      <c r="N252" s="14">
        <v>1.24950845</v>
      </c>
      <c r="O252" s="14">
        <v>0.715678478</v>
      </c>
      <c r="P252" s="14" t="s">
        <v>1525</v>
      </c>
      <c r="Q252" s="14" t="s">
        <v>1526</v>
      </c>
      <c r="R252" s="14" t="s">
        <v>1527</v>
      </c>
      <c r="S252" s="14" t="s">
        <v>1528</v>
      </c>
      <c r="T252" s="14" t="s">
        <v>1529</v>
      </c>
      <c r="U252" s="14" t="s">
        <v>1530</v>
      </c>
    </row>
    <row r="253" spans="1:21">
      <c r="A253" s="14" t="s">
        <v>1531</v>
      </c>
      <c r="B253" s="14">
        <v>322.4259334</v>
      </c>
      <c r="C253" s="14">
        <v>158.1289568</v>
      </c>
      <c r="D253" s="14">
        <v>486.72291</v>
      </c>
      <c r="E253" s="14">
        <v>3.073631883</v>
      </c>
      <c r="F253" s="14">
        <v>1.619944389</v>
      </c>
      <c r="G253" s="51" t="s">
        <v>1532</v>
      </c>
      <c r="H253" s="51" t="s">
        <v>1533</v>
      </c>
      <c r="I253" s="14" t="s">
        <v>164</v>
      </c>
      <c r="J253" s="14">
        <v>9.352624993</v>
      </c>
      <c r="K253" s="14">
        <v>8.931437377</v>
      </c>
      <c r="L253" s="14">
        <v>9.983190191</v>
      </c>
      <c r="M253" s="14">
        <v>2.197285974</v>
      </c>
      <c r="N253" s="14">
        <v>2.391203917</v>
      </c>
      <c r="O253" s="14">
        <v>3.016120149</v>
      </c>
      <c r="P253" s="14" t="s">
        <v>1534</v>
      </c>
      <c r="Q253" s="14" t="s">
        <v>1535</v>
      </c>
      <c r="R253" s="14" t="s">
        <v>1536</v>
      </c>
      <c r="S253" s="14" t="s">
        <v>1537</v>
      </c>
      <c r="T253" s="14" t="s">
        <v>1538</v>
      </c>
      <c r="U253" s="14" t="s">
        <v>1539</v>
      </c>
    </row>
    <row r="254" spans="1:21">
      <c r="A254" s="14" t="s">
        <v>1540</v>
      </c>
      <c r="B254" s="14">
        <v>6.57007111</v>
      </c>
      <c r="C254" s="14">
        <v>11.8703848</v>
      </c>
      <c r="D254" s="14">
        <v>1.269757423</v>
      </c>
      <c r="E254" s="14">
        <v>0.108797136</v>
      </c>
      <c r="F254" s="14">
        <v>-3.200287512</v>
      </c>
      <c r="G254" s="14">
        <v>0.007726018</v>
      </c>
      <c r="H254" s="14">
        <v>0.021571092</v>
      </c>
      <c r="I254" s="14" t="s">
        <v>147</v>
      </c>
      <c r="J254" s="14">
        <v>0.019406793</v>
      </c>
      <c r="K254" s="14">
        <v>0</v>
      </c>
      <c r="L254" s="14">
        <v>0.056057461</v>
      </c>
      <c r="M254" s="14">
        <v>0.199252196</v>
      </c>
      <c r="N254" s="14">
        <v>0.223018632</v>
      </c>
      <c r="O254" s="14">
        <v>0.146208757</v>
      </c>
      <c r="P254" s="14" t="s">
        <v>1541</v>
      </c>
      <c r="Q254" s="14" t="s">
        <v>1542</v>
      </c>
      <c r="T254" s="14" t="s">
        <v>1543</v>
      </c>
      <c r="U254" s="14" t="s">
        <v>1544</v>
      </c>
    </row>
    <row r="255" spans="1:21">
      <c r="A255" s="14" t="s">
        <v>1545</v>
      </c>
      <c r="B255" s="14">
        <v>5835.361169</v>
      </c>
      <c r="C255" s="14">
        <v>533.1806082</v>
      </c>
      <c r="D255" s="14">
        <v>11137.54173</v>
      </c>
      <c r="E255" s="14">
        <v>20.87599715</v>
      </c>
      <c r="F255" s="14">
        <v>4.383773205</v>
      </c>
      <c r="G255" s="51" t="s">
        <v>1546</v>
      </c>
      <c r="H255" s="51" t="s">
        <v>1547</v>
      </c>
      <c r="I255" s="14" t="s">
        <v>164</v>
      </c>
      <c r="J255" s="14">
        <v>49.49192688</v>
      </c>
      <c r="K255" s="14">
        <v>45.97390466</v>
      </c>
      <c r="L255" s="14">
        <v>60.03310782</v>
      </c>
      <c r="M255" s="14">
        <v>1.394301995</v>
      </c>
      <c r="N255" s="14">
        <v>1.934705152</v>
      </c>
      <c r="O255" s="14">
        <v>2.886319531</v>
      </c>
      <c r="P255" s="14" t="s">
        <v>1548</v>
      </c>
      <c r="Q255" s="14" t="s">
        <v>1549</v>
      </c>
      <c r="T255" s="14" t="s">
        <v>1550</v>
      </c>
      <c r="U255" s="14" t="s">
        <v>1551</v>
      </c>
    </row>
    <row r="256" spans="1:21">
      <c r="A256" s="14" t="s">
        <v>1552</v>
      </c>
      <c r="B256" s="14">
        <v>28.83256622</v>
      </c>
      <c r="C256" s="14">
        <v>7.722941757</v>
      </c>
      <c r="D256" s="14">
        <v>49.94219068</v>
      </c>
      <c r="E256" s="14">
        <v>6.466300573</v>
      </c>
      <c r="F256" s="14">
        <v>2.69294057</v>
      </c>
      <c r="G256" s="14">
        <v>0.006292325</v>
      </c>
      <c r="H256" s="14">
        <v>0.018057866</v>
      </c>
      <c r="I256" s="14" t="s">
        <v>164</v>
      </c>
      <c r="J256" s="14">
        <v>1.203104988</v>
      </c>
      <c r="K256" s="14">
        <v>0.26446277</v>
      </c>
      <c r="L256" s="14">
        <v>0.62580714</v>
      </c>
      <c r="M256" s="14">
        <v>0.023663684</v>
      </c>
      <c r="N256" s="14">
        <v>0.192971211</v>
      </c>
      <c r="O256" s="14">
        <v>0.046304303</v>
      </c>
      <c r="P256" s="14" t="s">
        <v>1553</v>
      </c>
      <c r="Q256" s="14" t="s">
        <v>1554</v>
      </c>
      <c r="T256" s="14" t="s">
        <v>1555</v>
      </c>
      <c r="U256" s="14" t="s">
        <v>1556</v>
      </c>
    </row>
    <row r="257" spans="1:21">
      <c r="A257" s="14" t="s">
        <v>1557</v>
      </c>
      <c r="B257" s="14">
        <v>324.0227209</v>
      </c>
      <c r="C257" s="14">
        <v>64.60332648</v>
      </c>
      <c r="D257" s="14">
        <v>583.4421153</v>
      </c>
      <c r="E257" s="14">
        <v>9.052220842</v>
      </c>
      <c r="F257" s="14">
        <v>3.178271782</v>
      </c>
      <c r="G257" s="51" t="s">
        <v>1558</v>
      </c>
      <c r="H257" s="51" t="s">
        <v>1559</v>
      </c>
      <c r="I257" s="14" t="s">
        <v>164</v>
      </c>
      <c r="J257" s="14">
        <v>4.055715021</v>
      </c>
      <c r="K257" s="14">
        <v>3.616257448</v>
      </c>
      <c r="L257" s="14">
        <v>4.550339627</v>
      </c>
      <c r="M257" s="14">
        <v>0.348778277</v>
      </c>
      <c r="N257" s="14">
        <v>0.465053063</v>
      </c>
      <c r="O257" s="14">
        <v>0.289185441</v>
      </c>
      <c r="P257" s="14" t="s">
        <v>1553</v>
      </c>
      <c r="Q257" s="14" t="s">
        <v>1554</v>
      </c>
      <c r="T257" s="14" t="s">
        <v>1555</v>
      </c>
      <c r="U257" s="14" t="s">
        <v>1556</v>
      </c>
    </row>
    <row r="258" spans="1:21">
      <c r="A258" s="14" t="s">
        <v>1560</v>
      </c>
      <c r="B258" s="14">
        <v>36.46429589</v>
      </c>
      <c r="C258" s="14">
        <v>12.4000369</v>
      </c>
      <c r="D258" s="14">
        <v>60.52855487</v>
      </c>
      <c r="E258" s="14">
        <v>4.850329184</v>
      </c>
      <c r="F258" s="14">
        <v>2.278082664</v>
      </c>
      <c r="G258" s="14">
        <v>0.000341494</v>
      </c>
      <c r="H258" s="14">
        <v>0.001419942</v>
      </c>
      <c r="I258" s="14" t="s">
        <v>164</v>
      </c>
      <c r="J258" s="14">
        <v>0.597458896</v>
      </c>
      <c r="K258" s="14">
        <v>1.063945013</v>
      </c>
      <c r="L258" s="14">
        <v>1.150525924</v>
      </c>
      <c r="M258" s="14">
        <v>0.117965231</v>
      </c>
      <c r="N258" s="14">
        <v>0.075449089</v>
      </c>
      <c r="O258" s="14">
        <v>0.294949966</v>
      </c>
      <c r="P258" s="14" t="s">
        <v>1553</v>
      </c>
      <c r="Q258" s="14" t="s">
        <v>1554</v>
      </c>
      <c r="T258" s="14" t="s">
        <v>1555</v>
      </c>
      <c r="U258" s="14" t="s">
        <v>1556</v>
      </c>
    </row>
    <row r="259" spans="1:21">
      <c r="A259" s="14" t="s">
        <v>1561</v>
      </c>
      <c r="B259" s="14">
        <v>3746.284693</v>
      </c>
      <c r="C259" s="14">
        <v>5019.513457</v>
      </c>
      <c r="D259" s="14">
        <v>2473.055929</v>
      </c>
      <c r="E259" s="14">
        <v>0.49271063</v>
      </c>
      <c r="F259" s="14">
        <v>-1.021187499</v>
      </c>
      <c r="G259" s="51" t="s">
        <v>1562</v>
      </c>
      <c r="H259" s="14">
        <v>0.000132597</v>
      </c>
      <c r="I259" s="14" t="s">
        <v>147</v>
      </c>
      <c r="J259" s="14">
        <v>13.22354641</v>
      </c>
      <c r="K259" s="14">
        <v>13.50831578</v>
      </c>
      <c r="L259" s="14">
        <v>12.10291277</v>
      </c>
      <c r="M259" s="14">
        <v>23.94181863</v>
      </c>
      <c r="N259" s="14">
        <v>24.04242714</v>
      </c>
      <c r="O259" s="14">
        <v>16.20678359</v>
      </c>
      <c r="P259" s="14" t="s">
        <v>1563</v>
      </c>
      <c r="Q259" s="14" t="s">
        <v>1564</v>
      </c>
      <c r="T259" s="14" t="s">
        <v>1565</v>
      </c>
      <c r="U259" s="14" t="s">
        <v>1566</v>
      </c>
    </row>
    <row r="260" spans="1:21">
      <c r="A260" s="14" t="s">
        <v>1567</v>
      </c>
      <c r="B260" s="14">
        <v>1510.912228</v>
      </c>
      <c r="C260" s="14">
        <v>2050.087024</v>
      </c>
      <c r="D260" s="14">
        <v>971.7374308</v>
      </c>
      <c r="E260" s="14">
        <v>0.474002316</v>
      </c>
      <c r="F260" s="14">
        <v>-1.077033988</v>
      </c>
      <c r="G260" s="51" t="s">
        <v>1568</v>
      </c>
      <c r="H260" s="51" t="s">
        <v>1569</v>
      </c>
      <c r="I260" s="14" t="s">
        <v>147</v>
      </c>
      <c r="J260" s="14">
        <v>27.58483779</v>
      </c>
      <c r="K260" s="14">
        <v>20.93328701</v>
      </c>
      <c r="L260" s="14">
        <v>26.92996261</v>
      </c>
      <c r="M260" s="14">
        <v>41.00120351</v>
      </c>
      <c r="N260" s="14">
        <v>38.4738057</v>
      </c>
      <c r="O260" s="14">
        <v>52.20724627</v>
      </c>
      <c r="P260" s="14" t="s">
        <v>1570</v>
      </c>
      <c r="Q260" s="14" t="s">
        <v>1571</v>
      </c>
      <c r="T260" s="14" t="s">
        <v>1572</v>
      </c>
      <c r="U260" s="14" t="s">
        <v>1573</v>
      </c>
    </row>
    <row r="261" spans="1:21">
      <c r="A261" s="14" t="s">
        <v>1574</v>
      </c>
      <c r="B261" s="14">
        <v>810.2128598</v>
      </c>
      <c r="C261" s="14">
        <v>1510.527599</v>
      </c>
      <c r="D261" s="14">
        <v>109.8981207</v>
      </c>
      <c r="E261" s="14">
        <v>0.072702218</v>
      </c>
      <c r="F261" s="14">
        <v>-3.781856808</v>
      </c>
      <c r="G261" s="51" t="s">
        <v>1575</v>
      </c>
      <c r="H261" s="51" t="s">
        <v>1576</v>
      </c>
      <c r="I261" s="14" t="s">
        <v>147</v>
      </c>
      <c r="J261" s="14">
        <v>0.946375892</v>
      </c>
      <c r="K261" s="14">
        <v>1.407759165</v>
      </c>
      <c r="L261" s="14">
        <v>0.419321325</v>
      </c>
      <c r="M261" s="14">
        <v>11.10669917</v>
      </c>
      <c r="N261" s="14">
        <v>11.95485005</v>
      </c>
      <c r="O261" s="14">
        <v>8.167483012</v>
      </c>
      <c r="P261" s="14" t="s">
        <v>1577</v>
      </c>
      <c r="Q261" s="14" t="s">
        <v>1578</v>
      </c>
      <c r="T261" s="14" t="s">
        <v>1579</v>
      </c>
      <c r="U261" s="14" t="s">
        <v>1580</v>
      </c>
    </row>
    <row r="262" spans="1:21">
      <c r="A262" s="14" t="s">
        <v>1581</v>
      </c>
      <c r="B262" s="14">
        <v>1049.897874</v>
      </c>
      <c r="C262" s="14">
        <v>1777.802654</v>
      </c>
      <c r="D262" s="14">
        <v>321.9930946</v>
      </c>
      <c r="E262" s="14">
        <v>0.18110631</v>
      </c>
      <c r="F262" s="14">
        <v>-2.465091281</v>
      </c>
      <c r="G262" s="51" t="s">
        <v>1582</v>
      </c>
      <c r="H262" s="51" t="s">
        <v>1583</v>
      </c>
      <c r="I262" s="14" t="s">
        <v>147</v>
      </c>
      <c r="J262" s="14">
        <v>4.552119135</v>
      </c>
      <c r="K262" s="14">
        <v>7.602839843</v>
      </c>
      <c r="L262" s="14">
        <v>4.061906054</v>
      </c>
      <c r="M262" s="14">
        <v>29.08950187</v>
      </c>
      <c r="N262" s="14">
        <v>30.19366325</v>
      </c>
      <c r="O262" s="14">
        <v>13.19045786</v>
      </c>
      <c r="P262" s="14" t="s">
        <v>1584</v>
      </c>
      <c r="Q262" s="14" t="s">
        <v>1585</v>
      </c>
      <c r="T262" s="14" t="s">
        <v>1586</v>
      </c>
      <c r="U262" s="14" t="s">
        <v>1587</v>
      </c>
    </row>
    <row r="263" spans="1:15">
      <c r="A263" s="14" t="s">
        <v>1588</v>
      </c>
      <c r="B263" s="14">
        <v>110.2845063</v>
      </c>
      <c r="C263" s="14">
        <v>163.3578092</v>
      </c>
      <c r="D263" s="14">
        <v>57.21120352</v>
      </c>
      <c r="E263" s="14">
        <v>0.349774652</v>
      </c>
      <c r="F263" s="14">
        <v>-1.515502354</v>
      </c>
      <c r="G263" s="51" t="s">
        <v>1589</v>
      </c>
      <c r="H263" s="51" t="s">
        <v>1590</v>
      </c>
      <c r="I263" s="14" t="s">
        <v>147</v>
      </c>
      <c r="J263" s="14">
        <v>0.89151701</v>
      </c>
      <c r="K263" s="14">
        <v>1.546476989</v>
      </c>
      <c r="L263" s="14">
        <v>0.840132893</v>
      </c>
      <c r="M263" s="14">
        <v>2.418166111</v>
      </c>
      <c r="N263" s="14">
        <v>2.584634818</v>
      </c>
      <c r="O263" s="14">
        <v>2.731098179</v>
      </c>
    </row>
    <row r="264" spans="1:21">
      <c r="A264" s="14" t="s">
        <v>1591</v>
      </c>
      <c r="B264" s="14">
        <v>21.91049842</v>
      </c>
      <c r="C264" s="14">
        <v>40.1822865</v>
      </c>
      <c r="D264" s="14">
        <v>3.638710352</v>
      </c>
      <c r="E264" s="14">
        <v>0.090119847</v>
      </c>
      <c r="F264" s="14">
        <v>-3.472011318</v>
      </c>
      <c r="G264" s="14">
        <v>0.000488753</v>
      </c>
      <c r="H264" s="14">
        <v>0.001946379</v>
      </c>
      <c r="I264" s="14" t="s">
        <v>147</v>
      </c>
      <c r="J264" s="14">
        <v>0.531662371</v>
      </c>
      <c r="K264" s="14">
        <v>0.133783514</v>
      </c>
      <c r="L264" s="14">
        <v>0.063988852</v>
      </c>
      <c r="M264" s="14">
        <v>0.796053138</v>
      </c>
      <c r="N264" s="14">
        <v>3.163976557</v>
      </c>
      <c r="O264" s="14">
        <v>2.781589453</v>
      </c>
      <c r="P264" s="14" t="s">
        <v>1592</v>
      </c>
      <c r="Q264" s="14" t="s">
        <v>1593</v>
      </c>
      <c r="T264" s="14" t="s">
        <v>1594</v>
      </c>
      <c r="U264" s="14" t="s">
        <v>1595</v>
      </c>
    </row>
    <row r="265" spans="1:21">
      <c r="A265" s="14" t="s">
        <v>1596</v>
      </c>
      <c r="B265" s="14">
        <v>22348.85169</v>
      </c>
      <c r="C265" s="14">
        <v>32959.94646</v>
      </c>
      <c r="D265" s="14">
        <v>11737.75692</v>
      </c>
      <c r="E265" s="14">
        <v>0.356124015</v>
      </c>
      <c r="F265" s="14">
        <v>-1.489548369</v>
      </c>
      <c r="G265" s="51" t="s">
        <v>1597</v>
      </c>
      <c r="H265" s="51" t="s">
        <v>1598</v>
      </c>
      <c r="I265" s="14" t="s">
        <v>147</v>
      </c>
      <c r="J265" s="14">
        <v>55.53584999</v>
      </c>
      <c r="K265" s="14">
        <v>61.16230262</v>
      </c>
      <c r="L265" s="14">
        <v>53.29299155</v>
      </c>
      <c r="M265" s="14">
        <v>144.8369442</v>
      </c>
      <c r="N265" s="14">
        <v>145.4420318</v>
      </c>
      <c r="O265" s="14">
        <v>98.51733827</v>
      </c>
      <c r="P265" s="14" t="s">
        <v>1599</v>
      </c>
      <c r="Q265" s="14" t="s">
        <v>1600</v>
      </c>
      <c r="T265" s="14" t="s">
        <v>1601</v>
      </c>
      <c r="U265" s="14" t="s">
        <v>1602</v>
      </c>
    </row>
    <row r="266" spans="1:21">
      <c r="A266" s="14" t="s">
        <v>1603</v>
      </c>
      <c r="B266" s="14">
        <v>1785.696699</v>
      </c>
      <c r="C266" s="14">
        <v>727.5619452</v>
      </c>
      <c r="D266" s="14">
        <v>2843.831454</v>
      </c>
      <c r="E266" s="14">
        <v>3.909224038</v>
      </c>
      <c r="F266" s="14">
        <v>1.966882268</v>
      </c>
      <c r="G266" s="51" t="s">
        <v>1604</v>
      </c>
      <c r="H266" s="51" t="s">
        <v>1605</v>
      </c>
      <c r="I266" s="14" t="s">
        <v>164</v>
      </c>
      <c r="J266" s="14">
        <v>35.92150695</v>
      </c>
      <c r="K266" s="14">
        <v>18.92870598</v>
      </c>
      <c r="L266" s="14">
        <v>32.4722156</v>
      </c>
      <c r="M266" s="14">
        <v>5.291244676</v>
      </c>
      <c r="N266" s="14">
        <v>8.889793079</v>
      </c>
      <c r="O266" s="14">
        <v>3.939840051</v>
      </c>
      <c r="P266" s="14" t="s">
        <v>1606</v>
      </c>
      <c r="Q266" s="14" t="s">
        <v>1607</v>
      </c>
      <c r="T266" s="14" t="s">
        <v>1608</v>
      </c>
      <c r="U266" s="14" t="s">
        <v>1609</v>
      </c>
    </row>
    <row r="267" spans="1:21">
      <c r="A267" s="14" t="s">
        <v>1610</v>
      </c>
      <c r="B267" s="14">
        <v>15.88897408</v>
      </c>
      <c r="C267" s="14">
        <v>27.17298894</v>
      </c>
      <c r="D267" s="14">
        <v>4.604959226</v>
      </c>
      <c r="E267" s="14">
        <v>0.168559805</v>
      </c>
      <c r="F267" s="14">
        <v>-2.568667548</v>
      </c>
      <c r="G267" s="14">
        <v>0.000940089</v>
      </c>
      <c r="H267" s="14">
        <v>0.003469194</v>
      </c>
      <c r="I267" s="14" t="s">
        <v>147</v>
      </c>
      <c r="J267" s="14">
        <v>0.234287811</v>
      </c>
      <c r="K267" s="14">
        <v>0.13475296</v>
      </c>
      <c r="L267" s="14">
        <v>0.096678809</v>
      </c>
      <c r="M267" s="14">
        <v>0.515456768</v>
      </c>
      <c r="N267" s="14">
        <v>0.521992884</v>
      </c>
      <c r="O267" s="14">
        <v>1.288803113</v>
      </c>
      <c r="P267" s="14" t="s">
        <v>1611</v>
      </c>
      <c r="Q267" s="14" t="s">
        <v>1612</v>
      </c>
      <c r="R267" s="14" t="s">
        <v>1613</v>
      </c>
      <c r="S267" s="14" t="s">
        <v>1614</v>
      </c>
      <c r="T267" s="14" t="s">
        <v>1615</v>
      </c>
      <c r="U267" s="14" t="s">
        <v>1616</v>
      </c>
    </row>
    <row r="268" spans="1:21">
      <c r="A268" s="14" t="s">
        <v>1617</v>
      </c>
      <c r="B268" s="14">
        <v>6769.966275</v>
      </c>
      <c r="C268" s="14">
        <v>9236.176336</v>
      </c>
      <c r="D268" s="14">
        <v>4303.756214</v>
      </c>
      <c r="E268" s="14">
        <v>0.465978246</v>
      </c>
      <c r="F268" s="14">
        <v>-1.10166549</v>
      </c>
      <c r="G268" s="51" t="s">
        <v>1618</v>
      </c>
      <c r="H268" s="14">
        <v>0.000129137</v>
      </c>
      <c r="I268" s="14" t="s">
        <v>147</v>
      </c>
      <c r="J268" s="14">
        <v>40.28875551</v>
      </c>
      <c r="K268" s="14">
        <v>49.00055454</v>
      </c>
      <c r="L268" s="14">
        <v>41.02685664</v>
      </c>
      <c r="M268" s="14">
        <v>88.55249539</v>
      </c>
      <c r="N268" s="14">
        <v>82.90254684</v>
      </c>
      <c r="O268" s="14">
        <v>56.09503919</v>
      </c>
      <c r="P268" s="14" t="s">
        <v>1619</v>
      </c>
      <c r="Q268" s="14" t="s">
        <v>1620</v>
      </c>
      <c r="R268" s="14" t="s">
        <v>798</v>
      </c>
      <c r="S268" s="14" t="s">
        <v>799</v>
      </c>
      <c r="T268" s="14" t="s">
        <v>1621</v>
      </c>
      <c r="U268" s="14" t="s">
        <v>1622</v>
      </c>
    </row>
    <row r="269" spans="1:21">
      <c r="A269" s="14" t="s">
        <v>1623</v>
      </c>
      <c r="B269" s="14">
        <v>1561.672921</v>
      </c>
      <c r="C269" s="14">
        <v>493.9598405</v>
      </c>
      <c r="D269" s="14">
        <v>2629.386003</v>
      </c>
      <c r="E269" s="14">
        <v>5.321708214</v>
      </c>
      <c r="F269" s="14">
        <v>2.41188941</v>
      </c>
      <c r="G269" s="14">
        <v>0.003133895</v>
      </c>
      <c r="H269" s="14">
        <v>0.009866397</v>
      </c>
      <c r="I269" s="14" t="s">
        <v>164</v>
      </c>
      <c r="J269" s="14">
        <v>48.43100206</v>
      </c>
      <c r="K269" s="14">
        <v>45.29848945</v>
      </c>
      <c r="L269" s="14">
        <v>47.67448212</v>
      </c>
      <c r="M269" s="14">
        <v>1.883514033</v>
      </c>
      <c r="N269" s="14">
        <v>1.646708999</v>
      </c>
      <c r="O269" s="14">
        <v>19.75063938</v>
      </c>
      <c r="Q269" s="14" t="s">
        <v>1624</v>
      </c>
      <c r="T269" s="14" t="s">
        <v>1625</v>
      </c>
      <c r="U269" s="14" t="s">
        <v>1626</v>
      </c>
    </row>
    <row r="270" spans="1:21">
      <c r="A270" s="14" t="s">
        <v>1627</v>
      </c>
      <c r="B270" s="14">
        <v>26.75759146</v>
      </c>
      <c r="C270" s="14">
        <v>3.399977306</v>
      </c>
      <c r="D270" s="14">
        <v>50.11520561</v>
      </c>
      <c r="E270" s="14">
        <v>14.52013242</v>
      </c>
      <c r="F270" s="14">
        <v>3.859982706</v>
      </c>
      <c r="G270" s="14">
        <v>0.006711494</v>
      </c>
      <c r="H270" s="14">
        <v>0.019113004</v>
      </c>
      <c r="I270" s="14" t="s">
        <v>164</v>
      </c>
      <c r="J270" s="14">
        <v>1.058282883</v>
      </c>
      <c r="K270" s="14">
        <v>0.5112928</v>
      </c>
      <c r="L270" s="14">
        <v>0.570621564</v>
      </c>
      <c r="M270" s="14">
        <v>0</v>
      </c>
      <c r="N270" s="14">
        <v>0</v>
      </c>
      <c r="O270" s="14">
        <v>0.129930253</v>
      </c>
      <c r="P270" s="14" t="s">
        <v>1628</v>
      </c>
      <c r="Q270" s="14" t="s">
        <v>1629</v>
      </c>
      <c r="T270" s="14" t="s">
        <v>1630</v>
      </c>
      <c r="U270" s="14" t="s">
        <v>1631</v>
      </c>
    </row>
    <row r="271" spans="1:21">
      <c r="A271" s="14" t="s">
        <v>1632</v>
      </c>
      <c r="B271" s="14">
        <v>51.85632388</v>
      </c>
      <c r="C271" s="14">
        <v>32.42474969</v>
      </c>
      <c r="D271" s="14">
        <v>71.28789808</v>
      </c>
      <c r="E271" s="14">
        <v>2.203807509</v>
      </c>
      <c r="F271" s="14">
        <v>1.139998218</v>
      </c>
      <c r="G271" s="14">
        <v>0.000529885</v>
      </c>
      <c r="H271" s="14">
        <v>0.002088239</v>
      </c>
      <c r="I271" s="14" t="s">
        <v>164</v>
      </c>
      <c r="J271" s="14">
        <v>2.144450681</v>
      </c>
      <c r="K271" s="14">
        <v>2.656558356</v>
      </c>
      <c r="L271" s="14">
        <v>2.318910286</v>
      </c>
      <c r="M271" s="14">
        <v>0.959731411</v>
      </c>
      <c r="N271" s="14">
        <v>0.866586683</v>
      </c>
      <c r="O271" s="14">
        <v>0.828516287</v>
      </c>
      <c r="P271" s="14" t="s">
        <v>1633</v>
      </c>
      <c r="Q271" s="14" t="s">
        <v>1634</v>
      </c>
      <c r="R271" s="14" t="s">
        <v>1635</v>
      </c>
      <c r="S271" s="14" t="s">
        <v>1636</v>
      </c>
      <c r="T271" s="14" t="s">
        <v>1637</v>
      </c>
      <c r="U271" s="14" t="s">
        <v>1638</v>
      </c>
    </row>
    <row r="272" spans="1:21">
      <c r="A272" s="14" t="s">
        <v>1639</v>
      </c>
      <c r="B272" s="14">
        <v>3658.320563</v>
      </c>
      <c r="C272" s="14">
        <v>5657.069733</v>
      </c>
      <c r="D272" s="14">
        <v>1659.571393</v>
      </c>
      <c r="E272" s="14">
        <v>0.29335708</v>
      </c>
      <c r="F272" s="14">
        <v>-1.769270284</v>
      </c>
      <c r="G272" s="51" t="s">
        <v>1640</v>
      </c>
      <c r="H272" s="51" t="s">
        <v>1641</v>
      </c>
      <c r="I272" s="14" t="s">
        <v>147</v>
      </c>
      <c r="J272" s="14">
        <v>18.69953366</v>
      </c>
      <c r="K272" s="14">
        <v>18.53141401</v>
      </c>
      <c r="L272" s="14">
        <v>16.4110322</v>
      </c>
      <c r="M272" s="14">
        <v>51.31446614</v>
      </c>
      <c r="N272" s="14">
        <v>50.92198595</v>
      </c>
      <c r="O272" s="14">
        <v>47.88089809</v>
      </c>
      <c r="P272" s="14" t="s">
        <v>1642</v>
      </c>
      <c r="Q272" s="14" t="s">
        <v>1643</v>
      </c>
      <c r="R272" s="14" t="s">
        <v>798</v>
      </c>
      <c r="S272" s="14" t="s">
        <v>799</v>
      </c>
      <c r="T272" s="14" t="s">
        <v>1644</v>
      </c>
      <c r="U272" s="14" t="s">
        <v>1645</v>
      </c>
    </row>
    <row r="273" spans="1:15">
      <c r="A273" s="14" t="s">
        <v>1646</v>
      </c>
      <c r="B273" s="14">
        <v>50.15311117</v>
      </c>
      <c r="C273" s="14">
        <v>32.05586278</v>
      </c>
      <c r="D273" s="14">
        <v>68.25035956</v>
      </c>
      <c r="E273" s="14">
        <v>2.133149498</v>
      </c>
      <c r="F273" s="14">
        <v>1.092985078</v>
      </c>
      <c r="G273" s="14">
        <v>0.003170482</v>
      </c>
      <c r="H273" s="14">
        <v>0.009967491</v>
      </c>
      <c r="I273" s="14" t="s">
        <v>164</v>
      </c>
      <c r="J273" s="14">
        <v>2.550567889</v>
      </c>
      <c r="K273" s="14">
        <v>3.998943153</v>
      </c>
      <c r="L273" s="14">
        <v>3.589264945</v>
      </c>
      <c r="M273" s="14">
        <v>1.426857319</v>
      </c>
      <c r="N273" s="14">
        <v>1.20785312</v>
      </c>
      <c r="O273" s="14">
        <v>1.272835641</v>
      </c>
    </row>
    <row r="274" spans="1:15">
      <c r="A274" s="14" t="s">
        <v>1647</v>
      </c>
      <c r="B274" s="14">
        <v>441.9902815</v>
      </c>
      <c r="C274" s="14">
        <v>769.8877012</v>
      </c>
      <c r="D274" s="14">
        <v>114.0928617</v>
      </c>
      <c r="E274" s="14">
        <v>0.148170197</v>
      </c>
      <c r="F274" s="14">
        <v>-2.754672799</v>
      </c>
      <c r="G274" s="51" t="s">
        <v>1648</v>
      </c>
      <c r="H274" s="51" t="s">
        <v>1649</v>
      </c>
      <c r="I274" s="14" t="s">
        <v>147</v>
      </c>
      <c r="J274" s="14">
        <v>15.24209561</v>
      </c>
      <c r="K274" s="14">
        <v>22.31509019</v>
      </c>
      <c r="L274" s="14">
        <v>15.56528822</v>
      </c>
      <c r="M274" s="14">
        <v>114.6032214</v>
      </c>
      <c r="N274" s="14">
        <v>104.7667192</v>
      </c>
      <c r="O274" s="14">
        <v>72.55961528</v>
      </c>
    </row>
    <row r="275" spans="1:21">
      <c r="A275" s="14" t="s">
        <v>1650</v>
      </c>
      <c r="B275" s="14">
        <v>3986.677281</v>
      </c>
      <c r="C275" s="14">
        <v>2289.479763</v>
      </c>
      <c r="D275" s="14">
        <v>5683.874799</v>
      </c>
      <c r="E275" s="14">
        <v>2.482173128</v>
      </c>
      <c r="F275" s="14">
        <v>1.311603745</v>
      </c>
      <c r="G275" s="51" t="s">
        <v>1651</v>
      </c>
      <c r="H275" s="51" t="s">
        <v>1652</v>
      </c>
      <c r="I275" s="14" t="s">
        <v>164</v>
      </c>
      <c r="J275" s="14">
        <v>32.39130908</v>
      </c>
      <c r="K275" s="14">
        <v>34.01794719</v>
      </c>
      <c r="L275" s="14">
        <v>37.98570228</v>
      </c>
      <c r="M275" s="14">
        <v>9.550772551</v>
      </c>
      <c r="N275" s="14">
        <v>11.28689833</v>
      </c>
      <c r="O275" s="14">
        <v>14.01140074</v>
      </c>
      <c r="Q275" s="14" t="s">
        <v>1653</v>
      </c>
      <c r="T275" s="14" t="s">
        <v>1654</v>
      </c>
      <c r="U275" s="14" t="s">
        <v>1655</v>
      </c>
    </row>
    <row r="276" spans="1:15">
      <c r="A276" s="14" t="s">
        <v>1656</v>
      </c>
      <c r="B276" s="14">
        <v>70.53793223</v>
      </c>
      <c r="C276" s="14">
        <v>36.37417958</v>
      </c>
      <c r="D276" s="14">
        <v>104.7016849</v>
      </c>
      <c r="E276" s="14">
        <v>2.876308163</v>
      </c>
      <c r="F276" s="14">
        <v>1.524218252</v>
      </c>
      <c r="G276" s="51" t="s">
        <v>1657</v>
      </c>
      <c r="H276" s="14">
        <v>0.000140728</v>
      </c>
      <c r="I276" s="14" t="s">
        <v>164</v>
      </c>
      <c r="J276" s="14">
        <v>3.107512808</v>
      </c>
      <c r="K276" s="14">
        <v>1.845917387</v>
      </c>
      <c r="L276" s="14">
        <v>3.139217792</v>
      </c>
      <c r="M276" s="14">
        <v>0.675589477</v>
      </c>
      <c r="N276" s="14">
        <v>0.731779885</v>
      </c>
      <c r="O276" s="14">
        <v>0.916850744</v>
      </c>
    </row>
    <row r="277" spans="1:21">
      <c r="A277" s="14" t="s">
        <v>1658</v>
      </c>
      <c r="B277" s="14">
        <v>124.2863418</v>
      </c>
      <c r="C277" s="14">
        <v>69.73594611</v>
      </c>
      <c r="D277" s="14">
        <v>178.8367375</v>
      </c>
      <c r="E277" s="14">
        <v>2.560408151</v>
      </c>
      <c r="F277" s="14">
        <v>1.356373807</v>
      </c>
      <c r="G277" s="14">
        <v>0.00117412</v>
      </c>
      <c r="H277" s="14">
        <v>0.004213255</v>
      </c>
      <c r="I277" s="14" t="s">
        <v>164</v>
      </c>
      <c r="J277" s="14">
        <v>8.513113412</v>
      </c>
      <c r="K277" s="14">
        <v>4.667208406</v>
      </c>
      <c r="L277" s="14">
        <v>6.452836573</v>
      </c>
      <c r="M277" s="14">
        <v>1.17780187</v>
      </c>
      <c r="N277" s="14">
        <v>2.497808674</v>
      </c>
      <c r="O277" s="14">
        <v>2.698905343</v>
      </c>
      <c r="P277" s="14" t="s">
        <v>1659</v>
      </c>
      <c r="Q277" s="14" t="s">
        <v>1660</v>
      </c>
      <c r="T277" s="14" t="s">
        <v>1661</v>
      </c>
      <c r="U277" s="14" t="s">
        <v>1662</v>
      </c>
    </row>
    <row r="278" spans="1:21">
      <c r="A278" s="14" t="s">
        <v>1663</v>
      </c>
      <c r="B278" s="14">
        <v>30.32174106</v>
      </c>
      <c r="C278" s="14">
        <v>54.46588388</v>
      </c>
      <c r="D278" s="14">
        <v>6.177598246</v>
      </c>
      <c r="E278" s="14">
        <v>0.11383169</v>
      </c>
      <c r="F278" s="14">
        <v>-3.135025847</v>
      </c>
      <c r="G278" s="51" t="s">
        <v>1664</v>
      </c>
      <c r="H278" s="51" t="s">
        <v>1665</v>
      </c>
      <c r="I278" s="14" t="s">
        <v>147</v>
      </c>
      <c r="J278" s="14">
        <v>0.052786478</v>
      </c>
      <c r="K278" s="14">
        <v>0.063757401</v>
      </c>
      <c r="L278" s="14">
        <v>0.081320689</v>
      </c>
      <c r="M278" s="14">
        <v>0.722621298</v>
      </c>
      <c r="N278" s="14">
        <v>0.407295741</v>
      </c>
      <c r="O278" s="14">
        <v>0.273962719</v>
      </c>
      <c r="P278" s="14" t="s">
        <v>1666</v>
      </c>
      <c r="Q278" s="14" t="s">
        <v>1667</v>
      </c>
      <c r="T278" s="14" t="s">
        <v>1668</v>
      </c>
      <c r="U278" s="14" t="s">
        <v>1669</v>
      </c>
    </row>
    <row r="279" spans="1:21">
      <c r="A279" s="14" t="s">
        <v>1670</v>
      </c>
      <c r="B279" s="14">
        <v>26802.73854</v>
      </c>
      <c r="C279" s="14">
        <v>35875.16334</v>
      </c>
      <c r="D279" s="14">
        <v>17730.31375</v>
      </c>
      <c r="E279" s="14">
        <v>0.494224432</v>
      </c>
      <c r="F279" s="14">
        <v>-1.016761763</v>
      </c>
      <c r="G279" s="14">
        <v>0.015489671</v>
      </c>
      <c r="H279" s="14">
        <v>0.039148454</v>
      </c>
      <c r="I279" s="14" t="s">
        <v>147</v>
      </c>
      <c r="J279" s="14">
        <v>91.7622369</v>
      </c>
      <c r="K279" s="14">
        <v>159.3014424</v>
      </c>
      <c r="L279" s="14">
        <v>99.07184864</v>
      </c>
      <c r="M279" s="14">
        <v>242.5655464</v>
      </c>
      <c r="N279" s="14">
        <v>228.4174489</v>
      </c>
      <c r="O279" s="14">
        <v>101.4016435</v>
      </c>
      <c r="Q279" s="14" t="s">
        <v>1671</v>
      </c>
      <c r="R279" s="14" t="s">
        <v>1672</v>
      </c>
      <c r="S279" s="14" t="s">
        <v>1673</v>
      </c>
      <c r="T279" s="14" t="s">
        <v>1674</v>
      </c>
      <c r="U279" s="14" t="s">
        <v>1675</v>
      </c>
    </row>
    <row r="280" spans="1:21">
      <c r="A280" s="14" t="s">
        <v>1676</v>
      </c>
      <c r="B280" s="14">
        <v>74.70781832</v>
      </c>
      <c r="C280" s="14">
        <v>34.07540208</v>
      </c>
      <c r="D280" s="14">
        <v>115.3402345</v>
      </c>
      <c r="E280" s="14">
        <v>3.395173388</v>
      </c>
      <c r="F280" s="14">
        <v>1.763485253</v>
      </c>
      <c r="G280" s="14">
        <v>0.001476763</v>
      </c>
      <c r="H280" s="14">
        <v>0.005155935</v>
      </c>
      <c r="I280" s="14" t="s">
        <v>164</v>
      </c>
      <c r="J280" s="14">
        <v>2.889661799</v>
      </c>
      <c r="K280" s="14">
        <v>5.957231991</v>
      </c>
      <c r="L280" s="14">
        <v>3.285136207</v>
      </c>
      <c r="M280" s="14">
        <v>1.370234323</v>
      </c>
      <c r="N280" s="14">
        <v>1.000221752</v>
      </c>
      <c r="O280" s="14">
        <v>0.524588202</v>
      </c>
      <c r="P280" s="14" t="s">
        <v>1677</v>
      </c>
      <c r="Q280" s="14" t="s">
        <v>1678</v>
      </c>
      <c r="R280" s="14" t="s">
        <v>1672</v>
      </c>
      <c r="S280" s="14" t="s">
        <v>1673</v>
      </c>
      <c r="T280" s="14" t="s">
        <v>1679</v>
      </c>
      <c r="U280" s="14" t="s">
        <v>1680</v>
      </c>
    </row>
    <row r="281" spans="1:21">
      <c r="A281" s="14" t="s">
        <v>1681</v>
      </c>
      <c r="B281" s="14">
        <v>315.0104165</v>
      </c>
      <c r="C281" s="14">
        <v>617.5621189</v>
      </c>
      <c r="D281" s="14">
        <v>12.45871413</v>
      </c>
      <c r="E281" s="14">
        <v>0.020164765</v>
      </c>
      <c r="F281" s="14">
        <v>-5.632019572</v>
      </c>
      <c r="G281" s="51" t="s">
        <v>1682</v>
      </c>
      <c r="H281" s="51" t="s">
        <v>1683</v>
      </c>
      <c r="I281" s="14" t="s">
        <v>147</v>
      </c>
      <c r="J281" s="14">
        <v>0.127342452</v>
      </c>
      <c r="K281" s="14">
        <v>0.288391459</v>
      </c>
      <c r="L281" s="14">
        <v>0.183917412</v>
      </c>
      <c r="M281" s="14">
        <v>11.14049814</v>
      </c>
      <c r="N281" s="14">
        <v>11.38048321</v>
      </c>
      <c r="O281" s="14">
        <v>1.132606986</v>
      </c>
      <c r="P281" s="14" t="s">
        <v>1684</v>
      </c>
      <c r="Q281" s="14" t="s">
        <v>1685</v>
      </c>
      <c r="T281" s="14" t="s">
        <v>1686</v>
      </c>
      <c r="U281" s="14" t="s">
        <v>1687</v>
      </c>
    </row>
    <row r="282" spans="1:21">
      <c r="A282" s="14" t="s">
        <v>1688</v>
      </c>
      <c r="B282" s="14">
        <v>597.5049188</v>
      </c>
      <c r="C282" s="14">
        <v>867.4502406</v>
      </c>
      <c r="D282" s="14">
        <v>327.5595969</v>
      </c>
      <c r="E282" s="14">
        <v>0.377671596</v>
      </c>
      <c r="F282" s="14">
        <v>-1.40479581</v>
      </c>
      <c r="G282" s="51" t="s">
        <v>1689</v>
      </c>
      <c r="H282" s="51" t="s">
        <v>1690</v>
      </c>
      <c r="I282" s="14" t="s">
        <v>147</v>
      </c>
      <c r="J282" s="14">
        <v>2.040735239</v>
      </c>
      <c r="K282" s="14">
        <v>2.653162091</v>
      </c>
      <c r="L282" s="14">
        <v>2.333343422</v>
      </c>
      <c r="M282" s="14">
        <v>5.377567643</v>
      </c>
      <c r="N282" s="14">
        <v>4.926482142</v>
      </c>
      <c r="O282" s="14">
        <v>4.97660563</v>
      </c>
      <c r="P282" s="14" t="s">
        <v>1691</v>
      </c>
      <c r="Q282" s="14" t="s">
        <v>1692</v>
      </c>
      <c r="T282" s="14" t="s">
        <v>1693</v>
      </c>
      <c r="U282" s="14" t="s">
        <v>1694</v>
      </c>
    </row>
    <row r="283" spans="1:21">
      <c r="A283" s="14" t="s">
        <v>1695</v>
      </c>
      <c r="B283" s="14">
        <v>36061.72644</v>
      </c>
      <c r="C283" s="14">
        <v>50253.08517</v>
      </c>
      <c r="D283" s="14">
        <v>21870.3677</v>
      </c>
      <c r="E283" s="14">
        <v>0.435209084</v>
      </c>
      <c r="F283" s="14">
        <v>-1.200219426</v>
      </c>
      <c r="G283" s="51" t="s">
        <v>1696</v>
      </c>
      <c r="H283" s="51" t="s">
        <v>1697</v>
      </c>
      <c r="I283" s="14" t="s">
        <v>147</v>
      </c>
      <c r="J283" s="14">
        <v>224.4836991</v>
      </c>
      <c r="K283" s="14">
        <v>197.0679281</v>
      </c>
      <c r="L283" s="14">
        <v>256.4101745</v>
      </c>
      <c r="M283" s="14">
        <v>402.7723286</v>
      </c>
      <c r="N283" s="14">
        <v>410.2845219</v>
      </c>
      <c r="O283" s="14">
        <v>470.9859906</v>
      </c>
      <c r="P283" s="14" t="s">
        <v>1698</v>
      </c>
      <c r="Q283" s="14" t="s">
        <v>1699</v>
      </c>
      <c r="R283" s="14" t="s">
        <v>1700</v>
      </c>
      <c r="S283" s="14" t="s">
        <v>1701</v>
      </c>
      <c r="T283" s="14" t="s">
        <v>1702</v>
      </c>
      <c r="U283" s="14" t="s">
        <v>1703</v>
      </c>
    </row>
    <row r="284" spans="1:15">
      <c r="A284" s="14" t="s">
        <v>1704</v>
      </c>
      <c r="B284" s="14">
        <v>5.720221929</v>
      </c>
      <c r="C284" s="14">
        <v>0.648076722</v>
      </c>
      <c r="D284" s="14">
        <v>10.79236714</v>
      </c>
      <c r="E284" s="14">
        <v>16.23724496</v>
      </c>
      <c r="F284" s="14">
        <v>4.02123496</v>
      </c>
      <c r="G284" s="14">
        <v>0.003497571</v>
      </c>
      <c r="H284" s="14">
        <v>0.010872991</v>
      </c>
      <c r="I284" s="14" t="s">
        <v>164</v>
      </c>
      <c r="J284" s="14">
        <v>0.975806377</v>
      </c>
      <c r="K284" s="14">
        <v>0.523828408</v>
      </c>
      <c r="L284" s="14">
        <v>0.626369747</v>
      </c>
      <c r="M284" s="14">
        <v>0</v>
      </c>
      <c r="N284" s="14">
        <v>0.053398827</v>
      </c>
      <c r="O284" s="14">
        <v>0.05445647</v>
      </c>
    </row>
    <row r="285" spans="1:15">
      <c r="A285" s="14" t="s">
        <v>1705</v>
      </c>
      <c r="B285" s="14">
        <v>102.5211123</v>
      </c>
      <c r="C285" s="14">
        <v>160.2878543</v>
      </c>
      <c r="D285" s="14">
        <v>44.75437024</v>
      </c>
      <c r="E285" s="14">
        <v>0.279093791</v>
      </c>
      <c r="F285" s="14">
        <v>-1.841178064</v>
      </c>
      <c r="G285" s="51" t="s">
        <v>1706</v>
      </c>
      <c r="H285" s="14">
        <v>0.00020867</v>
      </c>
      <c r="I285" s="14" t="s">
        <v>147</v>
      </c>
      <c r="J285" s="14">
        <v>3.67689597</v>
      </c>
      <c r="K285" s="14">
        <v>3.495299753</v>
      </c>
      <c r="L285" s="14">
        <v>2.032392846</v>
      </c>
      <c r="M285" s="14">
        <v>9.496056135</v>
      </c>
      <c r="N285" s="14">
        <v>11.40189603</v>
      </c>
      <c r="O285" s="14">
        <v>5.927861003</v>
      </c>
    </row>
    <row r="286" spans="1:15">
      <c r="A286" s="14" t="s">
        <v>1707</v>
      </c>
      <c r="B286" s="14">
        <v>221.8671365</v>
      </c>
      <c r="C286" s="14">
        <v>318.7048312</v>
      </c>
      <c r="D286" s="14">
        <v>125.0294418</v>
      </c>
      <c r="E286" s="14">
        <v>0.39234776</v>
      </c>
      <c r="F286" s="14">
        <v>-1.349795131</v>
      </c>
      <c r="G286" s="14">
        <v>0.000366297</v>
      </c>
      <c r="H286" s="14">
        <v>0.00151178</v>
      </c>
      <c r="I286" s="14" t="s">
        <v>147</v>
      </c>
      <c r="J286" s="14">
        <v>3.536281652</v>
      </c>
      <c r="K286" s="14">
        <v>6.210742875</v>
      </c>
      <c r="L286" s="14">
        <v>3.891322055</v>
      </c>
      <c r="M286" s="14">
        <v>10.92929429</v>
      </c>
      <c r="N286" s="14">
        <v>10.603839</v>
      </c>
      <c r="O286" s="14">
        <v>6.766216345</v>
      </c>
    </row>
    <row r="287" spans="1:21">
      <c r="A287" s="14" t="s">
        <v>1708</v>
      </c>
      <c r="B287" s="14">
        <v>1895.036777</v>
      </c>
      <c r="C287" s="14">
        <v>817.680691</v>
      </c>
      <c r="D287" s="14">
        <v>2972.392864</v>
      </c>
      <c r="E287" s="14">
        <v>3.634035265</v>
      </c>
      <c r="F287" s="14">
        <v>1.86157242</v>
      </c>
      <c r="G287" s="51" t="s">
        <v>1709</v>
      </c>
      <c r="H287" s="51" t="s">
        <v>1710</v>
      </c>
      <c r="I287" s="14" t="s">
        <v>164</v>
      </c>
      <c r="J287" s="14">
        <v>39.46789944</v>
      </c>
      <c r="K287" s="14">
        <v>35.11189546</v>
      </c>
      <c r="L287" s="14">
        <v>43.78092984</v>
      </c>
      <c r="M287" s="14">
        <v>7.742600383</v>
      </c>
      <c r="N287" s="14">
        <v>8.775730304</v>
      </c>
      <c r="O287" s="14">
        <v>10.40082437</v>
      </c>
      <c r="P287" s="14" t="s">
        <v>1711</v>
      </c>
      <c r="Q287" s="14" t="s">
        <v>1712</v>
      </c>
      <c r="T287" s="14" t="s">
        <v>1713</v>
      </c>
      <c r="U287" s="14" t="s">
        <v>1714</v>
      </c>
    </row>
    <row r="288" spans="1:21">
      <c r="A288" s="14" t="s">
        <v>1715</v>
      </c>
      <c r="B288" s="14">
        <v>864.0170961</v>
      </c>
      <c r="C288" s="14">
        <v>1355.989992</v>
      </c>
      <c r="D288" s="14">
        <v>372.0442002</v>
      </c>
      <c r="E288" s="14">
        <v>0.274410048</v>
      </c>
      <c r="F288" s="14">
        <v>-1.865594787</v>
      </c>
      <c r="G288" s="51" t="s">
        <v>1716</v>
      </c>
      <c r="H288" s="51" t="s">
        <v>1717</v>
      </c>
      <c r="I288" s="14" t="s">
        <v>147</v>
      </c>
      <c r="J288" s="14">
        <v>11.92652239</v>
      </c>
      <c r="K288" s="14">
        <v>19.16338927</v>
      </c>
      <c r="L288" s="14">
        <v>17.78890082</v>
      </c>
      <c r="M288" s="14">
        <v>53.21062637</v>
      </c>
      <c r="N288" s="14">
        <v>60.37627404</v>
      </c>
      <c r="O288" s="14">
        <v>30.78605747</v>
      </c>
      <c r="P288" s="14" t="s">
        <v>1718</v>
      </c>
      <c r="Q288" s="14" t="s">
        <v>1719</v>
      </c>
      <c r="T288" s="14" t="s">
        <v>1720</v>
      </c>
      <c r="U288" s="14" t="s">
        <v>1721</v>
      </c>
    </row>
    <row r="289" spans="1:15">
      <c r="A289" s="14" t="s">
        <v>1722</v>
      </c>
      <c r="B289" s="14">
        <v>388.6360123</v>
      </c>
      <c r="C289" s="14">
        <v>205.0946304</v>
      </c>
      <c r="D289" s="14">
        <v>572.1773941</v>
      </c>
      <c r="E289" s="14">
        <v>2.787364989</v>
      </c>
      <c r="F289" s="14">
        <v>1.478901927</v>
      </c>
      <c r="G289" s="14">
        <v>0.007597149</v>
      </c>
      <c r="H289" s="14">
        <v>0.021281336</v>
      </c>
      <c r="I289" s="14" t="s">
        <v>164</v>
      </c>
      <c r="J289" s="14">
        <v>19.95172088</v>
      </c>
      <c r="K289" s="14">
        <v>24.02738671</v>
      </c>
      <c r="L289" s="14">
        <v>23.96595196</v>
      </c>
      <c r="M289" s="14">
        <v>2.951299855</v>
      </c>
      <c r="N289" s="14">
        <v>3.828854526</v>
      </c>
      <c r="O289" s="14">
        <v>14.10938628</v>
      </c>
    </row>
    <row r="290" spans="1:15">
      <c r="A290" s="14" t="s">
        <v>1723</v>
      </c>
      <c r="B290" s="14">
        <v>56.90714742</v>
      </c>
      <c r="C290" s="14">
        <v>30.83231721</v>
      </c>
      <c r="D290" s="14">
        <v>82.98197762</v>
      </c>
      <c r="E290" s="14">
        <v>2.700197434</v>
      </c>
      <c r="F290" s="14">
        <v>1.433064899</v>
      </c>
      <c r="G290" s="14">
        <v>0.004298297</v>
      </c>
      <c r="H290" s="14">
        <v>0.012971651</v>
      </c>
      <c r="I290" s="14" t="s">
        <v>164</v>
      </c>
      <c r="J290" s="14">
        <v>5.254118797</v>
      </c>
      <c r="K290" s="14">
        <v>4.251480938</v>
      </c>
      <c r="L290" s="14">
        <v>3.422214192</v>
      </c>
      <c r="M290" s="14">
        <v>1.542537912</v>
      </c>
      <c r="N290" s="14">
        <v>1.649011369</v>
      </c>
      <c r="O290" s="14">
        <v>0.689916908</v>
      </c>
    </row>
    <row r="291" spans="1:21">
      <c r="A291" s="14" t="s">
        <v>1724</v>
      </c>
      <c r="B291" s="14">
        <v>243.848558</v>
      </c>
      <c r="C291" s="14">
        <v>121.3416517</v>
      </c>
      <c r="D291" s="14">
        <v>366.3554642</v>
      </c>
      <c r="E291" s="14">
        <v>3.012740543</v>
      </c>
      <c r="F291" s="14">
        <v>1.591076433</v>
      </c>
      <c r="G291" s="51" t="s">
        <v>1725</v>
      </c>
      <c r="H291" s="51" t="s">
        <v>1726</v>
      </c>
      <c r="I291" s="14" t="s">
        <v>164</v>
      </c>
      <c r="J291" s="14">
        <v>4.556400407</v>
      </c>
      <c r="K291" s="14">
        <v>5.239522865</v>
      </c>
      <c r="L291" s="14">
        <v>4.038561268</v>
      </c>
      <c r="M291" s="14">
        <v>0.939895945</v>
      </c>
      <c r="N291" s="14">
        <v>1.116901417</v>
      </c>
      <c r="O291" s="14">
        <v>1.776458345</v>
      </c>
      <c r="P291" s="14" t="s">
        <v>1577</v>
      </c>
      <c r="Q291" s="14" t="s">
        <v>1578</v>
      </c>
      <c r="T291" s="14" t="s">
        <v>1727</v>
      </c>
      <c r="U291" s="14" t="s">
        <v>1728</v>
      </c>
    </row>
    <row r="292" spans="1:15">
      <c r="A292" s="14" t="s">
        <v>1729</v>
      </c>
      <c r="B292" s="14">
        <v>98.94850802</v>
      </c>
      <c r="C292" s="14">
        <v>21.52046751</v>
      </c>
      <c r="D292" s="14">
        <v>176.3765485</v>
      </c>
      <c r="E292" s="14">
        <v>8.206075228</v>
      </c>
      <c r="F292" s="14">
        <v>3.03669238</v>
      </c>
      <c r="G292" s="14">
        <v>0.000869281</v>
      </c>
      <c r="H292" s="14">
        <v>0.003238759</v>
      </c>
      <c r="I292" s="14" t="s">
        <v>164</v>
      </c>
      <c r="J292" s="14">
        <v>10.93675608</v>
      </c>
      <c r="K292" s="14">
        <v>1.493734209</v>
      </c>
      <c r="L292" s="14">
        <v>4.814807265</v>
      </c>
      <c r="M292" s="14">
        <v>0.4140456</v>
      </c>
      <c r="N292" s="14">
        <v>1.112237273</v>
      </c>
      <c r="O292" s="14">
        <v>0.16203811</v>
      </c>
    </row>
    <row r="293" spans="1:21">
      <c r="A293" s="14" t="s">
        <v>1730</v>
      </c>
      <c r="B293" s="14">
        <v>1748.503237</v>
      </c>
      <c r="C293" s="14">
        <v>2412.268586</v>
      </c>
      <c r="D293" s="14">
        <v>1084.737889</v>
      </c>
      <c r="E293" s="14">
        <v>0.449720392</v>
      </c>
      <c r="F293" s="14">
        <v>-1.152899793</v>
      </c>
      <c r="G293" s="51" t="s">
        <v>1731</v>
      </c>
      <c r="H293" s="51" t="s">
        <v>1732</v>
      </c>
      <c r="I293" s="14" t="s">
        <v>147</v>
      </c>
      <c r="J293" s="14">
        <v>15.77700581</v>
      </c>
      <c r="K293" s="14">
        <v>16.26664685</v>
      </c>
      <c r="L293" s="14">
        <v>14.67036405</v>
      </c>
      <c r="M293" s="14">
        <v>31.4767327</v>
      </c>
      <c r="N293" s="14">
        <v>29.89457139</v>
      </c>
      <c r="O293" s="14">
        <v>23.44854207</v>
      </c>
      <c r="P293" s="14" t="s">
        <v>1733</v>
      </c>
      <c r="Q293" s="14" t="s">
        <v>1734</v>
      </c>
      <c r="R293" s="14" t="s">
        <v>1735</v>
      </c>
      <c r="S293" s="14" t="s">
        <v>1736</v>
      </c>
      <c r="T293" s="14" t="s">
        <v>1737</v>
      </c>
      <c r="U293" s="14" t="s">
        <v>1738</v>
      </c>
    </row>
    <row r="294" spans="1:21">
      <c r="A294" s="14" t="s">
        <v>1739</v>
      </c>
      <c r="B294" s="14">
        <v>268.7443239</v>
      </c>
      <c r="C294" s="14">
        <v>30.45138537</v>
      </c>
      <c r="D294" s="14">
        <v>507.0372623</v>
      </c>
      <c r="E294" s="14">
        <v>16.77560597</v>
      </c>
      <c r="F294" s="14">
        <v>4.068292975</v>
      </c>
      <c r="G294" s="51" t="s">
        <v>1740</v>
      </c>
      <c r="H294" s="51" t="s">
        <v>1741</v>
      </c>
      <c r="I294" s="14" t="s">
        <v>164</v>
      </c>
      <c r="J294" s="14">
        <v>6.034361898</v>
      </c>
      <c r="K294" s="14">
        <v>7.083955181</v>
      </c>
      <c r="L294" s="14">
        <v>6.136325227</v>
      </c>
      <c r="M294" s="14">
        <v>0.440086675</v>
      </c>
      <c r="N294" s="14">
        <v>0.267743509</v>
      </c>
      <c r="O294" s="14">
        <v>0.231039399</v>
      </c>
      <c r="P294" s="14" t="s">
        <v>1742</v>
      </c>
      <c r="Q294" s="14" t="s">
        <v>1743</v>
      </c>
      <c r="T294" s="14" t="s">
        <v>1744</v>
      </c>
      <c r="U294" s="14" t="s">
        <v>1745</v>
      </c>
    </row>
    <row r="295" spans="1:21">
      <c r="A295" s="14" t="s">
        <v>1746</v>
      </c>
      <c r="B295" s="14">
        <v>524.0118267</v>
      </c>
      <c r="C295" s="14">
        <v>220.8943844</v>
      </c>
      <c r="D295" s="14">
        <v>827.129269</v>
      </c>
      <c r="E295" s="14">
        <v>3.747703651</v>
      </c>
      <c r="F295" s="14">
        <v>1.906006877</v>
      </c>
      <c r="G295" s="51" t="s">
        <v>1747</v>
      </c>
      <c r="H295" s="51" t="s">
        <v>1748</v>
      </c>
      <c r="I295" s="14" t="s">
        <v>164</v>
      </c>
      <c r="J295" s="14">
        <v>7.482795733</v>
      </c>
      <c r="K295" s="14">
        <v>4.795731756</v>
      </c>
      <c r="L295" s="14">
        <v>7.317615769</v>
      </c>
      <c r="M295" s="14">
        <v>1.530389401</v>
      </c>
      <c r="N295" s="14">
        <v>1.493872829</v>
      </c>
      <c r="O295" s="14">
        <v>1.248845858</v>
      </c>
      <c r="P295" s="14" t="s">
        <v>1749</v>
      </c>
      <c r="Q295" s="14" t="s">
        <v>1750</v>
      </c>
      <c r="T295" s="14" t="s">
        <v>1751</v>
      </c>
      <c r="U295" s="14" t="s">
        <v>1752</v>
      </c>
    </row>
    <row r="296" spans="1:21">
      <c r="A296" s="14" t="s">
        <v>1753</v>
      </c>
      <c r="B296" s="14">
        <v>1867.78412</v>
      </c>
      <c r="C296" s="14">
        <v>2784.222417</v>
      </c>
      <c r="D296" s="14">
        <v>951.3458237</v>
      </c>
      <c r="E296" s="14">
        <v>0.341692231</v>
      </c>
      <c r="F296" s="14">
        <v>-1.549230651</v>
      </c>
      <c r="G296" s="14">
        <v>0.006087362</v>
      </c>
      <c r="H296" s="14">
        <v>0.017574422</v>
      </c>
      <c r="I296" s="14" t="s">
        <v>147</v>
      </c>
      <c r="J296" s="14">
        <v>8.752298676</v>
      </c>
      <c r="K296" s="14">
        <v>9.996597124</v>
      </c>
      <c r="L296" s="14">
        <v>4.605168924</v>
      </c>
      <c r="M296" s="14">
        <v>22.9454665</v>
      </c>
      <c r="N296" s="14">
        <v>25.64563707</v>
      </c>
      <c r="O296" s="14">
        <v>6.366467977</v>
      </c>
      <c r="P296" s="14" t="s">
        <v>1754</v>
      </c>
      <c r="Q296" s="14" t="s">
        <v>1755</v>
      </c>
      <c r="T296" s="14" t="s">
        <v>1756</v>
      </c>
      <c r="U296" s="14" t="s">
        <v>1757</v>
      </c>
    </row>
    <row r="297" spans="1:15">
      <c r="A297" s="14" t="s">
        <v>1758</v>
      </c>
      <c r="B297" s="14">
        <v>140.441319</v>
      </c>
      <c r="C297" s="14">
        <v>211.6255918</v>
      </c>
      <c r="D297" s="14">
        <v>69.2570462</v>
      </c>
      <c r="E297" s="14">
        <v>0.327246387</v>
      </c>
      <c r="F297" s="14">
        <v>-1.611550829</v>
      </c>
      <c r="G297" s="14">
        <v>0.000100372</v>
      </c>
      <c r="H297" s="14">
        <v>0.000474127</v>
      </c>
      <c r="I297" s="14" t="s">
        <v>147</v>
      </c>
      <c r="J297" s="14">
        <v>4.66957308</v>
      </c>
      <c r="K297" s="14">
        <v>10.42188278</v>
      </c>
      <c r="L297" s="14">
        <v>6.157696438</v>
      </c>
      <c r="M297" s="14">
        <v>20.58428456</v>
      </c>
      <c r="N297" s="14">
        <v>18.24831572</v>
      </c>
      <c r="O297" s="14">
        <v>14.19099692</v>
      </c>
    </row>
    <row r="298" spans="1:15">
      <c r="A298" s="14" t="s">
        <v>1759</v>
      </c>
      <c r="B298" s="14">
        <v>5.700080438</v>
      </c>
      <c r="C298" s="14">
        <v>11.06388588</v>
      </c>
      <c r="D298" s="14">
        <v>0.336274994</v>
      </c>
      <c r="E298" s="14">
        <v>0.031738409</v>
      </c>
      <c r="F298" s="14">
        <v>-4.977626358</v>
      </c>
      <c r="G298" s="14">
        <v>0.001128539</v>
      </c>
      <c r="H298" s="14">
        <v>0.00407762</v>
      </c>
      <c r="I298" s="14" t="s">
        <v>147</v>
      </c>
      <c r="J298" s="14">
        <v>0</v>
      </c>
      <c r="K298" s="14">
        <v>0.04030905</v>
      </c>
      <c r="L298" s="14">
        <v>0</v>
      </c>
      <c r="M298" s="14">
        <v>0.308380205</v>
      </c>
      <c r="N298" s="14">
        <v>0.42734495</v>
      </c>
      <c r="O298" s="14">
        <v>0.368761584</v>
      </c>
    </row>
    <row r="299" spans="1:15">
      <c r="A299" s="14" t="s">
        <v>1760</v>
      </c>
      <c r="B299" s="14">
        <v>118.4137136</v>
      </c>
      <c r="C299" s="14">
        <v>233.180161</v>
      </c>
      <c r="D299" s="14">
        <v>3.647266112</v>
      </c>
      <c r="E299" s="14">
        <v>0.01555099</v>
      </c>
      <c r="F299" s="14">
        <v>-6.006849749</v>
      </c>
      <c r="G299" s="51" t="s">
        <v>1761</v>
      </c>
      <c r="H299" s="51" t="s">
        <v>1762</v>
      </c>
      <c r="I299" s="14" t="s">
        <v>147</v>
      </c>
      <c r="J299" s="14">
        <v>0.044199204</v>
      </c>
      <c r="K299" s="14">
        <v>0.355902555</v>
      </c>
      <c r="L299" s="14">
        <v>0.085114358</v>
      </c>
      <c r="M299" s="14">
        <v>10.73991582</v>
      </c>
      <c r="N299" s="14">
        <v>11.21068777</v>
      </c>
      <c r="O299" s="14">
        <v>3.070927993</v>
      </c>
    </row>
    <row r="300" spans="1:21">
      <c r="A300" s="14" t="s">
        <v>1763</v>
      </c>
      <c r="B300" s="14">
        <v>6370.736344</v>
      </c>
      <c r="C300" s="14">
        <v>9172.98237</v>
      </c>
      <c r="D300" s="14">
        <v>3568.490318</v>
      </c>
      <c r="E300" s="14">
        <v>0.389030464</v>
      </c>
      <c r="F300" s="14">
        <v>-1.36204496</v>
      </c>
      <c r="G300" s="51" t="s">
        <v>1764</v>
      </c>
      <c r="H300" s="51" t="s">
        <v>1765</v>
      </c>
      <c r="I300" s="14" t="s">
        <v>147</v>
      </c>
      <c r="J300" s="14">
        <v>49.6599282</v>
      </c>
      <c r="K300" s="14">
        <v>62.65343341</v>
      </c>
      <c r="L300" s="14">
        <v>52.88074739</v>
      </c>
      <c r="M300" s="14">
        <v>132.7659608</v>
      </c>
      <c r="N300" s="14">
        <v>127.3229614</v>
      </c>
      <c r="O300" s="14">
        <v>85.45788856</v>
      </c>
      <c r="P300" s="14" t="s">
        <v>1766</v>
      </c>
      <c r="Q300" s="14" t="s">
        <v>1767</v>
      </c>
      <c r="R300" s="14" t="s">
        <v>1768</v>
      </c>
      <c r="S300" s="14" t="s">
        <v>1769</v>
      </c>
      <c r="T300" s="14" t="s">
        <v>1770</v>
      </c>
      <c r="U300" s="14" t="s">
        <v>1771</v>
      </c>
    </row>
    <row r="301" spans="1:21">
      <c r="A301" s="14" t="s">
        <v>1772</v>
      </c>
      <c r="B301" s="14">
        <v>58.56462181</v>
      </c>
      <c r="C301" s="14">
        <v>88.71919875</v>
      </c>
      <c r="D301" s="14">
        <v>28.41004487</v>
      </c>
      <c r="E301" s="14">
        <v>0.320381009</v>
      </c>
      <c r="F301" s="14">
        <v>-1.64213946</v>
      </c>
      <c r="G301" s="51" t="s">
        <v>1773</v>
      </c>
      <c r="H301" s="51" t="s">
        <v>1774</v>
      </c>
      <c r="I301" s="14" t="s">
        <v>147</v>
      </c>
      <c r="J301" s="14">
        <v>0.231868316</v>
      </c>
      <c r="K301" s="14">
        <v>0.289394158</v>
      </c>
      <c r="L301" s="14">
        <v>0.276835304</v>
      </c>
      <c r="M301" s="14">
        <v>0.674510028</v>
      </c>
      <c r="N301" s="14">
        <v>0.669951552</v>
      </c>
      <c r="O301" s="14">
        <v>0.70651255</v>
      </c>
      <c r="P301" s="14" t="s">
        <v>1775</v>
      </c>
      <c r="Q301" s="14" t="s">
        <v>1776</v>
      </c>
      <c r="T301" s="14" t="s">
        <v>1777</v>
      </c>
      <c r="U301" s="14" t="s">
        <v>1778</v>
      </c>
    </row>
    <row r="302" spans="1:15">
      <c r="A302" s="14" t="s">
        <v>1779</v>
      </c>
      <c r="B302" s="14">
        <v>106.2527532</v>
      </c>
      <c r="C302" s="14">
        <v>195.3514625</v>
      </c>
      <c r="D302" s="14">
        <v>17.15404388</v>
      </c>
      <c r="E302" s="14">
        <v>0.08754905</v>
      </c>
      <c r="F302" s="14">
        <v>-3.513764661</v>
      </c>
      <c r="G302" s="51" t="s">
        <v>1780</v>
      </c>
      <c r="H302" s="51" t="s">
        <v>1781</v>
      </c>
      <c r="I302" s="14" t="s">
        <v>147</v>
      </c>
      <c r="J302" s="14">
        <v>1.422911793</v>
      </c>
      <c r="K302" s="14">
        <v>1.432203221</v>
      </c>
      <c r="L302" s="14">
        <v>0.652404676</v>
      </c>
      <c r="M302" s="14">
        <v>13.68165935</v>
      </c>
      <c r="N302" s="14">
        <v>8.453987442</v>
      </c>
      <c r="O302" s="14">
        <v>10.72006893</v>
      </c>
    </row>
    <row r="303" spans="1:21">
      <c r="A303" s="14" t="s">
        <v>1782</v>
      </c>
      <c r="B303" s="14">
        <v>70.76100956</v>
      </c>
      <c r="C303" s="14">
        <v>19.9563943</v>
      </c>
      <c r="D303" s="14">
        <v>121.5656248</v>
      </c>
      <c r="E303" s="14">
        <v>6.075551231</v>
      </c>
      <c r="F303" s="14">
        <v>2.60301531</v>
      </c>
      <c r="G303" s="51" t="s">
        <v>1783</v>
      </c>
      <c r="H303" s="51" t="s">
        <v>1784</v>
      </c>
      <c r="I303" s="14" t="s">
        <v>164</v>
      </c>
      <c r="J303" s="14">
        <v>3.13254306</v>
      </c>
      <c r="K303" s="14">
        <v>2.441030832</v>
      </c>
      <c r="L303" s="14">
        <v>3.745885223</v>
      </c>
      <c r="M303" s="14">
        <v>0.259372959</v>
      </c>
      <c r="N303" s="14">
        <v>0.53914805</v>
      </c>
      <c r="O303" s="14">
        <v>0.465237952</v>
      </c>
      <c r="P303" s="14" t="s">
        <v>1785</v>
      </c>
      <c r="Q303" s="14" t="s">
        <v>1786</v>
      </c>
      <c r="T303" s="14" t="s">
        <v>1787</v>
      </c>
      <c r="U303" s="14" t="s">
        <v>1788</v>
      </c>
    </row>
    <row r="304" spans="1:15">
      <c r="A304" s="14" t="s">
        <v>1789</v>
      </c>
      <c r="B304" s="14">
        <v>6362.589984</v>
      </c>
      <c r="C304" s="14">
        <v>11313.65919</v>
      </c>
      <c r="D304" s="14">
        <v>1411.520775</v>
      </c>
      <c r="E304" s="14">
        <v>0.124763106</v>
      </c>
      <c r="F304" s="14">
        <v>-3.00273672</v>
      </c>
      <c r="G304" s="51" t="s">
        <v>1790</v>
      </c>
      <c r="H304" s="51" t="s">
        <v>1791</v>
      </c>
      <c r="I304" s="14" t="s">
        <v>147</v>
      </c>
      <c r="J304" s="14">
        <v>24.41235122</v>
      </c>
      <c r="K304" s="14">
        <v>32.88684451</v>
      </c>
      <c r="L304" s="14">
        <v>26.11922119</v>
      </c>
      <c r="M304" s="14">
        <v>224.9120596</v>
      </c>
      <c r="N304" s="14">
        <v>227.9759633</v>
      </c>
      <c r="O304" s="14">
        <v>85.78033745</v>
      </c>
    </row>
    <row r="305" spans="1:15">
      <c r="A305" s="14" t="s">
        <v>1792</v>
      </c>
      <c r="B305" s="14">
        <v>669.9162486</v>
      </c>
      <c r="C305" s="14">
        <v>1228.898173</v>
      </c>
      <c r="D305" s="14">
        <v>110.9343246</v>
      </c>
      <c r="E305" s="14">
        <v>0.090286061</v>
      </c>
      <c r="F305" s="14">
        <v>-3.469352911</v>
      </c>
      <c r="G305" s="51" t="s">
        <v>1793</v>
      </c>
      <c r="H305" s="51" t="s">
        <v>1794</v>
      </c>
      <c r="I305" s="14" t="s">
        <v>147</v>
      </c>
      <c r="J305" s="14">
        <v>11.83852086</v>
      </c>
      <c r="K305" s="14">
        <v>16.92588758</v>
      </c>
      <c r="L305" s="14">
        <v>16.45041557</v>
      </c>
      <c r="M305" s="14">
        <v>166.3223853</v>
      </c>
      <c r="N305" s="14">
        <v>179.2225358</v>
      </c>
      <c r="O305" s="14">
        <v>56.75738759</v>
      </c>
    </row>
    <row r="306" spans="1:21">
      <c r="A306" s="14" t="s">
        <v>1795</v>
      </c>
      <c r="B306" s="14">
        <v>7223.600577</v>
      </c>
      <c r="C306" s="14">
        <v>12233.03788</v>
      </c>
      <c r="D306" s="14">
        <v>2214.16327</v>
      </c>
      <c r="E306" s="14">
        <v>0.180992899</v>
      </c>
      <c r="F306" s="14">
        <v>-2.465994995</v>
      </c>
      <c r="G306" s="51" t="s">
        <v>1796</v>
      </c>
      <c r="H306" s="51" t="s">
        <v>1797</v>
      </c>
      <c r="I306" s="14" t="s">
        <v>147</v>
      </c>
      <c r="J306" s="14">
        <v>24.10493643</v>
      </c>
      <c r="K306" s="14">
        <v>24.04319482</v>
      </c>
      <c r="L306" s="14">
        <v>21.33270542</v>
      </c>
      <c r="M306" s="14">
        <v>107.0321971</v>
      </c>
      <c r="N306" s="14">
        <v>108.1482673</v>
      </c>
      <c r="O306" s="14">
        <v>99.91912622</v>
      </c>
      <c r="Q306" s="14" t="s">
        <v>1798</v>
      </c>
      <c r="R306" s="14" t="s">
        <v>1799</v>
      </c>
      <c r="S306" s="14" t="s">
        <v>1800</v>
      </c>
      <c r="T306" s="14" t="s">
        <v>1801</v>
      </c>
      <c r="U306" s="14" t="s">
        <v>1802</v>
      </c>
    </row>
    <row r="307" spans="1:15">
      <c r="A307" s="14" t="s">
        <v>1803</v>
      </c>
      <c r="B307" s="14">
        <v>24.22614975</v>
      </c>
      <c r="C307" s="14">
        <v>40.92041856</v>
      </c>
      <c r="D307" s="14">
        <v>7.531880934</v>
      </c>
      <c r="E307" s="14">
        <v>0.184008579</v>
      </c>
      <c r="F307" s="14">
        <v>-2.442155065</v>
      </c>
      <c r="G307" s="14">
        <v>0.001120757</v>
      </c>
      <c r="H307" s="14">
        <v>0.004055866</v>
      </c>
      <c r="I307" s="14" t="s">
        <v>147</v>
      </c>
      <c r="J307" s="14">
        <v>0.197949294</v>
      </c>
      <c r="K307" s="14">
        <v>0.796967507</v>
      </c>
      <c r="L307" s="14">
        <v>0.508254309</v>
      </c>
      <c r="M307" s="14">
        <v>1.750098455</v>
      </c>
      <c r="N307" s="14">
        <v>3.412185063</v>
      </c>
      <c r="O307" s="14">
        <v>1.491329317</v>
      </c>
    </row>
    <row r="308" spans="1:15">
      <c r="A308" s="14" t="s">
        <v>1804</v>
      </c>
      <c r="B308" s="14">
        <v>19.07829783</v>
      </c>
      <c r="C308" s="14">
        <v>11.44169983</v>
      </c>
      <c r="D308" s="14">
        <v>26.71489583</v>
      </c>
      <c r="E308" s="14">
        <v>2.340028453</v>
      </c>
      <c r="F308" s="14">
        <v>1.226526072</v>
      </c>
      <c r="G308" s="14">
        <v>0.014465528</v>
      </c>
      <c r="H308" s="14">
        <v>0.036990304</v>
      </c>
      <c r="I308" s="14" t="s">
        <v>164</v>
      </c>
      <c r="J308" s="14">
        <v>1.512594992</v>
      </c>
      <c r="K308" s="14">
        <v>1.250602033</v>
      </c>
      <c r="L308" s="14">
        <v>1.612444227</v>
      </c>
      <c r="M308" s="14">
        <v>0.55464354</v>
      </c>
      <c r="N308" s="14">
        <v>0.443428858</v>
      </c>
      <c r="O308" s="14">
        <v>0.542653942</v>
      </c>
    </row>
    <row r="309" spans="1:21">
      <c r="A309" s="14" t="s">
        <v>1805</v>
      </c>
      <c r="B309" s="14">
        <v>7802.876696</v>
      </c>
      <c r="C309" s="14">
        <v>10404.00854</v>
      </c>
      <c r="D309" s="14">
        <v>5201.74485</v>
      </c>
      <c r="E309" s="14">
        <v>0.499960212</v>
      </c>
      <c r="F309" s="14">
        <v>-1.00011481</v>
      </c>
      <c r="G309" s="51" t="s">
        <v>1806</v>
      </c>
      <c r="H309" s="51" t="s">
        <v>1807</v>
      </c>
      <c r="I309" s="14" t="s">
        <v>147</v>
      </c>
      <c r="J309" s="14">
        <v>65.60803065</v>
      </c>
      <c r="K309" s="14">
        <v>49.25891312</v>
      </c>
      <c r="L309" s="14">
        <v>54.90213636</v>
      </c>
      <c r="M309" s="14">
        <v>81.55961013</v>
      </c>
      <c r="N309" s="14">
        <v>79.98027352</v>
      </c>
      <c r="O309" s="14">
        <v>120.7185597</v>
      </c>
      <c r="P309" s="14" t="s">
        <v>1808</v>
      </c>
      <c r="Q309" s="14" t="s">
        <v>1809</v>
      </c>
      <c r="T309" s="14" t="s">
        <v>1810</v>
      </c>
      <c r="U309" s="14" t="s">
        <v>1811</v>
      </c>
    </row>
    <row r="310" spans="1:21">
      <c r="A310" s="14" t="s">
        <v>1812</v>
      </c>
      <c r="B310" s="14">
        <v>4644.734009</v>
      </c>
      <c r="C310" s="14">
        <v>2990.443376</v>
      </c>
      <c r="D310" s="14">
        <v>6299.024643</v>
      </c>
      <c r="E310" s="14">
        <v>2.10611238</v>
      </c>
      <c r="F310" s="14">
        <v>1.074582419</v>
      </c>
      <c r="G310" s="51" t="s">
        <v>1813</v>
      </c>
      <c r="H310" s="51" t="s">
        <v>1814</v>
      </c>
      <c r="I310" s="14" t="s">
        <v>164</v>
      </c>
      <c r="J310" s="14">
        <v>26.66754046</v>
      </c>
      <c r="K310" s="14">
        <v>28.25623409</v>
      </c>
      <c r="L310" s="14">
        <v>27.82769905</v>
      </c>
      <c r="M310" s="14">
        <v>8.743644185</v>
      </c>
      <c r="N310" s="14">
        <v>8.926120888</v>
      </c>
      <c r="O310" s="14">
        <v>15.13037507</v>
      </c>
      <c r="P310" s="14" t="s">
        <v>1815</v>
      </c>
      <c r="Q310" s="14" t="s">
        <v>1816</v>
      </c>
      <c r="T310" s="14" t="s">
        <v>1817</v>
      </c>
      <c r="U310" s="14" t="s">
        <v>1818</v>
      </c>
    </row>
    <row r="311" spans="1:21">
      <c r="A311" s="14" t="s">
        <v>1819</v>
      </c>
      <c r="B311" s="14">
        <v>574.9086343</v>
      </c>
      <c r="C311" s="14">
        <v>358.4275741</v>
      </c>
      <c r="D311" s="14">
        <v>791.3896946</v>
      </c>
      <c r="E311" s="14">
        <v>2.206383996</v>
      </c>
      <c r="F311" s="14">
        <v>1.141683897</v>
      </c>
      <c r="G311" s="51" t="s">
        <v>1223</v>
      </c>
      <c r="H311" s="51" t="s">
        <v>1820</v>
      </c>
      <c r="I311" s="14" t="s">
        <v>164</v>
      </c>
      <c r="J311" s="14">
        <v>7.447565927</v>
      </c>
      <c r="K311" s="14">
        <v>8.841954097</v>
      </c>
      <c r="L311" s="14">
        <v>10.22436225</v>
      </c>
      <c r="M311" s="14">
        <v>2.514804232</v>
      </c>
      <c r="N311" s="14">
        <v>2.829882349</v>
      </c>
      <c r="O311" s="14">
        <v>4.680390254</v>
      </c>
      <c r="P311" s="14" t="s">
        <v>1821</v>
      </c>
      <c r="Q311" s="14" t="s">
        <v>1822</v>
      </c>
      <c r="T311" s="14" t="s">
        <v>1823</v>
      </c>
      <c r="U311" s="14" t="s">
        <v>1824</v>
      </c>
    </row>
    <row r="312" spans="1:21">
      <c r="A312" s="14" t="s">
        <v>1825</v>
      </c>
      <c r="B312" s="14">
        <v>3015.121218</v>
      </c>
      <c r="C312" s="14">
        <v>4340.129099</v>
      </c>
      <c r="D312" s="14">
        <v>1690.113336</v>
      </c>
      <c r="E312" s="14">
        <v>0.389427694</v>
      </c>
      <c r="F312" s="14">
        <v>-1.360572611</v>
      </c>
      <c r="G312" s="51" t="s">
        <v>1826</v>
      </c>
      <c r="H312" s="14">
        <v>0.000276961</v>
      </c>
      <c r="I312" s="14" t="s">
        <v>147</v>
      </c>
      <c r="J312" s="14">
        <v>22.31644044</v>
      </c>
      <c r="K312" s="14">
        <v>35.54837989</v>
      </c>
      <c r="L312" s="14">
        <v>27.05106668</v>
      </c>
      <c r="M312" s="14">
        <v>69.12988684</v>
      </c>
      <c r="N312" s="14">
        <v>69.0887401</v>
      </c>
      <c r="O312" s="14">
        <v>38.71042545</v>
      </c>
      <c r="P312" s="14" t="s">
        <v>1827</v>
      </c>
      <c r="Q312" s="14" t="s">
        <v>1828</v>
      </c>
      <c r="T312" s="14" t="s">
        <v>1829</v>
      </c>
      <c r="U312" s="14" t="s">
        <v>1830</v>
      </c>
    </row>
    <row r="313" spans="1:21">
      <c r="A313" s="14" t="s">
        <v>1831</v>
      </c>
      <c r="B313" s="14">
        <v>54699.04182</v>
      </c>
      <c r="C313" s="14">
        <v>74851.79428</v>
      </c>
      <c r="D313" s="14">
        <v>34546.28936</v>
      </c>
      <c r="E313" s="14">
        <v>0.461530204</v>
      </c>
      <c r="F313" s="14">
        <v>-1.115503028</v>
      </c>
      <c r="G313" s="51" t="s">
        <v>1832</v>
      </c>
      <c r="H313" s="14">
        <v>0.000276519</v>
      </c>
      <c r="I313" s="14" t="s">
        <v>147</v>
      </c>
      <c r="J313" s="14">
        <v>87.65992928</v>
      </c>
      <c r="K313" s="14">
        <v>124.2835347</v>
      </c>
      <c r="L313" s="14">
        <v>92.50396723</v>
      </c>
      <c r="M313" s="14">
        <v>201.2656842</v>
      </c>
      <c r="N313" s="14">
        <v>202.5646371</v>
      </c>
      <c r="O313" s="14">
        <v>133.4380654</v>
      </c>
      <c r="P313" s="14" t="s">
        <v>1833</v>
      </c>
      <c r="Q313" s="14" t="s">
        <v>1834</v>
      </c>
      <c r="T313" s="14" t="s">
        <v>1835</v>
      </c>
      <c r="U313" s="14" t="s">
        <v>1836</v>
      </c>
    </row>
    <row r="314" spans="1:17">
      <c r="A314" s="14" t="s">
        <v>1837</v>
      </c>
      <c r="B314" s="14">
        <v>123.9372421</v>
      </c>
      <c r="C314" s="14">
        <v>32.4418389</v>
      </c>
      <c r="D314" s="14">
        <v>215.4326452</v>
      </c>
      <c r="E314" s="14">
        <v>6.637725903</v>
      </c>
      <c r="F314" s="14">
        <v>2.730689056</v>
      </c>
      <c r="G314" s="51" t="s">
        <v>1838</v>
      </c>
      <c r="H314" s="51" t="s">
        <v>1839</v>
      </c>
      <c r="I314" s="14" t="s">
        <v>164</v>
      </c>
      <c r="J314" s="14">
        <v>9.330010039</v>
      </c>
      <c r="K314" s="14">
        <v>4.339045315</v>
      </c>
      <c r="L314" s="14">
        <v>6.433652464</v>
      </c>
      <c r="M314" s="14">
        <v>0.869403749</v>
      </c>
      <c r="N314" s="14">
        <v>0.606610678</v>
      </c>
      <c r="O314" s="14">
        <v>1.031042491</v>
      </c>
      <c r="P314" s="14" t="s">
        <v>1840</v>
      </c>
      <c r="Q314" s="14" t="s">
        <v>1841</v>
      </c>
    </row>
    <row r="315" spans="1:21">
      <c r="A315" s="14" t="s">
        <v>1842</v>
      </c>
      <c r="B315" s="14">
        <v>908.3222562</v>
      </c>
      <c r="C315" s="14">
        <v>1224.54126</v>
      </c>
      <c r="D315" s="14">
        <v>592.1032524</v>
      </c>
      <c r="E315" s="14">
        <v>0.483597045</v>
      </c>
      <c r="F315" s="14">
        <v>-1.048122667</v>
      </c>
      <c r="G315" s="14">
        <v>0.000573212</v>
      </c>
      <c r="H315" s="14">
        <v>0.002240644</v>
      </c>
      <c r="I315" s="14" t="s">
        <v>147</v>
      </c>
      <c r="J315" s="14">
        <v>9.716359441</v>
      </c>
      <c r="K315" s="14">
        <v>12.13552569</v>
      </c>
      <c r="L315" s="14">
        <v>9.918763318</v>
      </c>
      <c r="M315" s="14">
        <v>20.37356892</v>
      </c>
      <c r="N315" s="14">
        <v>20.81221855</v>
      </c>
      <c r="O315" s="14">
        <v>12.18549738</v>
      </c>
      <c r="P315" s="14" t="s">
        <v>1843</v>
      </c>
      <c r="Q315" s="14" t="s">
        <v>1844</v>
      </c>
      <c r="T315" s="14" t="s">
        <v>1845</v>
      </c>
      <c r="U315" s="14" t="s">
        <v>1846</v>
      </c>
    </row>
    <row r="316" spans="1:21">
      <c r="A316" s="14" t="s">
        <v>1847</v>
      </c>
      <c r="B316" s="14">
        <v>1940.750499</v>
      </c>
      <c r="C316" s="14">
        <v>1198.826042</v>
      </c>
      <c r="D316" s="14">
        <v>2682.674957</v>
      </c>
      <c r="E316" s="14">
        <v>2.238013039</v>
      </c>
      <c r="F316" s="14">
        <v>1.162218441</v>
      </c>
      <c r="G316" s="51" t="s">
        <v>1848</v>
      </c>
      <c r="H316" s="51" t="s">
        <v>1849</v>
      </c>
      <c r="I316" s="14" t="s">
        <v>164</v>
      </c>
      <c r="J316" s="14">
        <v>39.9781803</v>
      </c>
      <c r="K316" s="14">
        <v>31.88442013</v>
      </c>
      <c r="L316" s="14">
        <v>35.9012362</v>
      </c>
      <c r="M316" s="14">
        <v>12.01433541</v>
      </c>
      <c r="N316" s="14">
        <v>15.15075473</v>
      </c>
      <c r="O316" s="14">
        <v>12.34291058</v>
      </c>
      <c r="P316" s="14" t="s">
        <v>1850</v>
      </c>
      <c r="Q316" s="14" t="s">
        <v>1851</v>
      </c>
      <c r="R316" s="14" t="s">
        <v>1852</v>
      </c>
      <c r="S316" s="14" t="s">
        <v>1853</v>
      </c>
      <c r="T316" s="14" t="s">
        <v>1854</v>
      </c>
      <c r="U316" s="14" t="s">
        <v>1855</v>
      </c>
    </row>
    <row r="317" spans="1:21">
      <c r="A317" s="14" t="s">
        <v>1856</v>
      </c>
      <c r="B317" s="14">
        <v>271.9837531</v>
      </c>
      <c r="C317" s="14">
        <v>363.7735728</v>
      </c>
      <c r="D317" s="14">
        <v>180.1939334</v>
      </c>
      <c r="E317" s="14">
        <v>0.495342764</v>
      </c>
      <c r="F317" s="14">
        <v>-1.013500919</v>
      </c>
      <c r="G317" s="51" t="s">
        <v>1597</v>
      </c>
      <c r="H317" s="51" t="s">
        <v>1598</v>
      </c>
      <c r="I317" s="14" t="s">
        <v>147</v>
      </c>
      <c r="J317" s="14">
        <v>3.223672944</v>
      </c>
      <c r="K317" s="14">
        <v>3.155089873</v>
      </c>
      <c r="L317" s="14">
        <v>3.343993246</v>
      </c>
      <c r="M317" s="14">
        <v>5.348692145</v>
      </c>
      <c r="N317" s="14">
        <v>4.678231449</v>
      </c>
      <c r="O317" s="14">
        <v>6.18724888</v>
      </c>
      <c r="P317" s="14" t="s">
        <v>1857</v>
      </c>
      <c r="Q317" s="14" t="s">
        <v>1858</v>
      </c>
      <c r="T317" s="14" t="s">
        <v>1859</v>
      </c>
      <c r="U317" s="14" t="s">
        <v>1860</v>
      </c>
    </row>
    <row r="318" spans="1:21">
      <c r="A318" s="14" t="s">
        <v>1861</v>
      </c>
      <c r="B318" s="14">
        <v>6812.027956</v>
      </c>
      <c r="C318" s="14">
        <v>4309.973695</v>
      </c>
      <c r="D318" s="14">
        <v>9314.082218</v>
      </c>
      <c r="E318" s="14">
        <v>2.161130959</v>
      </c>
      <c r="F318" s="14">
        <v>1.111786499</v>
      </c>
      <c r="G318" s="14">
        <v>0.003259554</v>
      </c>
      <c r="H318" s="14">
        <v>0.010206088</v>
      </c>
      <c r="I318" s="14" t="s">
        <v>164</v>
      </c>
      <c r="J318" s="14">
        <v>89.86621078</v>
      </c>
      <c r="K318" s="14">
        <v>176.5171563</v>
      </c>
      <c r="L318" s="14">
        <v>123.6337493</v>
      </c>
      <c r="M318" s="14">
        <v>56.22186353</v>
      </c>
      <c r="N318" s="14">
        <v>59.09681822</v>
      </c>
      <c r="O318" s="14">
        <v>31.0780515</v>
      </c>
      <c r="P318" s="14" t="s">
        <v>1862</v>
      </c>
      <c r="Q318" s="14" t="s">
        <v>1863</v>
      </c>
      <c r="T318" s="14" t="s">
        <v>1864</v>
      </c>
      <c r="U318" s="14" t="s">
        <v>1865</v>
      </c>
    </row>
    <row r="319" spans="1:21">
      <c r="A319" s="14" t="s">
        <v>1866</v>
      </c>
      <c r="B319" s="14">
        <v>119.9479006</v>
      </c>
      <c r="C319" s="14">
        <v>71.41879217</v>
      </c>
      <c r="D319" s="14">
        <v>168.4770091</v>
      </c>
      <c r="E319" s="14">
        <v>2.363934385</v>
      </c>
      <c r="F319" s="14">
        <v>1.241189992</v>
      </c>
      <c r="G319" s="51" t="s">
        <v>1867</v>
      </c>
      <c r="H319" s="51" t="s">
        <v>1868</v>
      </c>
      <c r="I319" s="14" t="s">
        <v>164</v>
      </c>
      <c r="J319" s="14">
        <v>9.552342666</v>
      </c>
      <c r="K319" s="14">
        <v>9.89421584</v>
      </c>
      <c r="L319" s="14">
        <v>8.876625861</v>
      </c>
      <c r="M319" s="14">
        <v>3.373711031</v>
      </c>
      <c r="N319" s="14">
        <v>3.738131933</v>
      </c>
      <c r="O319" s="14">
        <v>2.696413728</v>
      </c>
      <c r="P319" s="14" t="s">
        <v>1869</v>
      </c>
      <c r="Q319" s="14" t="s">
        <v>1870</v>
      </c>
      <c r="R319" s="14" t="s">
        <v>341</v>
      </c>
      <c r="S319" s="14" t="s">
        <v>342</v>
      </c>
      <c r="T319" s="14" t="s">
        <v>1871</v>
      </c>
      <c r="U319" s="14" t="s">
        <v>1872</v>
      </c>
    </row>
    <row r="320" spans="1:21">
      <c r="A320" s="14" t="s">
        <v>1873</v>
      </c>
      <c r="B320" s="14">
        <v>80.00187862</v>
      </c>
      <c r="C320" s="14">
        <v>48.88718019</v>
      </c>
      <c r="D320" s="14">
        <v>111.116577</v>
      </c>
      <c r="E320" s="14">
        <v>2.281161475</v>
      </c>
      <c r="F320" s="14">
        <v>1.189768573</v>
      </c>
      <c r="G320" s="14">
        <v>0.000166864</v>
      </c>
      <c r="H320" s="14">
        <v>0.000749269</v>
      </c>
      <c r="I320" s="14" t="s">
        <v>164</v>
      </c>
      <c r="J320" s="14">
        <v>2.275612205</v>
      </c>
      <c r="K320" s="14">
        <v>2.471895153</v>
      </c>
      <c r="L320" s="14">
        <v>2.841885375</v>
      </c>
      <c r="M320" s="14">
        <v>1.118080209</v>
      </c>
      <c r="N320" s="14">
        <v>0.813746031</v>
      </c>
      <c r="O320" s="14">
        <v>0.792142401</v>
      </c>
      <c r="P320" s="14" t="s">
        <v>1874</v>
      </c>
      <c r="Q320" s="14" t="s">
        <v>1875</v>
      </c>
      <c r="T320" s="14" t="s">
        <v>1876</v>
      </c>
      <c r="U320" s="14" t="s">
        <v>1877</v>
      </c>
    </row>
    <row r="321" spans="1:15">
      <c r="A321" s="14" t="s">
        <v>1878</v>
      </c>
      <c r="B321" s="14">
        <v>1318.120124</v>
      </c>
      <c r="C321" s="14">
        <v>1795.988119</v>
      </c>
      <c r="D321" s="14">
        <v>840.2521301</v>
      </c>
      <c r="E321" s="14">
        <v>0.467939803</v>
      </c>
      <c r="F321" s="14">
        <v>-1.095605145</v>
      </c>
      <c r="G321" s="51" t="s">
        <v>1879</v>
      </c>
      <c r="H321" s="51" t="s">
        <v>1880</v>
      </c>
      <c r="I321" s="14" t="s">
        <v>147</v>
      </c>
      <c r="J321" s="14">
        <v>9.824640526</v>
      </c>
      <c r="K321" s="14">
        <v>9.842148892</v>
      </c>
      <c r="L321" s="14">
        <v>9.81661751</v>
      </c>
      <c r="M321" s="14">
        <v>17.92203532</v>
      </c>
      <c r="N321" s="14">
        <v>18.3542842</v>
      </c>
      <c r="O321" s="14">
        <v>15.29429982</v>
      </c>
    </row>
    <row r="322" spans="1:21">
      <c r="A322" s="14" t="s">
        <v>1881</v>
      </c>
      <c r="B322" s="14">
        <v>181.7018172</v>
      </c>
      <c r="C322" s="14">
        <v>32.96179908</v>
      </c>
      <c r="D322" s="14">
        <v>330.4418353</v>
      </c>
      <c r="E322" s="14">
        <v>9.977984922</v>
      </c>
      <c r="F322" s="14">
        <v>3.318748489</v>
      </c>
      <c r="G322" s="51" t="s">
        <v>1882</v>
      </c>
      <c r="H322" s="51" t="s">
        <v>1883</v>
      </c>
      <c r="I322" s="14" t="s">
        <v>164</v>
      </c>
      <c r="J322" s="14">
        <v>7.490773483</v>
      </c>
      <c r="K322" s="14">
        <v>8.850937214</v>
      </c>
      <c r="L322" s="14">
        <v>13.37018347</v>
      </c>
      <c r="M322" s="14">
        <v>0.506645541</v>
      </c>
      <c r="N322" s="14">
        <v>0.558976186</v>
      </c>
      <c r="O322" s="14">
        <v>1.437511165</v>
      </c>
      <c r="P322" s="14" t="s">
        <v>1884</v>
      </c>
      <c r="Q322" s="14" t="s">
        <v>1885</v>
      </c>
      <c r="R322" s="14" t="s">
        <v>1536</v>
      </c>
      <c r="S322" s="14" t="s">
        <v>1537</v>
      </c>
      <c r="T322" s="14" t="s">
        <v>1886</v>
      </c>
      <c r="U322" s="14" t="s">
        <v>1887</v>
      </c>
    </row>
    <row r="323" spans="1:21">
      <c r="A323" s="14" t="s">
        <v>1888</v>
      </c>
      <c r="B323" s="14">
        <v>127.5142909</v>
      </c>
      <c r="C323" s="14">
        <v>43.62067324</v>
      </c>
      <c r="D323" s="14">
        <v>211.4079085</v>
      </c>
      <c r="E323" s="14">
        <v>4.834759277</v>
      </c>
      <c r="F323" s="14">
        <v>2.27344406</v>
      </c>
      <c r="G323" s="51" t="s">
        <v>1889</v>
      </c>
      <c r="H323" s="51" t="s">
        <v>1890</v>
      </c>
      <c r="I323" s="14" t="s">
        <v>164</v>
      </c>
      <c r="J323" s="14">
        <v>16.48867951</v>
      </c>
      <c r="K323" s="14">
        <v>19.89562253</v>
      </c>
      <c r="L323" s="14">
        <v>27.35282599</v>
      </c>
      <c r="M323" s="14">
        <v>3.144471037</v>
      </c>
      <c r="N323" s="14">
        <v>2.364477105</v>
      </c>
      <c r="O323" s="14">
        <v>5.487806805</v>
      </c>
      <c r="P323" s="14" t="s">
        <v>1891</v>
      </c>
      <c r="Q323" s="14" t="s">
        <v>1892</v>
      </c>
      <c r="R323" s="14" t="s">
        <v>1536</v>
      </c>
      <c r="S323" s="14" t="s">
        <v>1537</v>
      </c>
      <c r="T323" s="14" t="s">
        <v>1893</v>
      </c>
      <c r="U323" s="14" t="s">
        <v>1894</v>
      </c>
    </row>
    <row r="324" spans="1:21">
      <c r="A324" s="14" t="s">
        <v>1895</v>
      </c>
      <c r="B324" s="14">
        <v>25166.03509</v>
      </c>
      <c r="C324" s="14">
        <v>41430.84271</v>
      </c>
      <c r="D324" s="14">
        <v>8901.227466</v>
      </c>
      <c r="E324" s="14">
        <v>0.214845826</v>
      </c>
      <c r="F324" s="14">
        <v>-2.218626349</v>
      </c>
      <c r="G324" s="51" t="s">
        <v>1896</v>
      </c>
      <c r="H324" s="51" t="s">
        <v>1897</v>
      </c>
      <c r="I324" s="14" t="s">
        <v>147</v>
      </c>
      <c r="J324" s="14">
        <v>214.4250732</v>
      </c>
      <c r="K324" s="14">
        <v>440.4905824</v>
      </c>
      <c r="L324" s="14">
        <v>286.9134079</v>
      </c>
      <c r="M324" s="14">
        <v>1371.526327</v>
      </c>
      <c r="N324" s="14">
        <v>1563.573489</v>
      </c>
      <c r="O324" s="14">
        <v>606.2939919</v>
      </c>
      <c r="P324" s="14" t="s">
        <v>1898</v>
      </c>
      <c r="Q324" s="14" t="s">
        <v>1899</v>
      </c>
      <c r="T324" s="14" t="s">
        <v>406</v>
      </c>
      <c r="U324" s="14" t="s">
        <v>407</v>
      </c>
    </row>
    <row r="325" spans="1:15">
      <c r="A325" s="14" t="s">
        <v>1900</v>
      </c>
      <c r="B325" s="14">
        <v>85.36024684</v>
      </c>
      <c r="C325" s="14">
        <v>38.48458748</v>
      </c>
      <c r="D325" s="14">
        <v>132.2359062</v>
      </c>
      <c r="E325" s="14">
        <v>3.440441218</v>
      </c>
      <c r="F325" s="14">
        <v>1.782593595</v>
      </c>
      <c r="G325" s="14">
        <v>0.000201376</v>
      </c>
      <c r="H325" s="14">
        <v>0.000882222</v>
      </c>
      <c r="I325" s="14" t="s">
        <v>164</v>
      </c>
      <c r="J325" s="14">
        <v>1.410186983</v>
      </c>
      <c r="K325" s="14">
        <v>0.509727601</v>
      </c>
      <c r="L325" s="14">
        <v>1.207764844</v>
      </c>
      <c r="M325" s="14">
        <v>0.266640555</v>
      </c>
      <c r="N325" s="14">
        <v>0.243019459</v>
      </c>
      <c r="O325" s="14">
        <v>0.234788984</v>
      </c>
    </row>
    <row r="326" spans="1:21">
      <c r="A326" s="14" t="s">
        <v>5</v>
      </c>
      <c r="B326" s="14">
        <v>7555.013512</v>
      </c>
      <c r="C326" s="14">
        <v>3859.02372</v>
      </c>
      <c r="D326" s="14">
        <v>11251.0033</v>
      </c>
      <c r="E326" s="14">
        <v>2.915360546</v>
      </c>
      <c r="F326" s="14">
        <v>1.543674314</v>
      </c>
      <c r="G326" s="51" t="s">
        <v>1901</v>
      </c>
      <c r="H326" s="51" t="s">
        <v>1902</v>
      </c>
      <c r="I326" s="14" t="s">
        <v>164</v>
      </c>
      <c r="J326" s="14">
        <v>234.0263251</v>
      </c>
      <c r="K326" s="14">
        <v>199.2716345</v>
      </c>
      <c r="L326" s="14">
        <v>207.7787092</v>
      </c>
      <c r="M326" s="14">
        <v>57.61147967</v>
      </c>
      <c r="N326" s="14">
        <v>54.39111017</v>
      </c>
      <c r="O326" s="14">
        <v>69.8001067</v>
      </c>
      <c r="P326" s="14" t="s">
        <v>6</v>
      </c>
      <c r="Q326" s="14" t="s">
        <v>1903</v>
      </c>
      <c r="T326" s="14" t="s">
        <v>1904</v>
      </c>
      <c r="U326" s="14" t="s">
        <v>1905</v>
      </c>
    </row>
    <row r="327" spans="1:21">
      <c r="A327" s="14" t="s">
        <v>1906</v>
      </c>
      <c r="B327" s="14">
        <v>206.0607905</v>
      </c>
      <c r="C327" s="14">
        <v>377.5516764</v>
      </c>
      <c r="D327" s="14">
        <v>34.56990465</v>
      </c>
      <c r="E327" s="14">
        <v>0.091661286</v>
      </c>
      <c r="F327" s="14">
        <v>-3.447543663</v>
      </c>
      <c r="G327" s="51" t="s">
        <v>1907</v>
      </c>
      <c r="H327" s="51" t="s">
        <v>1908</v>
      </c>
      <c r="I327" s="14" t="s">
        <v>147</v>
      </c>
      <c r="J327" s="14">
        <v>0.514668163</v>
      </c>
      <c r="K327" s="14">
        <v>0.385200962</v>
      </c>
      <c r="L327" s="14">
        <v>0.482841594</v>
      </c>
      <c r="M327" s="14">
        <v>4.076035758</v>
      </c>
      <c r="N327" s="14">
        <v>4.235442412</v>
      </c>
      <c r="O327" s="14">
        <v>4.087347017</v>
      </c>
      <c r="P327" s="14" t="s">
        <v>1909</v>
      </c>
      <c r="Q327" s="14" t="s">
        <v>1910</v>
      </c>
      <c r="T327" s="14" t="s">
        <v>1911</v>
      </c>
      <c r="U327" s="14" t="s">
        <v>1912</v>
      </c>
    </row>
    <row r="328" spans="1:15">
      <c r="A328" s="14" t="s">
        <v>1913</v>
      </c>
      <c r="B328" s="14">
        <v>2154.817559</v>
      </c>
      <c r="C328" s="14">
        <v>1093.038225</v>
      </c>
      <c r="D328" s="14">
        <v>3216.596893</v>
      </c>
      <c r="E328" s="14">
        <v>2.942130516</v>
      </c>
      <c r="F328" s="14">
        <v>1.556861247</v>
      </c>
      <c r="G328" s="51" t="s">
        <v>1914</v>
      </c>
      <c r="H328" s="14">
        <v>0.000404338</v>
      </c>
      <c r="I328" s="14" t="s">
        <v>164</v>
      </c>
      <c r="J328" s="14">
        <v>43.85481711</v>
      </c>
      <c r="K328" s="14">
        <v>38.31791229</v>
      </c>
      <c r="L328" s="14">
        <v>45.14289865</v>
      </c>
      <c r="M328" s="14">
        <v>6.827251614</v>
      </c>
      <c r="N328" s="14">
        <v>8.415222351</v>
      </c>
      <c r="O328" s="14">
        <v>21.42741463</v>
      </c>
    </row>
    <row r="329" spans="1:21">
      <c r="A329" s="14" t="s">
        <v>1915</v>
      </c>
      <c r="B329" s="14">
        <v>7.442280233</v>
      </c>
      <c r="C329" s="14">
        <v>13.8849182</v>
      </c>
      <c r="D329" s="14">
        <v>0.99964227</v>
      </c>
      <c r="E329" s="14">
        <v>0.07119425</v>
      </c>
      <c r="F329" s="14">
        <v>-3.812095463</v>
      </c>
      <c r="G329" s="14">
        <v>0.019626845</v>
      </c>
      <c r="H329" s="14">
        <v>0.047800518</v>
      </c>
      <c r="I329" s="14" t="s">
        <v>147</v>
      </c>
      <c r="J329" s="14">
        <v>0.177646802</v>
      </c>
      <c r="K329" s="14">
        <v>0.089403406</v>
      </c>
      <c r="L329" s="14">
        <v>0</v>
      </c>
      <c r="M329" s="14">
        <v>0.151993662</v>
      </c>
      <c r="N329" s="14">
        <v>0.437459623</v>
      </c>
      <c r="O329" s="14">
        <v>2.676744928</v>
      </c>
      <c r="P329" s="14" t="s">
        <v>1916</v>
      </c>
      <c r="Q329" s="14" t="s">
        <v>1917</v>
      </c>
      <c r="T329" s="14" t="s">
        <v>1918</v>
      </c>
      <c r="U329" s="14" t="s">
        <v>1919</v>
      </c>
    </row>
    <row r="330" spans="1:21">
      <c r="A330" s="14" t="s">
        <v>1920</v>
      </c>
      <c r="B330" s="14">
        <v>4.852297173</v>
      </c>
      <c r="C330" s="14">
        <v>8.704952076</v>
      </c>
      <c r="D330" s="14">
        <v>0.99964227</v>
      </c>
      <c r="E330" s="14">
        <v>0.113430221</v>
      </c>
      <c r="F330" s="14">
        <v>-3.14012303</v>
      </c>
      <c r="G330" s="14">
        <v>0.014742347</v>
      </c>
      <c r="H330" s="14">
        <v>0.037557984</v>
      </c>
      <c r="I330" s="14" t="s">
        <v>147</v>
      </c>
      <c r="J330" s="14">
        <v>0.023386414</v>
      </c>
      <c r="K330" s="14">
        <v>0.011769562</v>
      </c>
      <c r="L330" s="14">
        <v>0</v>
      </c>
      <c r="M330" s="14">
        <v>0.070032523</v>
      </c>
      <c r="N330" s="14">
        <v>0.095982702</v>
      </c>
      <c r="O330" s="14">
        <v>0.088095403</v>
      </c>
      <c r="P330" s="14" t="s">
        <v>1921</v>
      </c>
      <c r="Q330" s="14" t="s">
        <v>1922</v>
      </c>
      <c r="T330" s="14" t="s">
        <v>1923</v>
      </c>
      <c r="U330" s="14" t="s">
        <v>1924</v>
      </c>
    </row>
    <row r="331" spans="1:15">
      <c r="A331" s="14" t="s">
        <v>1925</v>
      </c>
      <c r="B331" s="14">
        <v>1394.871754</v>
      </c>
      <c r="C331" s="14">
        <v>1886.447498</v>
      </c>
      <c r="D331" s="14">
        <v>903.2960104</v>
      </c>
      <c r="E331" s="14">
        <v>0.478718681</v>
      </c>
      <c r="F331" s="14">
        <v>-1.062749989</v>
      </c>
      <c r="G331" s="51" t="s">
        <v>1926</v>
      </c>
      <c r="H331" s="51" t="s">
        <v>1927</v>
      </c>
      <c r="I331" s="14" t="s">
        <v>147</v>
      </c>
      <c r="J331" s="14">
        <v>18.53923994</v>
      </c>
      <c r="K331" s="14">
        <v>17.44332275</v>
      </c>
      <c r="L331" s="14">
        <v>16.50154616</v>
      </c>
      <c r="M331" s="14">
        <v>26.6502572</v>
      </c>
      <c r="N331" s="14">
        <v>25.23693662</v>
      </c>
      <c r="O331" s="14">
        <v>39.29599964</v>
      </c>
    </row>
    <row r="332" spans="1:21">
      <c r="A332" s="14" t="s">
        <v>1928</v>
      </c>
      <c r="B332" s="14">
        <v>500.5048851</v>
      </c>
      <c r="C332" s="14">
        <v>288.5408479</v>
      </c>
      <c r="D332" s="14">
        <v>712.4689222</v>
      </c>
      <c r="E332" s="14">
        <v>2.470080754</v>
      </c>
      <c r="F332" s="14">
        <v>1.304558209</v>
      </c>
      <c r="G332" s="14">
        <v>0.012838471</v>
      </c>
      <c r="H332" s="14">
        <v>0.033375903</v>
      </c>
      <c r="I332" s="14" t="s">
        <v>164</v>
      </c>
      <c r="J332" s="14">
        <v>2.655375407</v>
      </c>
      <c r="K332" s="14">
        <v>1.7725776</v>
      </c>
      <c r="L332" s="14">
        <v>3.010446354</v>
      </c>
      <c r="M332" s="14">
        <v>0.762213223</v>
      </c>
      <c r="N332" s="14">
        <v>1.321337644</v>
      </c>
      <c r="O332" s="14">
        <v>0.33687717</v>
      </c>
      <c r="P332" s="14" t="s">
        <v>1929</v>
      </c>
      <c r="Q332" s="14" t="s">
        <v>1930</v>
      </c>
      <c r="T332" s="14" t="s">
        <v>1931</v>
      </c>
      <c r="U332" s="14" t="s">
        <v>1932</v>
      </c>
    </row>
    <row r="333" spans="1:21">
      <c r="A333" s="14" t="s">
        <v>1933</v>
      </c>
      <c r="B333" s="14">
        <v>136.8072711</v>
      </c>
      <c r="C333" s="14">
        <v>80.07954401</v>
      </c>
      <c r="D333" s="14">
        <v>193.5349981</v>
      </c>
      <c r="E333" s="14">
        <v>2.411162326</v>
      </c>
      <c r="F333" s="14">
        <v>1.26972878</v>
      </c>
      <c r="G333" s="14">
        <v>0.005638589</v>
      </c>
      <c r="H333" s="14">
        <v>0.016446731</v>
      </c>
      <c r="I333" s="14" t="s">
        <v>164</v>
      </c>
      <c r="J333" s="14">
        <v>3.089720487</v>
      </c>
      <c r="K333" s="14">
        <v>2.951227798</v>
      </c>
      <c r="L333" s="14">
        <v>3.202609278</v>
      </c>
      <c r="M333" s="14">
        <v>0.620424642</v>
      </c>
      <c r="N333" s="14">
        <v>0.698740969</v>
      </c>
      <c r="O333" s="14">
        <v>1.926606702</v>
      </c>
      <c r="P333" s="14" t="s">
        <v>1934</v>
      </c>
      <c r="Q333" s="14" t="s">
        <v>1935</v>
      </c>
      <c r="R333" s="14" t="s">
        <v>1936</v>
      </c>
      <c r="S333" s="14" t="s">
        <v>1937</v>
      </c>
      <c r="T333" s="14" t="s">
        <v>1938</v>
      </c>
      <c r="U333" s="14" t="s">
        <v>1939</v>
      </c>
    </row>
    <row r="334" spans="1:21">
      <c r="A334" s="14" t="s">
        <v>1940</v>
      </c>
      <c r="B334" s="14">
        <v>1839.943167</v>
      </c>
      <c r="C334" s="14">
        <v>743.3228201</v>
      </c>
      <c r="D334" s="14">
        <v>2936.563514</v>
      </c>
      <c r="E334" s="14">
        <v>3.949603598</v>
      </c>
      <c r="F334" s="14">
        <v>1.981707864</v>
      </c>
      <c r="G334" s="51" t="s">
        <v>1941</v>
      </c>
      <c r="H334" s="51" t="s">
        <v>1942</v>
      </c>
      <c r="I334" s="14" t="s">
        <v>164</v>
      </c>
      <c r="J334" s="14">
        <v>42.22770733</v>
      </c>
      <c r="K334" s="14">
        <v>52.03008382</v>
      </c>
      <c r="L334" s="14">
        <v>43.41824228</v>
      </c>
      <c r="M334" s="14">
        <v>8.204089444</v>
      </c>
      <c r="N334" s="14">
        <v>10.00704172</v>
      </c>
      <c r="O334" s="14">
        <v>10.59426416</v>
      </c>
      <c r="P334" s="14" t="s">
        <v>1943</v>
      </c>
      <c r="Q334" s="14" t="s">
        <v>1944</v>
      </c>
      <c r="R334" s="14" t="s">
        <v>1936</v>
      </c>
      <c r="S334" s="14" t="s">
        <v>1937</v>
      </c>
      <c r="T334" s="14" t="s">
        <v>1945</v>
      </c>
      <c r="U334" s="14" t="s">
        <v>1946</v>
      </c>
    </row>
    <row r="335" spans="1:15">
      <c r="A335" s="14" t="s">
        <v>1947</v>
      </c>
      <c r="B335" s="14">
        <v>1719.780791</v>
      </c>
      <c r="C335" s="14">
        <v>1014.222918</v>
      </c>
      <c r="D335" s="14">
        <v>2425.338664</v>
      </c>
      <c r="E335" s="14">
        <v>2.391695357</v>
      </c>
      <c r="F335" s="14">
        <v>1.258033638</v>
      </c>
      <c r="G335" s="14">
        <v>0.003069568</v>
      </c>
      <c r="H335" s="14">
        <v>0.009696438</v>
      </c>
      <c r="I335" s="14" t="s">
        <v>164</v>
      </c>
      <c r="J335" s="14">
        <v>14.23811876</v>
      </c>
      <c r="K335" s="14">
        <v>15.43180685</v>
      </c>
      <c r="L335" s="14">
        <v>10.01342405</v>
      </c>
      <c r="M335" s="14">
        <v>5.516666243</v>
      </c>
      <c r="N335" s="14">
        <v>5.643647887</v>
      </c>
      <c r="O335" s="14">
        <v>2.238725783</v>
      </c>
    </row>
    <row r="336" spans="1:21">
      <c r="A336" s="14" t="s">
        <v>1948</v>
      </c>
      <c r="B336" s="14">
        <v>2448.363188</v>
      </c>
      <c r="C336" s="14">
        <v>1534.5134</v>
      </c>
      <c r="D336" s="14">
        <v>3362.212976</v>
      </c>
      <c r="E336" s="14">
        <v>2.191404311</v>
      </c>
      <c r="F336" s="14">
        <v>1.131855684</v>
      </c>
      <c r="G336" s="51" t="s">
        <v>1949</v>
      </c>
      <c r="H336" s="51" t="s">
        <v>1950</v>
      </c>
      <c r="I336" s="14" t="s">
        <v>164</v>
      </c>
      <c r="J336" s="14">
        <v>18.81220237</v>
      </c>
      <c r="K336" s="14">
        <v>20.46115159</v>
      </c>
      <c r="L336" s="14">
        <v>17.87541219</v>
      </c>
      <c r="M336" s="14">
        <v>7.476055447</v>
      </c>
      <c r="N336" s="14">
        <v>8.472267674</v>
      </c>
      <c r="O336" s="14">
        <v>5.297803436</v>
      </c>
      <c r="P336" s="14" t="s">
        <v>1951</v>
      </c>
      <c r="Q336" s="14" t="s">
        <v>1952</v>
      </c>
      <c r="R336" s="14" t="s">
        <v>1953</v>
      </c>
      <c r="S336" s="14" t="s">
        <v>1954</v>
      </c>
      <c r="T336" s="14" t="s">
        <v>1955</v>
      </c>
      <c r="U336" s="14" t="s">
        <v>1956</v>
      </c>
    </row>
    <row r="337" spans="1:21">
      <c r="A337" s="14" t="s">
        <v>1957</v>
      </c>
      <c r="B337" s="14">
        <v>2160.216637</v>
      </c>
      <c r="C337" s="14">
        <v>77.96401511</v>
      </c>
      <c r="D337" s="14">
        <v>4242.469258</v>
      </c>
      <c r="E337" s="14">
        <v>54.45820367</v>
      </c>
      <c r="F337" s="14">
        <v>5.76707749</v>
      </c>
      <c r="G337" s="51" t="s">
        <v>1958</v>
      </c>
      <c r="H337" s="51" t="s">
        <v>1959</v>
      </c>
      <c r="I337" s="14" t="s">
        <v>164</v>
      </c>
      <c r="J337" s="14">
        <v>89.19695626</v>
      </c>
      <c r="K337" s="14">
        <v>30.10794943</v>
      </c>
      <c r="L337" s="14">
        <v>113.4693453</v>
      </c>
      <c r="M337" s="14">
        <v>1.018169647</v>
      </c>
      <c r="N337" s="14">
        <v>1.983226191</v>
      </c>
      <c r="O337" s="14">
        <v>0.422613383</v>
      </c>
      <c r="P337" s="14" t="s">
        <v>1951</v>
      </c>
      <c r="Q337" s="14" t="s">
        <v>1952</v>
      </c>
      <c r="R337" s="14" t="s">
        <v>1953</v>
      </c>
      <c r="S337" s="14" t="s">
        <v>1954</v>
      </c>
      <c r="T337" s="14" t="s">
        <v>1955</v>
      </c>
      <c r="U337" s="14" t="s">
        <v>1956</v>
      </c>
    </row>
    <row r="338" spans="1:21">
      <c r="A338" s="14" t="s">
        <v>1960</v>
      </c>
      <c r="B338" s="14">
        <v>1002.958148</v>
      </c>
      <c r="C338" s="14">
        <v>1959.309732</v>
      </c>
      <c r="D338" s="14">
        <v>46.60656462</v>
      </c>
      <c r="E338" s="14">
        <v>0.023813727</v>
      </c>
      <c r="F338" s="14">
        <v>-5.392062762</v>
      </c>
      <c r="G338" s="51" t="s">
        <v>1961</v>
      </c>
      <c r="H338" s="51" t="s">
        <v>1962</v>
      </c>
      <c r="I338" s="14" t="s">
        <v>147</v>
      </c>
      <c r="J338" s="14">
        <v>0.526111079</v>
      </c>
      <c r="K338" s="14">
        <v>0.635455819</v>
      </c>
      <c r="L338" s="14">
        <v>0.696527915</v>
      </c>
      <c r="M338" s="14">
        <v>20.6163136</v>
      </c>
      <c r="N338" s="14">
        <v>19.19590268</v>
      </c>
      <c r="O338" s="14">
        <v>24.70685114</v>
      </c>
      <c r="P338" s="14" t="s">
        <v>1963</v>
      </c>
      <c r="Q338" s="14" t="s">
        <v>1964</v>
      </c>
      <c r="T338" s="14" t="s">
        <v>1965</v>
      </c>
      <c r="U338" s="14" t="s">
        <v>1966</v>
      </c>
    </row>
    <row r="339" spans="1:21">
      <c r="A339" s="14" t="s">
        <v>1967</v>
      </c>
      <c r="B339" s="14">
        <v>3.469945903</v>
      </c>
      <c r="C339" s="14">
        <v>0</v>
      </c>
      <c r="D339" s="14">
        <v>6.939891806</v>
      </c>
      <c r="E339" s="14">
        <v>37.40079123</v>
      </c>
      <c r="F339" s="14">
        <v>5.224996886</v>
      </c>
      <c r="G339" s="14">
        <v>0.008107313</v>
      </c>
      <c r="H339" s="14">
        <v>0.022515678</v>
      </c>
      <c r="I339" s="14" t="s">
        <v>164</v>
      </c>
      <c r="J339" s="14">
        <v>0.803272496</v>
      </c>
      <c r="K339" s="14">
        <v>1.482282561</v>
      </c>
      <c r="L339" s="14">
        <v>0.515620314</v>
      </c>
      <c r="M339" s="14">
        <v>0</v>
      </c>
      <c r="N339" s="14">
        <v>0</v>
      </c>
      <c r="O339" s="14">
        <v>0</v>
      </c>
      <c r="P339" s="14" t="s">
        <v>1968</v>
      </c>
      <c r="Q339" s="14" t="s">
        <v>1969</v>
      </c>
      <c r="R339" s="14" t="s">
        <v>480</v>
      </c>
      <c r="S339" s="14" t="s">
        <v>481</v>
      </c>
      <c r="T339" s="14" t="s">
        <v>1970</v>
      </c>
      <c r="U339" s="14" t="s">
        <v>1971</v>
      </c>
    </row>
    <row r="340" spans="1:21">
      <c r="A340" s="14" t="s">
        <v>1972</v>
      </c>
      <c r="B340" s="14">
        <v>1153.681756</v>
      </c>
      <c r="C340" s="14">
        <v>1650.7471</v>
      </c>
      <c r="D340" s="14">
        <v>656.6164119</v>
      </c>
      <c r="E340" s="14">
        <v>0.39784385</v>
      </c>
      <c r="F340" s="14">
        <v>-1.329725799</v>
      </c>
      <c r="G340" s="51" t="s">
        <v>1973</v>
      </c>
      <c r="H340" s="51" t="s">
        <v>913</v>
      </c>
      <c r="I340" s="14" t="s">
        <v>147</v>
      </c>
      <c r="J340" s="14">
        <v>28.5161736</v>
      </c>
      <c r="K340" s="14">
        <v>41.11890325</v>
      </c>
      <c r="L340" s="14">
        <v>44.58274212</v>
      </c>
      <c r="M340" s="14">
        <v>77.46578858</v>
      </c>
      <c r="N340" s="14">
        <v>82.32573485</v>
      </c>
      <c r="O340" s="14">
        <v>75.69516919</v>
      </c>
      <c r="P340" s="14" t="s">
        <v>1974</v>
      </c>
      <c r="Q340" s="14" t="s">
        <v>1975</v>
      </c>
      <c r="R340" s="14" t="s">
        <v>480</v>
      </c>
      <c r="S340" s="14" t="s">
        <v>481</v>
      </c>
      <c r="T340" s="14" t="s">
        <v>1970</v>
      </c>
      <c r="U340" s="14" t="s">
        <v>1971</v>
      </c>
    </row>
    <row r="341" spans="1:21">
      <c r="A341" s="14" t="s">
        <v>1976</v>
      </c>
      <c r="B341" s="14">
        <v>50.61634901</v>
      </c>
      <c r="C341" s="14">
        <v>19.36112498</v>
      </c>
      <c r="D341" s="14">
        <v>81.87157304</v>
      </c>
      <c r="E341" s="14">
        <v>4.223323571</v>
      </c>
      <c r="F341" s="14">
        <v>2.078378784</v>
      </c>
      <c r="G341" s="14">
        <v>0.002255152</v>
      </c>
      <c r="H341" s="14">
        <v>0.007441835</v>
      </c>
      <c r="I341" s="14" t="s">
        <v>164</v>
      </c>
      <c r="J341" s="14">
        <v>3.740591112</v>
      </c>
      <c r="K341" s="14">
        <v>3.404884653</v>
      </c>
      <c r="L341" s="14">
        <v>0.876917646</v>
      </c>
      <c r="M341" s="14">
        <v>0.361787732</v>
      </c>
      <c r="N341" s="14">
        <v>0.667485341</v>
      </c>
      <c r="O341" s="14">
        <v>0.544564696</v>
      </c>
      <c r="P341" s="14" t="s">
        <v>1977</v>
      </c>
      <c r="Q341" s="14" t="s">
        <v>1978</v>
      </c>
      <c r="R341" s="14" t="s">
        <v>480</v>
      </c>
      <c r="S341" s="14" t="s">
        <v>481</v>
      </c>
      <c r="T341" s="14" t="s">
        <v>1970</v>
      </c>
      <c r="U341" s="14" t="s">
        <v>1971</v>
      </c>
    </row>
    <row r="342" spans="1:21">
      <c r="A342" s="14" t="s">
        <v>1979</v>
      </c>
      <c r="B342" s="14">
        <v>166.9096061</v>
      </c>
      <c r="C342" s="14">
        <v>296.7989093</v>
      </c>
      <c r="D342" s="14">
        <v>37.02030287</v>
      </c>
      <c r="E342" s="14">
        <v>0.12486743</v>
      </c>
      <c r="F342" s="14">
        <v>-3.001530876</v>
      </c>
      <c r="G342" s="51" t="s">
        <v>1980</v>
      </c>
      <c r="H342" s="51" t="s">
        <v>1981</v>
      </c>
      <c r="I342" s="14" t="s">
        <v>147</v>
      </c>
      <c r="J342" s="14">
        <v>0.38621262</v>
      </c>
      <c r="K342" s="14">
        <v>0.190047996</v>
      </c>
      <c r="L342" s="14">
        <v>0.388391919</v>
      </c>
      <c r="M342" s="14">
        <v>2.04873712</v>
      </c>
      <c r="N342" s="14">
        <v>1.571007059</v>
      </c>
      <c r="O342" s="14">
        <v>2.794735026</v>
      </c>
      <c r="P342" s="14" t="s">
        <v>1982</v>
      </c>
      <c r="Q342" s="14" t="s">
        <v>1983</v>
      </c>
      <c r="T342" s="14" t="s">
        <v>1984</v>
      </c>
      <c r="U342" s="14" t="s">
        <v>1985</v>
      </c>
    </row>
    <row r="343" spans="1:15">
      <c r="A343" s="14" t="s">
        <v>1986</v>
      </c>
      <c r="B343" s="14">
        <v>13883.73759</v>
      </c>
      <c r="C343" s="14">
        <v>20146.72988</v>
      </c>
      <c r="D343" s="14">
        <v>7620.745295</v>
      </c>
      <c r="E343" s="14">
        <v>0.378265817</v>
      </c>
      <c r="F343" s="14">
        <v>-1.402527687</v>
      </c>
      <c r="G343" s="51" t="s">
        <v>1987</v>
      </c>
      <c r="H343" s="51" t="s">
        <v>1988</v>
      </c>
      <c r="I343" s="14" t="s">
        <v>147</v>
      </c>
      <c r="J343" s="14">
        <v>182.1355169</v>
      </c>
      <c r="K343" s="14">
        <v>286.5914788</v>
      </c>
      <c r="L343" s="14">
        <v>247.3812596</v>
      </c>
      <c r="M343" s="14">
        <v>557.3548028</v>
      </c>
      <c r="N343" s="14">
        <v>591.3944638</v>
      </c>
      <c r="O343" s="14">
        <v>393.3606062</v>
      </c>
    </row>
    <row r="344" spans="1:21">
      <c r="A344" s="14" t="s">
        <v>1989</v>
      </c>
      <c r="B344" s="14">
        <v>6600.671227</v>
      </c>
      <c r="C344" s="14">
        <v>8909.67228</v>
      </c>
      <c r="D344" s="14">
        <v>4291.670175</v>
      </c>
      <c r="E344" s="14">
        <v>0.48168234</v>
      </c>
      <c r="F344" s="14">
        <v>-1.053846063</v>
      </c>
      <c r="G344" s="51" t="s">
        <v>1990</v>
      </c>
      <c r="H344" s="51" t="s">
        <v>1991</v>
      </c>
      <c r="I344" s="14" t="s">
        <v>147</v>
      </c>
      <c r="J344" s="14">
        <v>34.25503333</v>
      </c>
      <c r="K344" s="14">
        <v>60.67778732</v>
      </c>
      <c r="L344" s="14">
        <v>44.32079856</v>
      </c>
      <c r="M344" s="14">
        <v>80.28159371</v>
      </c>
      <c r="N344" s="14">
        <v>73.42888444</v>
      </c>
      <c r="O344" s="14">
        <v>84.6959111</v>
      </c>
      <c r="P344" s="14" t="s">
        <v>1992</v>
      </c>
      <c r="Q344" s="14" t="s">
        <v>1993</v>
      </c>
      <c r="T344" s="14" t="s">
        <v>1994</v>
      </c>
      <c r="U344" s="14" t="s">
        <v>1995</v>
      </c>
    </row>
    <row r="345" spans="1:21">
      <c r="A345" s="14" t="s">
        <v>1996</v>
      </c>
      <c r="B345" s="14">
        <v>11285.25017</v>
      </c>
      <c r="C345" s="14">
        <v>17240.89059</v>
      </c>
      <c r="D345" s="14">
        <v>5329.609746</v>
      </c>
      <c r="E345" s="14">
        <v>0.30912482</v>
      </c>
      <c r="F345" s="14">
        <v>-1.6937386</v>
      </c>
      <c r="G345" s="51" t="s">
        <v>1997</v>
      </c>
      <c r="H345" s="51" t="s">
        <v>1998</v>
      </c>
      <c r="I345" s="14" t="s">
        <v>147</v>
      </c>
      <c r="J345" s="14">
        <v>37.12003267</v>
      </c>
      <c r="K345" s="14">
        <v>47.98256205</v>
      </c>
      <c r="L345" s="14">
        <v>35.4458009</v>
      </c>
      <c r="M345" s="14">
        <v>114.9913672</v>
      </c>
      <c r="N345" s="14">
        <v>110.3512557</v>
      </c>
      <c r="O345" s="14">
        <v>94.01446608</v>
      </c>
      <c r="Q345" s="14" t="s">
        <v>1999</v>
      </c>
      <c r="R345" s="14" t="s">
        <v>2000</v>
      </c>
      <c r="S345" s="14" t="s">
        <v>2001</v>
      </c>
      <c r="T345" s="14" t="s">
        <v>2002</v>
      </c>
      <c r="U345" s="14" t="s">
        <v>2003</v>
      </c>
    </row>
    <row r="346" spans="1:21">
      <c r="A346" s="14" t="s">
        <v>2004</v>
      </c>
      <c r="B346" s="14">
        <v>1025.415643</v>
      </c>
      <c r="C346" s="14">
        <v>1409.776859</v>
      </c>
      <c r="D346" s="14">
        <v>641.054426</v>
      </c>
      <c r="E346" s="14">
        <v>0.454717339</v>
      </c>
      <c r="F346" s="14">
        <v>-1.136958079</v>
      </c>
      <c r="G346" s="51" t="s">
        <v>2005</v>
      </c>
      <c r="H346" s="51" t="s">
        <v>2006</v>
      </c>
      <c r="I346" s="14" t="s">
        <v>147</v>
      </c>
      <c r="J346" s="14">
        <v>4.588855253</v>
      </c>
      <c r="K346" s="14">
        <v>7.028224889</v>
      </c>
      <c r="L346" s="14">
        <v>6.759660845</v>
      </c>
      <c r="M346" s="14">
        <v>10.43478785</v>
      </c>
      <c r="N346" s="14">
        <v>10.1041374</v>
      </c>
      <c r="O346" s="14">
        <v>12.87043054</v>
      </c>
      <c r="P346" s="14" t="s">
        <v>2007</v>
      </c>
      <c r="Q346" s="14" t="s">
        <v>2008</v>
      </c>
      <c r="T346" s="14" t="s">
        <v>2009</v>
      </c>
      <c r="U346" s="14" t="s">
        <v>2010</v>
      </c>
    </row>
    <row r="347" spans="1:15">
      <c r="A347" s="14" t="s">
        <v>2011</v>
      </c>
      <c r="B347" s="14">
        <v>47.36559834</v>
      </c>
      <c r="C347" s="14">
        <v>94.73119669</v>
      </c>
      <c r="D347" s="14">
        <v>0</v>
      </c>
      <c r="E347" s="14">
        <v>0.001903771</v>
      </c>
      <c r="F347" s="14">
        <v>-9.036924185</v>
      </c>
      <c r="G347" s="51" t="s">
        <v>2012</v>
      </c>
      <c r="H347" s="51" t="s">
        <v>2013</v>
      </c>
      <c r="I347" s="14" t="s">
        <v>147</v>
      </c>
      <c r="J347" s="14">
        <v>0</v>
      </c>
      <c r="K347" s="14">
        <v>0</v>
      </c>
      <c r="L347" s="14">
        <v>0</v>
      </c>
      <c r="M347" s="14">
        <v>0.699775901</v>
      </c>
      <c r="N347" s="14">
        <v>0.723394683</v>
      </c>
      <c r="O347" s="14">
        <v>0.01592207</v>
      </c>
    </row>
    <row r="348" spans="1:21">
      <c r="A348" s="14" t="s">
        <v>2014</v>
      </c>
      <c r="B348" s="14">
        <v>29993.25241</v>
      </c>
      <c r="C348" s="14">
        <v>50862.92546</v>
      </c>
      <c r="D348" s="14">
        <v>9123.579359</v>
      </c>
      <c r="E348" s="14">
        <v>0.17937574</v>
      </c>
      <c r="F348" s="14">
        <v>-2.478943309</v>
      </c>
      <c r="G348" s="51" t="s">
        <v>2015</v>
      </c>
      <c r="H348" s="51" t="s">
        <v>2016</v>
      </c>
      <c r="I348" s="14" t="s">
        <v>147</v>
      </c>
      <c r="J348" s="14">
        <v>49.89265732</v>
      </c>
      <c r="K348" s="14">
        <v>81.21238441</v>
      </c>
      <c r="L348" s="14">
        <v>54.83324852</v>
      </c>
      <c r="M348" s="14">
        <v>328.8403585</v>
      </c>
      <c r="N348" s="14">
        <v>325.4908115</v>
      </c>
      <c r="O348" s="14">
        <v>187.6299249</v>
      </c>
      <c r="P348" s="14" t="s">
        <v>2017</v>
      </c>
      <c r="Q348" s="14" t="s">
        <v>2018</v>
      </c>
      <c r="R348" s="14" t="s">
        <v>2019</v>
      </c>
      <c r="S348" s="14" t="s">
        <v>2020</v>
      </c>
      <c r="T348" s="14" t="s">
        <v>2021</v>
      </c>
      <c r="U348" s="14" t="s">
        <v>2022</v>
      </c>
    </row>
    <row r="349" spans="1:21">
      <c r="A349" s="14" t="s">
        <v>2023</v>
      </c>
      <c r="B349" s="14">
        <v>17.1196905</v>
      </c>
      <c r="C349" s="14">
        <v>5.480486174</v>
      </c>
      <c r="D349" s="14">
        <v>28.75889482</v>
      </c>
      <c r="E349" s="14">
        <v>5.279477675</v>
      </c>
      <c r="F349" s="14">
        <v>2.400395204</v>
      </c>
      <c r="G349" s="14">
        <v>0.012969649</v>
      </c>
      <c r="H349" s="14">
        <v>0.033672695</v>
      </c>
      <c r="I349" s="14" t="s">
        <v>164</v>
      </c>
      <c r="J349" s="14">
        <v>2.882141715</v>
      </c>
      <c r="K349" s="14">
        <v>0.595069072</v>
      </c>
      <c r="L349" s="14">
        <v>2.988535338</v>
      </c>
      <c r="M349" s="14">
        <v>0.569064272</v>
      </c>
      <c r="N349" s="14">
        <v>0.121322136</v>
      </c>
      <c r="O349" s="14">
        <v>0.309312747</v>
      </c>
      <c r="P349" s="14" t="s">
        <v>2024</v>
      </c>
      <c r="Q349" s="14" t="s">
        <v>2025</v>
      </c>
      <c r="T349" s="14" t="s">
        <v>2026</v>
      </c>
      <c r="U349" s="14" t="s">
        <v>2027</v>
      </c>
    </row>
    <row r="350" spans="1:15">
      <c r="A350" s="14" t="s">
        <v>2028</v>
      </c>
      <c r="B350" s="14">
        <v>12401.70856</v>
      </c>
      <c r="C350" s="14">
        <v>18475.63295</v>
      </c>
      <c r="D350" s="14">
        <v>6327.784181</v>
      </c>
      <c r="E350" s="14">
        <v>0.342494968</v>
      </c>
      <c r="F350" s="14">
        <v>-1.545845304</v>
      </c>
      <c r="G350" s="51" t="s">
        <v>2029</v>
      </c>
      <c r="H350" s="51" t="s">
        <v>2030</v>
      </c>
      <c r="I350" s="14" t="s">
        <v>147</v>
      </c>
      <c r="J350" s="14">
        <v>579.2482523</v>
      </c>
      <c r="K350" s="14">
        <v>726.3170364</v>
      </c>
      <c r="L350" s="14">
        <v>555.8563378</v>
      </c>
      <c r="M350" s="14">
        <v>1680.902712</v>
      </c>
      <c r="N350" s="14">
        <v>1549.331562</v>
      </c>
      <c r="O350" s="14">
        <v>1207.133695</v>
      </c>
    </row>
    <row r="351" spans="1:21">
      <c r="A351" s="14" t="s">
        <v>2031</v>
      </c>
      <c r="B351" s="14">
        <v>14180.35295</v>
      </c>
      <c r="C351" s="14">
        <v>21069.87862</v>
      </c>
      <c r="D351" s="14">
        <v>7290.827278</v>
      </c>
      <c r="E351" s="14">
        <v>0.34603309</v>
      </c>
      <c r="F351" s="14">
        <v>-1.531018091</v>
      </c>
      <c r="G351" s="51" t="s">
        <v>2032</v>
      </c>
      <c r="H351" s="51" t="s">
        <v>2033</v>
      </c>
      <c r="I351" s="14" t="s">
        <v>147</v>
      </c>
      <c r="J351" s="14">
        <v>47.60630217</v>
      </c>
      <c r="K351" s="14">
        <v>66.3961964</v>
      </c>
      <c r="L351" s="14">
        <v>49.47017672</v>
      </c>
      <c r="M351" s="14">
        <v>156.6486766</v>
      </c>
      <c r="N351" s="14">
        <v>148.7709037</v>
      </c>
      <c r="O351" s="14">
        <v>77.10275828</v>
      </c>
      <c r="P351" s="14" t="s">
        <v>2034</v>
      </c>
      <c r="Q351" s="14" t="s">
        <v>2035</v>
      </c>
      <c r="T351" s="14" t="s">
        <v>2036</v>
      </c>
      <c r="U351" s="14" t="s">
        <v>2037</v>
      </c>
    </row>
    <row r="352" spans="1:15">
      <c r="A352" s="14" t="s">
        <v>2038</v>
      </c>
      <c r="B352" s="14">
        <v>9483.095469</v>
      </c>
      <c r="C352" s="14">
        <v>14917.94804</v>
      </c>
      <c r="D352" s="14">
        <v>4048.242901</v>
      </c>
      <c r="E352" s="14">
        <v>0.271367992</v>
      </c>
      <c r="F352" s="14">
        <v>-1.881677529</v>
      </c>
      <c r="G352" s="51" t="s">
        <v>2039</v>
      </c>
      <c r="H352" s="51" t="s">
        <v>2040</v>
      </c>
      <c r="I352" s="14" t="s">
        <v>147</v>
      </c>
      <c r="J352" s="14">
        <v>30.28818814</v>
      </c>
      <c r="K352" s="14">
        <v>47.17097244</v>
      </c>
      <c r="L352" s="14">
        <v>30.10234073</v>
      </c>
      <c r="M352" s="14">
        <v>130.5647253</v>
      </c>
      <c r="N352" s="14">
        <v>129.6262375</v>
      </c>
      <c r="O352" s="14">
        <v>60.56025743</v>
      </c>
    </row>
    <row r="353" spans="1:21">
      <c r="A353" s="14" t="s">
        <v>2041</v>
      </c>
      <c r="B353" s="14">
        <v>100.6448861</v>
      </c>
      <c r="C353" s="14">
        <v>148.8191302</v>
      </c>
      <c r="D353" s="14">
        <v>52.47064196</v>
      </c>
      <c r="E353" s="14">
        <v>0.352333002</v>
      </c>
      <c r="F353" s="14">
        <v>-1.504988482</v>
      </c>
      <c r="G353" s="14">
        <v>0.011007546</v>
      </c>
      <c r="H353" s="14">
        <v>0.029317794</v>
      </c>
      <c r="I353" s="14" t="s">
        <v>147</v>
      </c>
      <c r="J353" s="14">
        <v>0.894344155</v>
      </c>
      <c r="K353" s="14">
        <v>0.343491303</v>
      </c>
      <c r="L353" s="14">
        <v>0.634508564</v>
      </c>
      <c r="M353" s="14">
        <v>0.745059379</v>
      </c>
      <c r="N353" s="14">
        <v>1.081853438</v>
      </c>
      <c r="O353" s="14">
        <v>2.679397046</v>
      </c>
      <c r="P353" s="14" t="s">
        <v>2042</v>
      </c>
      <c r="Q353" s="14" t="s">
        <v>2043</v>
      </c>
      <c r="R353" s="14" t="s">
        <v>2044</v>
      </c>
      <c r="S353" s="14" t="s">
        <v>2045</v>
      </c>
      <c r="T353" s="14" t="s">
        <v>2046</v>
      </c>
      <c r="U353" s="14" t="s">
        <v>2047</v>
      </c>
    </row>
    <row r="354" spans="1:21">
      <c r="A354" s="14" t="s">
        <v>2048</v>
      </c>
      <c r="B354" s="14">
        <v>1444.457569</v>
      </c>
      <c r="C354" s="14">
        <v>2116.182938</v>
      </c>
      <c r="D354" s="14">
        <v>772.7321991</v>
      </c>
      <c r="E354" s="14">
        <v>0.365185947</v>
      </c>
      <c r="F354" s="14">
        <v>-1.453296847</v>
      </c>
      <c r="G354" s="51" t="s">
        <v>579</v>
      </c>
      <c r="H354" s="14">
        <v>0.000459966</v>
      </c>
      <c r="I354" s="14" t="s">
        <v>147</v>
      </c>
      <c r="J354" s="14">
        <v>11.78935693</v>
      </c>
      <c r="K354" s="14">
        <v>17.95878957</v>
      </c>
      <c r="L354" s="14">
        <v>16.55091522</v>
      </c>
      <c r="M354" s="14">
        <v>38.58751309</v>
      </c>
      <c r="N354" s="14">
        <v>43.80716298</v>
      </c>
      <c r="O354" s="14">
        <v>20.16825086</v>
      </c>
      <c r="P354" s="14" t="s">
        <v>2049</v>
      </c>
      <c r="Q354" s="14" t="s">
        <v>2050</v>
      </c>
      <c r="T354" s="14" t="s">
        <v>2051</v>
      </c>
      <c r="U354" s="14" t="s">
        <v>2052</v>
      </c>
    </row>
    <row r="355" spans="1:21">
      <c r="A355" s="14" t="s">
        <v>2053</v>
      </c>
      <c r="B355" s="14">
        <v>11270.84921</v>
      </c>
      <c r="C355" s="14">
        <v>18358.63105</v>
      </c>
      <c r="D355" s="14">
        <v>4183.067362</v>
      </c>
      <c r="E355" s="14">
        <v>0.227854167</v>
      </c>
      <c r="F355" s="14">
        <v>-2.133817342</v>
      </c>
      <c r="G355" s="14">
        <v>0.000837426</v>
      </c>
      <c r="H355" s="14">
        <v>0.003131865</v>
      </c>
      <c r="I355" s="14" t="s">
        <v>147</v>
      </c>
      <c r="J355" s="14">
        <v>38.49083425</v>
      </c>
      <c r="K355" s="14">
        <v>71.73964607</v>
      </c>
      <c r="L355" s="14">
        <v>47.75105351</v>
      </c>
      <c r="M355" s="14">
        <v>248.9709617</v>
      </c>
      <c r="N355" s="14">
        <v>263.2667105</v>
      </c>
      <c r="O355" s="14">
        <v>41.29513356</v>
      </c>
      <c r="P355" s="14" t="s">
        <v>2054</v>
      </c>
      <c r="Q355" s="14" t="s">
        <v>2055</v>
      </c>
      <c r="R355" s="14" t="s">
        <v>565</v>
      </c>
      <c r="S355" s="14" t="s">
        <v>566</v>
      </c>
      <c r="T355" s="14" t="s">
        <v>2056</v>
      </c>
      <c r="U355" s="14" t="s">
        <v>2057</v>
      </c>
    </row>
    <row r="356" spans="1:15">
      <c r="A356" s="14" t="s">
        <v>2058</v>
      </c>
      <c r="B356" s="14">
        <v>348.495003</v>
      </c>
      <c r="C356" s="14">
        <v>491.2789839</v>
      </c>
      <c r="D356" s="14">
        <v>205.7110221</v>
      </c>
      <c r="E356" s="14">
        <v>0.4188743</v>
      </c>
      <c r="F356" s="14">
        <v>-1.255410724</v>
      </c>
      <c r="G356" s="51" t="s">
        <v>2059</v>
      </c>
      <c r="H356" s="51" t="s">
        <v>2060</v>
      </c>
      <c r="I356" s="14" t="s">
        <v>147</v>
      </c>
      <c r="J356" s="14">
        <v>5.272075808</v>
      </c>
      <c r="K356" s="14">
        <v>6.362245584</v>
      </c>
      <c r="L356" s="14">
        <v>5.554602</v>
      </c>
      <c r="M356" s="14">
        <v>12.06805457</v>
      </c>
      <c r="N356" s="14">
        <v>12.21226925</v>
      </c>
      <c r="O356" s="14">
        <v>9.242412765</v>
      </c>
    </row>
    <row r="357" spans="1:21">
      <c r="A357" s="14" t="s">
        <v>2061</v>
      </c>
      <c r="B357" s="14">
        <v>148.7804458</v>
      </c>
      <c r="C357" s="14">
        <v>237.6348532</v>
      </c>
      <c r="D357" s="14">
        <v>59.92603842</v>
      </c>
      <c r="E357" s="14">
        <v>0.252078929</v>
      </c>
      <c r="F357" s="14">
        <v>-1.988052563</v>
      </c>
      <c r="G357" s="51" t="s">
        <v>2062</v>
      </c>
      <c r="H357" s="14">
        <v>0.000277865</v>
      </c>
      <c r="I357" s="14" t="s">
        <v>147</v>
      </c>
      <c r="J357" s="14">
        <v>2.01194364</v>
      </c>
      <c r="K357" s="14">
        <v>1.15407863</v>
      </c>
      <c r="L357" s="14">
        <v>0.749883407</v>
      </c>
      <c r="M357" s="14">
        <v>4.368304976</v>
      </c>
      <c r="N357" s="14">
        <v>5.416166767</v>
      </c>
      <c r="O357" s="14">
        <v>2.861324008</v>
      </c>
      <c r="P357" s="14" t="s">
        <v>2063</v>
      </c>
      <c r="Q357" s="14" t="s">
        <v>2064</v>
      </c>
      <c r="T357" s="14" t="s">
        <v>2065</v>
      </c>
      <c r="U357" s="14" t="s">
        <v>2066</v>
      </c>
    </row>
    <row r="358" spans="1:21">
      <c r="A358" s="14" t="s">
        <v>2067</v>
      </c>
      <c r="B358" s="14">
        <v>61.25345226</v>
      </c>
      <c r="C358" s="14">
        <v>12.4000369</v>
      </c>
      <c r="D358" s="14">
        <v>110.1068676</v>
      </c>
      <c r="E358" s="14">
        <v>8.7956509</v>
      </c>
      <c r="F358" s="14">
        <v>3.136790345</v>
      </c>
      <c r="G358" s="51" t="s">
        <v>2068</v>
      </c>
      <c r="H358" s="51" t="s">
        <v>2069</v>
      </c>
      <c r="I358" s="14" t="s">
        <v>164</v>
      </c>
      <c r="J358" s="14">
        <v>1.347154915</v>
      </c>
      <c r="K358" s="14">
        <v>1.49800374</v>
      </c>
      <c r="L358" s="14">
        <v>1.432994788</v>
      </c>
      <c r="M358" s="14">
        <v>0.098795881</v>
      </c>
      <c r="N358" s="14">
        <v>0.063188612</v>
      </c>
      <c r="O358" s="14">
        <v>0.247020597</v>
      </c>
      <c r="P358" s="14" t="s">
        <v>2063</v>
      </c>
      <c r="Q358" s="14" t="s">
        <v>2064</v>
      </c>
      <c r="T358" s="14" t="s">
        <v>2065</v>
      </c>
      <c r="U358" s="14" t="s">
        <v>2066</v>
      </c>
    </row>
    <row r="359" spans="1:21">
      <c r="A359" s="14" t="s">
        <v>2070</v>
      </c>
      <c r="B359" s="14">
        <v>18.5265569</v>
      </c>
      <c r="C359" s="14">
        <v>2.947212469</v>
      </c>
      <c r="D359" s="14">
        <v>34.10590133</v>
      </c>
      <c r="E359" s="14">
        <v>11.41446839</v>
      </c>
      <c r="F359" s="14">
        <v>3.512791764</v>
      </c>
      <c r="G359" s="51" t="s">
        <v>2071</v>
      </c>
      <c r="H359" s="51" t="s">
        <v>2072</v>
      </c>
      <c r="I359" s="14" t="s">
        <v>164</v>
      </c>
      <c r="J359" s="14">
        <v>0.776997227</v>
      </c>
      <c r="K359" s="14">
        <v>0.543104804</v>
      </c>
      <c r="L359" s="14">
        <v>0.914382753</v>
      </c>
      <c r="M359" s="14">
        <v>0.036933039</v>
      </c>
      <c r="N359" s="14">
        <v>0.035432867</v>
      </c>
      <c r="O359" s="14">
        <v>0.090336667</v>
      </c>
      <c r="P359" s="14" t="s">
        <v>2073</v>
      </c>
      <c r="Q359" s="14" t="s">
        <v>2074</v>
      </c>
      <c r="T359" s="14" t="s">
        <v>2075</v>
      </c>
      <c r="U359" s="14" t="s">
        <v>2076</v>
      </c>
    </row>
    <row r="360" spans="1:21">
      <c r="A360" s="14" t="s">
        <v>2077</v>
      </c>
      <c r="B360" s="14">
        <v>83.10971002</v>
      </c>
      <c r="C360" s="14">
        <v>27.93249961</v>
      </c>
      <c r="D360" s="14">
        <v>138.2869204</v>
      </c>
      <c r="E360" s="14">
        <v>4.932096026</v>
      </c>
      <c r="F360" s="14">
        <v>2.302200889</v>
      </c>
      <c r="G360" s="51" t="s">
        <v>2078</v>
      </c>
      <c r="H360" s="51" t="s">
        <v>2079</v>
      </c>
      <c r="I360" s="14" t="s">
        <v>164</v>
      </c>
      <c r="J360" s="14">
        <v>6.551179003</v>
      </c>
      <c r="K360" s="14">
        <v>6.167010469</v>
      </c>
      <c r="L360" s="14">
        <v>7.0338766</v>
      </c>
      <c r="M360" s="14">
        <v>0.887146682</v>
      </c>
      <c r="N360" s="14">
        <v>1.044546448</v>
      </c>
      <c r="O360" s="14">
        <v>1.380860479</v>
      </c>
      <c r="P360" s="14" t="s">
        <v>2080</v>
      </c>
      <c r="Q360" s="14" t="s">
        <v>2081</v>
      </c>
      <c r="T360" s="14" t="s">
        <v>2082</v>
      </c>
      <c r="U360" s="14" t="s">
        <v>2083</v>
      </c>
    </row>
    <row r="361" spans="1:15">
      <c r="A361" s="14" t="s">
        <v>2084</v>
      </c>
      <c r="B361" s="14">
        <v>1729.828752</v>
      </c>
      <c r="C361" s="14">
        <v>994.1468681</v>
      </c>
      <c r="D361" s="14">
        <v>2465.510636</v>
      </c>
      <c r="E361" s="14">
        <v>2.480598419</v>
      </c>
      <c r="F361" s="14">
        <v>1.310688198</v>
      </c>
      <c r="G361" s="51" t="s">
        <v>2085</v>
      </c>
      <c r="H361" s="51" t="s">
        <v>2086</v>
      </c>
      <c r="I361" s="14" t="s">
        <v>164</v>
      </c>
      <c r="J361" s="14">
        <v>35.05313809</v>
      </c>
      <c r="K361" s="14">
        <v>23.8115471</v>
      </c>
      <c r="L361" s="14">
        <v>28.43898295</v>
      </c>
      <c r="M361" s="14">
        <v>10.13043209</v>
      </c>
      <c r="N361" s="14">
        <v>10.54405</v>
      </c>
      <c r="O361" s="14">
        <v>8.072006003</v>
      </c>
    </row>
    <row r="362" spans="1:15">
      <c r="A362" s="14" t="s">
        <v>2087</v>
      </c>
      <c r="B362" s="14">
        <v>29.25811898</v>
      </c>
      <c r="C362" s="14">
        <v>3.714885309</v>
      </c>
      <c r="D362" s="14">
        <v>54.80135265</v>
      </c>
      <c r="E362" s="14">
        <v>14.78942008</v>
      </c>
      <c r="F362" s="14">
        <v>3.886493578</v>
      </c>
      <c r="G362" s="51" t="s">
        <v>2088</v>
      </c>
      <c r="H362" s="51" t="s">
        <v>2089</v>
      </c>
      <c r="I362" s="14" t="s">
        <v>164</v>
      </c>
      <c r="J362" s="14">
        <v>1.048848234</v>
      </c>
      <c r="K362" s="14">
        <v>0.434008798</v>
      </c>
      <c r="L362" s="14">
        <v>0.448836858</v>
      </c>
      <c r="M362" s="14">
        <v>0.019941978</v>
      </c>
      <c r="N362" s="14">
        <v>0.06696186</v>
      </c>
      <c r="O362" s="14">
        <v>0.019510897</v>
      </c>
    </row>
    <row r="363" spans="1:15">
      <c r="A363" s="14" t="s">
        <v>2090</v>
      </c>
      <c r="B363" s="14">
        <v>25.58627223</v>
      </c>
      <c r="C363" s="14">
        <v>2.056835622</v>
      </c>
      <c r="D363" s="14">
        <v>49.11570884</v>
      </c>
      <c r="E363" s="14">
        <v>24.09796364</v>
      </c>
      <c r="F363" s="14">
        <v>4.590839334</v>
      </c>
      <c r="G363" s="51" t="s">
        <v>2091</v>
      </c>
      <c r="H363" s="14">
        <v>0.000260642</v>
      </c>
      <c r="I363" s="14" t="s">
        <v>164</v>
      </c>
      <c r="J363" s="14">
        <v>0.50032098</v>
      </c>
      <c r="K363" s="14">
        <v>0.257935323</v>
      </c>
      <c r="L363" s="14">
        <v>1.069213986</v>
      </c>
      <c r="M363" s="14">
        <v>0.01044078</v>
      </c>
      <c r="N363" s="14">
        <v>0.050083444</v>
      </c>
      <c r="O363" s="14">
        <v>0</v>
      </c>
    </row>
    <row r="364" spans="1:21">
      <c r="A364" s="14" t="s">
        <v>2092</v>
      </c>
      <c r="B364" s="14">
        <v>396.3744513</v>
      </c>
      <c r="C364" s="14">
        <v>586.9967275</v>
      </c>
      <c r="D364" s="14">
        <v>205.7521752</v>
      </c>
      <c r="E364" s="14">
        <v>0.350466219</v>
      </c>
      <c r="F364" s="14">
        <v>-1.512652703</v>
      </c>
      <c r="G364" s="14">
        <v>0.006352199</v>
      </c>
      <c r="H364" s="14">
        <v>0.018200374</v>
      </c>
      <c r="I364" s="14" t="s">
        <v>147</v>
      </c>
      <c r="J364" s="14">
        <v>2.303520082</v>
      </c>
      <c r="K364" s="14">
        <v>2.659945095</v>
      </c>
      <c r="L364" s="14">
        <v>3.864391509</v>
      </c>
      <c r="M364" s="14">
        <v>4.002215579</v>
      </c>
      <c r="N364" s="14">
        <v>3.306043661</v>
      </c>
      <c r="O364" s="14">
        <v>14.18406364</v>
      </c>
      <c r="P364" s="14" t="s">
        <v>2093</v>
      </c>
      <c r="Q364" s="14" t="s">
        <v>2094</v>
      </c>
      <c r="T364" s="14" t="s">
        <v>2095</v>
      </c>
      <c r="U364" s="14" t="s">
        <v>2096</v>
      </c>
    </row>
    <row r="365" spans="1:15">
      <c r="A365" s="14" t="s">
        <v>2097</v>
      </c>
      <c r="B365" s="14">
        <v>570.8141385</v>
      </c>
      <c r="C365" s="14">
        <v>958.4797617</v>
      </c>
      <c r="D365" s="14">
        <v>183.1485152</v>
      </c>
      <c r="E365" s="14">
        <v>0.191080024</v>
      </c>
      <c r="F365" s="14">
        <v>-2.387751129</v>
      </c>
      <c r="G365" s="51" t="s">
        <v>2098</v>
      </c>
      <c r="H365" s="51" t="s">
        <v>2099</v>
      </c>
      <c r="I365" s="14" t="s">
        <v>147</v>
      </c>
      <c r="J365" s="14">
        <v>7.064786879</v>
      </c>
      <c r="K365" s="14">
        <v>7.257535903</v>
      </c>
      <c r="L365" s="14">
        <v>5.855610586</v>
      </c>
      <c r="M365" s="14">
        <v>30.19181338</v>
      </c>
      <c r="N365" s="14">
        <v>37.21568466</v>
      </c>
      <c r="O365" s="14">
        <v>18.32098828</v>
      </c>
    </row>
    <row r="366" spans="1:21">
      <c r="A366" s="14" t="s">
        <v>2100</v>
      </c>
      <c r="B366" s="14">
        <v>857.141383</v>
      </c>
      <c r="C366" s="14">
        <v>566.2548393</v>
      </c>
      <c r="D366" s="14">
        <v>1148.027927</v>
      </c>
      <c r="E366" s="14">
        <v>2.026995094</v>
      </c>
      <c r="F366" s="14">
        <v>1.019342597</v>
      </c>
      <c r="G366" s="51" t="s">
        <v>2101</v>
      </c>
      <c r="H366" s="51" t="s">
        <v>2102</v>
      </c>
      <c r="I366" s="14" t="s">
        <v>164</v>
      </c>
      <c r="J366" s="14">
        <v>3.608995794</v>
      </c>
      <c r="K366" s="14">
        <v>5.27131187</v>
      </c>
      <c r="L366" s="14">
        <v>4.594657346</v>
      </c>
      <c r="M366" s="14">
        <v>1.535627115</v>
      </c>
      <c r="N366" s="14">
        <v>1.937819465</v>
      </c>
      <c r="O366" s="14">
        <v>2.01838574</v>
      </c>
      <c r="P366" s="14" t="s">
        <v>2103</v>
      </c>
      <c r="Q366" s="14" t="s">
        <v>2104</v>
      </c>
      <c r="T366" s="14" t="s">
        <v>2105</v>
      </c>
      <c r="U366" s="14" t="s">
        <v>2106</v>
      </c>
    </row>
    <row r="367" spans="1:21">
      <c r="A367" s="14" t="s">
        <v>2107</v>
      </c>
      <c r="B367" s="14">
        <v>355.0409462</v>
      </c>
      <c r="C367" s="14">
        <v>115.2436943</v>
      </c>
      <c r="D367" s="14">
        <v>594.838198</v>
      </c>
      <c r="E367" s="14">
        <v>5.16191552</v>
      </c>
      <c r="F367" s="14">
        <v>2.36790653</v>
      </c>
      <c r="G367" s="51" t="s">
        <v>2108</v>
      </c>
      <c r="H367" s="51" t="s">
        <v>2109</v>
      </c>
      <c r="I367" s="14" t="s">
        <v>164</v>
      </c>
      <c r="J367" s="14">
        <v>8.384929053</v>
      </c>
      <c r="K367" s="14">
        <v>9.075439101</v>
      </c>
      <c r="L367" s="14">
        <v>11.02303683</v>
      </c>
      <c r="M367" s="14">
        <v>1.661797375</v>
      </c>
      <c r="N367" s="14">
        <v>1.049903096</v>
      </c>
      <c r="O367" s="14">
        <v>1.850589086</v>
      </c>
      <c r="P367" s="14" t="s">
        <v>2110</v>
      </c>
      <c r="Q367" s="14" t="s">
        <v>2111</v>
      </c>
      <c r="R367" s="14" t="s">
        <v>2112</v>
      </c>
      <c r="S367" s="14" t="s">
        <v>2113</v>
      </c>
      <c r="T367" s="14" t="s">
        <v>2114</v>
      </c>
      <c r="U367" s="14" t="s">
        <v>2115</v>
      </c>
    </row>
    <row r="368" spans="1:21">
      <c r="A368" s="14" t="s">
        <v>2116</v>
      </c>
      <c r="B368" s="14">
        <v>753.708184</v>
      </c>
      <c r="C368" s="14">
        <v>297.0707219</v>
      </c>
      <c r="D368" s="14">
        <v>1210.345646</v>
      </c>
      <c r="E368" s="14">
        <v>4.073256228</v>
      </c>
      <c r="F368" s="14">
        <v>2.02618257</v>
      </c>
      <c r="G368" s="51" t="s">
        <v>2117</v>
      </c>
      <c r="H368" s="51" t="s">
        <v>2118</v>
      </c>
      <c r="I368" s="14" t="s">
        <v>164</v>
      </c>
      <c r="J368" s="14">
        <v>21.01662515</v>
      </c>
      <c r="K368" s="14">
        <v>25.15319937</v>
      </c>
      <c r="L368" s="14">
        <v>27.82914288</v>
      </c>
      <c r="M368" s="14">
        <v>4.659369039</v>
      </c>
      <c r="N368" s="14">
        <v>4.619115151</v>
      </c>
      <c r="O368" s="14">
        <v>5.723636534</v>
      </c>
      <c r="P368" s="14" t="s">
        <v>2119</v>
      </c>
      <c r="Q368" s="14" t="s">
        <v>2120</v>
      </c>
      <c r="R368" s="14" t="s">
        <v>1536</v>
      </c>
      <c r="S368" s="14" t="s">
        <v>1537</v>
      </c>
      <c r="T368" s="14" t="s">
        <v>2121</v>
      </c>
      <c r="U368" s="14" t="s">
        <v>2122</v>
      </c>
    </row>
    <row r="369" spans="1:21">
      <c r="A369" s="14" t="s">
        <v>2123</v>
      </c>
      <c r="B369" s="14">
        <v>6.834495792</v>
      </c>
      <c r="C369" s="14">
        <v>1.341970179</v>
      </c>
      <c r="D369" s="14">
        <v>12.3270214</v>
      </c>
      <c r="E369" s="14">
        <v>9.202102888</v>
      </c>
      <c r="F369" s="14">
        <v>3.201963587</v>
      </c>
      <c r="G369" s="14">
        <v>0.004886856</v>
      </c>
      <c r="H369" s="14">
        <v>0.014532483</v>
      </c>
      <c r="I369" s="14" t="s">
        <v>164</v>
      </c>
      <c r="J369" s="14">
        <v>0.505542143</v>
      </c>
      <c r="K369" s="14">
        <v>0.462584788</v>
      </c>
      <c r="L369" s="14">
        <v>0.75226695</v>
      </c>
      <c r="M369" s="14">
        <v>0.078643487</v>
      </c>
      <c r="N369" s="14">
        <v>0</v>
      </c>
      <c r="O369" s="14">
        <v>0.076943469</v>
      </c>
      <c r="P369" s="14" t="s">
        <v>1884</v>
      </c>
      <c r="Q369" s="14" t="s">
        <v>1885</v>
      </c>
      <c r="T369" s="14" t="s">
        <v>1886</v>
      </c>
      <c r="U369" s="14" t="s">
        <v>1887</v>
      </c>
    </row>
    <row r="370" spans="1:15">
      <c r="A370" s="14" t="s">
        <v>2124</v>
      </c>
      <c r="B370" s="14">
        <v>89.54813166</v>
      </c>
      <c r="C370" s="14">
        <v>134.4464071</v>
      </c>
      <c r="D370" s="14">
        <v>44.64985618</v>
      </c>
      <c r="E370" s="14">
        <v>0.332357036</v>
      </c>
      <c r="F370" s="14">
        <v>-1.5891942</v>
      </c>
      <c r="G370" s="51" t="s">
        <v>2125</v>
      </c>
      <c r="H370" s="51" t="s">
        <v>2126</v>
      </c>
      <c r="I370" s="14" t="s">
        <v>147</v>
      </c>
      <c r="J370" s="14">
        <v>4.068957702</v>
      </c>
      <c r="K370" s="14">
        <v>5.20242678</v>
      </c>
      <c r="L370" s="14">
        <v>5.611974664</v>
      </c>
      <c r="M370" s="14">
        <v>11.57323172</v>
      </c>
      <c r="N370" s="14">
        <v>12.09610578</v>
      </c>
      <c r="O370" s="14">
        <v>13.25626059</v>
      </c>
    </row>
    <row r="371" spans="1:21">
      <c r="A371" s="14" t="s">
        <v>2127</v>
      </c>
      <c r="B371" s="14">
        <v>15.99824404</v>
      </c>
      <c r="C371" s="14">
        <v>5.510385204</v>
      </c>
      <c r="D371" s="14">
        <v>26.48610288</v>
      </c>
      <c r="E371" s="14">
        <v>4.858259372</v>
      </c>
      <c r="F371" s="14">
        <v>2.280439514</v>
      </c>
      <c r="G371" s="14">
        <v>0.001885105</v>
      </c>
      <c r="H371" s="14">
        <v>0.006370587</v>
      </c>
      <c r="I371" s="14" t="s">
        <v>164</v>
      </c>
      <c r="J371" s="14">
        <v>0.905650363</v>
      </c>
      <c r="K371" s="14">
        <v>1.504080834</v>
      </c>
      <c r="L371" s="14">
        <v>1.220806919</v>
      </c>
      <c r="M371" s="14">
        <v>0.348691343</v>
      </c>
      <c r="N371" s="14">
        <v>0.111509316</v>
      </c>
      <c r="O371" s="14">
        <v>0.151623896</v>
      </c>
      <c r="P371" s="14" t="s">
        <v>2128</v>
      </c>
      <c r="Q371" s="14" t="s">
        <v>2129</v>
      </c>
      <c r="T371" s="14" t="s">
        <v>2121</v>
      </c>
      <c r="U371" s="14" t="s">
        <v>2122</v>
      </c>
    </row>
    <row r="372" spans="1:21">
      <c r="A372" s="14" t="s">
        <v>2130</v>
      </c>
      <c r="B372" s="14">
        <v>28.87440424</v>
      </c>
      <c r="C372" s="14">
        <v>12.63223848</v>
      </c>
      <c r="D372" s="14">
        <v>45.11657</v>
      </c>
      <c r="E372" s="14">
        <v>3.562573089</v>
      </c>
      <c r="F372" s="14">
        <v>1.832919612</v>
      </c>
      <c r="G372" s="14">
        <v>0.001870262</v>
      </c>
      <c r="H372" s="14">
        <v>0.006325229</v>
      </c>
      <c r="I372" s="14" t="s">
        <v>164</v>
      </c>
      <c r="J372" s="14">
        <v>3.695053481</v>
      </c>
      <c r="K372" s="14">
        <v>9.917817862</v>
      </c>
      <c r="L372" s="14">
        <v>7.412042009</v>
      </c>
      <c r="M372" s="14">
        <v>1.317278407</v>
      </c>
      <c r="N372" s="14">
        <v>1.516526695</v>
      </c>
      <c r="O372" s="14">
        <v>2.062084981</v>
      </c>
      <c r="P372" s="14" t="s">
        <v>2131</v>
      </c>
      <c r="Q372" s="14" t="s">
        <v>2132</v>
      </c>
      <c r="R372" s="14" t="s">
        <v>180</v>
      </c>
      <c r="S372" s="14" t="s">
        <v>181</v>
      </c>
      <c r="T372" s="14" t="s">
        <v>2133</v>
      </c>
      <c r="U372" s="14" t="s">
        <v>2134</v>
      </c>
    </row>
    <row r="373" spans="1:15">
      <c r="A373" s="14" t="s">
        <v>2135</v>
      </c>
      <c r="B373" s="14">
        <v>8.235027299</v>
      </c>
      <c r="C373" s="14">
        <v>1.57534326</v>
      </c>
      <c r="D373" s="14">
        <v>14.89471134</v>
      </c>
      <c r="E373" s="14">
        <v>9.172787889</v>
      </c>
      <c r="F373" s="14">
        <v>3.197360279</v>
      </c>
      <c r="G373" s="14">
        <v>0.005831647</v>
      </c>
      <c r="H373" s="14">
        <v>0.016929453</v>
      </c>
      <c r="I373" s="14" t="s">
        <v>164</v>
      </c>
      <c r="J373" s="14">
        <v>0.610192318</v>
      </c>
      <c r="K373" s="14">
        <v>0.614176794</v>
      </c>
      <c r="L373" s="14">
        <v>1.077126105</v>
      </c>
      <c r="M373" s="14">
        <v>0</v>
      </c>
      <c r="N373" s="14">
        <v>0.041739267</v>
      </c>
      <c r="O373" s="14">
        <v>0.170263898</v>
      </c>
    </row>
    <row r="374" spans="1:21">
      <c r="A374" s="14" t="s">
        <v>2136</v>
      </c>
      <c r="B374" s="14">
        <v>484.613899</v>
      </c>
      <c r="C374" s="14">
        <v>300.3763161</v>
      </c>
      <c r="D374" s="14">
        <v>668.8514819</v>
      </c>
      <c r="E374" s="14">
        <v>2.227193045</v>
      </c>
      <c r="F374" s="14">
        <v>1.155226611</v>
      </c>
      <c r="G374" s="51" t="s">
        <v>2137</v>
      </c>
      <c r="H374" s="51" t="s">
        <v>2138</v>
      </c>
      <c r="I374" s="14" t="s">
        <v>164</v>
      </c>
      <c r="J374" s="14">
        <v>8.691588916</v>
      </c>
      <c r="K374" s="14">
        <v>9.579572791</v>
      </c>
      <c r="L374" s="14">
        <v>9.150812196</v>
      </c>
      <c r="M374" s="14">
        <v>3.266490081</v>
      </c>
      <c r="N374" s="14">
        <v>3.289388629</v>
      </c>
      <c r="O374" s="14">
        <v>3.592530808</v>
      </c>
      <c r="P374" s="39">
        <v>45572</v>
      </c>
      <c r="Q374" s="14" t="s">
        <v>2139</v>
      </c>
      <c r="T374" s="14" t="s">
        <v>2140</v>
      </c>
      <c r="U374" s="14" t="s">
        <v>2141</v>
      </c>
    </row>
    <row r="375" spans="1:21">
      <c r="A375" s="14" t="s">
        <v>2142</v>
      </c>
      <c r="B375" s="14">
        <v>122.3239517</v>
      </c>
      <c r="C375" s="14">
        <v>9.389918489</v>
      </c>
      <c r="D375" s="14">
        <v>235.257985</v>
      </c>
      <c r="E375" s="14">
        <v>25.05529175</v>
      </c>
      <c r="F375" s="14">
        <v>4.647043432</v>
      </c>
      <c r="G375" s="51" t="s">
        <v>2143</v>
      </c>
      <c r="H375" s="51" t="s">
        <v>2144</v>
      </c>
      <c r="I375" s="14" t="s">
        <v>164</v>
      </c>
      <c r="J375" s="14">
        <v>4.071367443</v>
      </c>
      <c r="K375" s="14">
        <v>1.555832981</v>
      </c>
      <c r="L375" s="14">
        <v>4.239038368</v>
      </c>
      <c r="M375" s="14">
        <v>0.070849635</v>
      </c>
      <c r="N375" s="14">
        <v>0.158600899</v>
      </c>
      <c r="O375" s="14">
        <v>0.092424128</v>
      </c>
      <c r="P375" s="14" t="s">
        <v>2145</v>
      </c>
      <c r="Q375" s="14" t="s">
        <v>2146</v>
      </c>
      <c r="T375" s="14" t="s">
        <v>2147</v>
      </c>
      <c r="U375" s="14" t="s">
        <v>2148</v>
      </c>
    </row>
    <row r="376" spans="1:21">
      <c r="A376" s="14" t="s">
        <v>2149</v>
      </c>
      <c r="B376" s="14">
        <v>1649.15323</v>
      </c>
      <c r="C376" s="14">
        <v>2448.182335</v>
      </c>
      <c r="D376" s="14">
        <v>850.124126</v>
      </c>
      <c r="E376" s="14">
        <v>0.347278381</v>
      </c>
      <c r="F376" s="14">
        <v>-1.525835493</v>
      </c>
      <c r="G376" s="51" t="s">
        <v>2150</v>
      </c>
      <c r="H376" s="51" t="s">
        <v>2151</v>
      </c>
      <c r="I376" s="14" t="s">
        <v>147</v>
      </c>
      <c r="J376" s="14">
        <v>34.27648295</v>
      </c>
      <c r="K376" s="14">
        <v>29.50877058</v>
      </c>
      <c r="L376" s="14">
        <v>30.08898948</v>
      </c>
      <c r="M376" s="14">
        <v>78.71431788</v>
      </c>
      <c r="N376" s="14">
        <v>85.27469513</v>
      </c>
      <c r="O376" s="14">
        <v>56.22573161</v>
      </c>
      <c r="P376" s="14" t="s">
        <v>2152</v>
      </c>
      <c r="Q376" s="14" t="s">
        <v>2153</v>
      </c>
      <c r="T376" s="14" t="s">
        <v>2154</v>
      </c>
      <c r="U376" s="14" t="s">
        <v>2155</v>
      </c>
    </row>
    <row r="377" spans="1:15">
      <c r="A377" s="14" t="s">
        <v>2156</v>
      </c>
      <c r="B377" s="14">
        <v>16.99370173</v>
      </c>
      <c r="C377" s="14">
        <v>28.98981907</v>
      </c>
      <c r="D377" s="14">
        <v>4.997584396</v>
      </c>
      <c r="E377" s="14">
        <v>0.171558552</v>
      </c>
      <c r="F377" s="14">
        <v>-2.543227051</v>
      </c>
      <c r="G377" s="14">
        <v>0.003738338</v>
      </c>
      <c r="H377" s="14">
        <v>0.011528767</v>
      </c>
      <c r="I377" s="14" t="s">
        <v>147</v>
      </c>
      <c r="J377" s="14">
        <v>0.058763573</v>
      </c>
      <c r="K377" s="14">
        <v>0.106465125</v>
      </c>
      <c r="L377" s="14">
        <v>0.011316095</v>
      </c>
      <c r="M377" s="14">
        <v>0.392166854</v>
      </c>
      <c r="N377" s="14">
        <v>0.21223656</v>
      </c>
      <c r="O377" s="14">
        <v>0.236116601</v>
      </c>
    </row>
    <row r="378" spans="1:21">
      <c r="A378" s="14" t="s">
        <v>2157</v>
      </c>
      <c r="B378" s="14">
        <v>648.1526414</v>
      </c>
      <c r="C378" s="14">
        <v>899.481762</v>
      </c>
      <c r="D378" s="14">
        <v>396.8235207</v>
      </c>
      <c r="E378" s="14">
        <v>0.44114211</v>
      </c>
      <c r="F378" s="14">
        <v>-1.180684613</v>
      </c>
      <c r="G378" s="51" t="s">
        <v>2158</v>
      </c>
      <c r="H378" s="51" t="s">
        <v>2159</v>
      </c>
      <c r="I378" s="14" t="s">
        <v>147</v>
      </c>
      <c r="J378" s="14">
        <v>3.318334362</v>
      </c>
      <c r="K378" s="14">
        <v>6.304860081</v>
      </c>
      <c r="L378" s="14">
        <v>4.815737142</v>
      </c>
      <c r="M378" s="14">
        <v>8.764330436</v>
      </c>
      <c r="N378" s="14">
        <v>8.625451179</v>
      </c>
      <c r="O378" s="14">
        <v>9.601443411</v>
      </c>
      <c r="P378" s="14" t="s">
        <v>453</v>
      </c>
      <c r="Q378" s="14" t="s">
        <v>454</v>
      </c>
      <c r="T378" s="14" t="s">
        <v>455</v>
      </c>
      <c r="U378" s="14" t="s">
        <v>456</v>
      </c>
    </row>
    <row r="379" spans="1:21">
      <c r="A379" s="14" t="s">
        <v>2160</v>
      </c>
      <c r="B379" s="14">
        <v>11.04304444</v>
      </c>
      <c r="C379" s="14">
        <v>1.967138533</v>
      </c>
      <c r="D379" s="14">
        <v>20.11895034</v>
      </c>
      <c r="E379" s="14">
        <v>10.08236496</v>
      </c>
      <c r="F379" s="14">
        <v>3.333762178</v>
      </c>
      <c r="G379" s="14">
        <v>0.000377509</v>
      </c>
      <c r="H379" s="14">
        <v>0.001551226</v>
      </c>
      <c r="I379" s="14" t="s">
        <v>164</v>
      </c>
      <c r="J379" s="14">
        <v>1.526217742</v>
      </c>
      <c r="K379" s="14">
        <v>2.344701505</v>
      </c>
      <c r="L379" s="14">
        <v>1.005459612</v>
      </c>
      <c r="M379" s="14">
        <v>0.068727569</v>
      </c>
      <c r="N379" s="14">
        <v>0.131871886</v>
      </c>
      <c r="O379" s="14">
        <v>0.201725705</v>
      </c>
      <c r="P379" s="14" t="s">
        <v>2161</v>
      </c>
      <c r="Q379" s="14" t="s">
        <v>2162</v>
      </c>
      <c r="R379" s="14" t="s">
        <v>1536</v>
      </c>
      <c r="S379" s="14" t="s">
        <v>1537</v>
      </c>
      <c r="T379" s="14" t="s">
        <v>2163</v>
      </c>
      <c r="U379" s="14" t="s">
        <v>2164</v>
      </c>
    </row>
    <row r="380" spans="1:21">
      <c r="A380" s="14" t="s">
        <v>2165</v>
      </c>
      <c r="B380" s="14">
        <v>2650.15229</v>
      </c>
      <c r="C380" s="14">
        <v>3534.554135</v>
      </c>
      <c r="D380" s="14">
        <v>1765.750445</v>
      </c>
      <c r="E380" s="14">
        <v>0.499592988</v>
      </c>
      <c r="F380" s="14">
        <v>-1.001174867</v>
      </c>
      <c r="G380" s="51" t="s">
        <v>2166</v>
      </c>
      <c r="H380" s="51" t="s">
        <v>2167</v>
      </c>
      <c r="I380" s="14" t="s">
        <v>147</v>
      </c>
      <c r="J380" s="14">
        <v>34.67929842</v>
      </c>
      <c r="K380" s="14">
        <v>36.82681465</v>
      </c>
      <c r="L380" s="14">
        <v>30.46900575</v>
      </c>
      <c r="M380" s="14">
        <v>62.28222949</v>
      </c>
      <c r="N380" s="14">
        <v>58.1074123</v>
      </c>
      <c r="O380" s="14">
        <v>46.36495829</v>
      </c>
      <c r="P380" s="14" t="s">
        <v>2168</v>
      </c>
      <c r="Q380" s="14" t="s">
        <v>2169</v>
      </c>
      <c r="R380" s="14" t="s">
        <v>2170</v>
      </c>
      <c r="S380" s="14" t="s">
        <v>2171</v>
      </c>
      <c r="T380" s="14" t="s">
        <v>2172</v>
      </c>
      <c r="U380" s="14" t="s">
        <v>2173</v>
      </c>
    </row>
    <row r="381" spans="1:21">
      <c r="A381" s="14" t="s">
        <v>2174</v>
      </c>
      <c r="B381" s="14">
        <v>253.5774672</v>
      </c>
      <c r="C381" s="14">
        <v>410.2729269</v>
      </c>
      <c r="D381" s="14">
        <v>96.88200751</v>
      </c>
      <c r="E381" s="14">
        <v>0.23591002</v>
      </c>
      <c r="F381" s="14">
        <v>-2.083691396</v>
      </c>
      <c r="G381" s="51" t="s">
        <v>2175</v>
      </c>
      <c r="H381" s="51" t="s">
        <v>2176</v>
      </c>
      <c r="I381" s="14" t="s">
        <v>147</v>
      </c>
      <c r="J381" s="14">
        <v>1.669451874</v>
      </c>
      <c r="K381" s="14">
        <v>1.29051124</v>
      </c>
      <c r="L381" s="14">
        <v>0.951599032</v>
      </c>
      <c r="M381" s="14">
        <v>3.188131162</v>
      </c>
      <c r="N381" s="14">
        <v>3.705441129</v>
      </c>
      <c r="O381" s="14">
        <v>7.043386653</v>
      </c>
      <c r="P381" s="14" t="s">
        <v>2177</v>
      </c>
      <c r="Q381" s="14" t="s">
        <v>2178</v>
      </c>
      <c r="T381" s="14" t="s">
        <v>2179</v>
      </c>
      <c r="U381" s="14" t="s">
        <v>2180</v>
      </c>
    </row>
    <row r="382" spans="1:21">
      <c r="A382" s="14" t="s">
        <v>2181</v>
      </c>
      <c r="B382" s="14">
        <v>11.67834361</v>
      </c>
      <c r="C382" s="14">
        <v>0.677975751</v>
      </c>
      <c r="D382" s="14">
        <v>22.67871147</v>
      </c>
      <c r="E382" s="14">
        <v>33.68316739</v>
      </c>
      <c r="F382" s="14">
        <v>5.073955903</v>
      </c>
      <c r="G382" s="14">
        <v>0.000151039</v>
      </c>
      <c r="H382" s="14">
        <v>0.000683378</v>
      </c>
      <c r="I382" s="14" t="s">
        <v>164</v>
      </c>
      <c r="J382" s="14">
        <v>4.030967434</v>
      </c>
      <c r="K382" s="14">
        <v>2.662595988</v>
      </c>
      <c r="L382" s="14">
        <v>1.940607362</v>
      </c>
      <c r="M382" s="14">
        <v>0</v>
      </c>
      <c r="N382" s="14">
        <v>0.206799095</v>
      </c>
      <c r="O382" s="14">
        <v>0</v>
      </c>
      <c r="P382" s="14" t="s">
        <v>2182</v>
      </c>
      <c r="Q382" s="14" t="s">
        <v>2183</v>
      </c>
      <c r="T382" s="14" t="s">
        <v>2184</v>
      </c>
      <c r="U382" s="14" t="s">
        <v>2185</v>
      </c>
    </row>
    <row r="383" spans="1:21">
      <c r="A383" s="14" t="s">
        <v>2186</v>
      </c>
      <c r="B383" s="14">
        <v>167.1333686</v>
      </c>
      <c r="C383" s="14">
        <v>47.22800737</v>
      </c>
      <c r="D383" s="14">
        <v>287.0387298</v>
      </c>
      <c r="E383" s="14">
        <v>6.067806395</v>
      </c>
      <c r="F383" s="14">
        <v>2.601175054</v>
      </c>
      <c r="G383" s="51" t="s">
        <v>2187</v>
      </c>
      <c r="H383" s="51" t="s">
        <v>2188</v>
      </c>
      <c r="I383" s="14" t="s">
        <v>164</v>
      </c>
      <c r="J383" s="14">
        <v>2.548973615</v>
      </c>
      <c r="K383" s="14">
        <v>8.410597616</v>
      </c>
      <c r="L383" s="14">
        <v>5.683590719</v>
      </c>
      <c r="M383" s="14">
        <v>0.541122665</v>
      </c>
      <c r="N383" s="14">
        <v>0.676459003</v>
      </c>
      <c r="O383" s="14">
        <v>1.074893883</v>
      </c>
      <c r="P383" s="14" t="s">
        <v>2189</v>
      </c>
      <c r="Q383" s="14" t="s">
        <v>2190</v>
      </c>
      <c r="T383" s="14" t="s">
        <v>2191</v>
      </c>
      <c r="U383" s="14" t="s">
        <v>2192</v>
      </c>
    </row>
    <row r="384" spans="1:21">
      <c r="A384" s="14" t="s">
        <v>2193</v>
      </c>
      <c r="B384" s="14">
        <v>15.55302374</v>
      </c>
      <c r="C384" s="14">
        <v>7.182416214</v>
      </c>
      <c r="D384" s="14">
        <v>23.92363126</v>
      </c>
      <c r="E384" s="14">
        <v>3.355328606</v>
      </c>
      <c r="F384" s="14">
        <v>1.746454064</v>
      </c>
      <c r="G384" s="14">
        <v>0.006607185</v>
      </c>
      <c r="H384" s="14">
        <v>0.018845668</v>
      </c>
      <c r="I384" s="14" t="s">
        <v>164</v>
      </c>
      <c r="J384" s="14">
        <v>0.566574867</v>
      </c>
      <c r="K384" s="14">
        <v>0.69424725</v>
      </c>
      <c r="L384" s="14">
        <v>0.521807757</v>
      </c>
      <c r="M384" s="14">
        <v>0.168611636</v>
      </c>
      <c r="N384" s="14">
        <v>0.181983203</v>
      </c>
      <c r="O384" s="14">
        <v>0.082483399</v>
      </c>
      <c r="P384" s="14" t="s">
        <v>2194</v>
      </c>
      <c r="Q384" s="14" t="s">
        <v>2195</v>
      </c>
      <c r="T384" s="14" t="s">
        <v>2196</v>
      </c>
      <c r="U384" s="14" t="s">
        <v>2197</v>
      </c>
    </row>
    <row r="385" spans="1:21">
      <c r="A385" s="14" t="s">
        <v>2198</v>
      </c>
      <c r="B385" s="14">
        <v>31.36438284</v>
      </c>
      <c r="C385" s="14">
        <v>1.57534326</v>
      </c>
      <c r="D385" s="14">
        <v>61.15342242</v>
      </c>
      <c r="E385" s="14">
        <v>37.13647615</v>
      </c>
      <c r="F385" s="14">
        <v>5.21476502</v>
      </c>
      <c r="G385" s="51" t="s">
        <v>2199</v>
      </c>
      <c r="H385" s="51" t="s">
        <v>2200</v>
      </c>
      <c r="I385" s="14" t="s">
        <v>164</v>
      </c>
      <c r="J385" s="14">
        <v>0.566177549</v>
      </c>
      <c r="K385" s="14">
        <v>0.809821821</v>
      </c>
      <c r="L385" s="14">
        <v>0.459068408</v>
      </c>
      <c r="M385" s="14">
        <v>0</v>
      </c>
      <c r="N385" s="14">
        <v>0.008153369</v>
      </c>
      <c r="O385" s="14">
        <v>0.033259435</v>
      </c>
      <c r="P385" s="14" t="s">
        <v>2103</v>
      </c>
      <c r="Q385" s="14" t="s">
        <v>2104</v>
      </c>
      <c r="T385" s="14" t="s">
        <v>2105</v>
      </c>
      <c r="U385" s="14" t="s">
        <v>2106</v>
      </c>
    </row>
    <row r="386" spans="1:15">
      <c r="A386" s="14" t="s">
        <v>2201</v>
      </c>
      <c r="B386" s="14">
        <v>58.48511714</v>
      </c>
      <c r="C386" s="14">
        <v>5.540284234</v>
      </c>
      <c r="D386" s="14">
        <v>111.4299501</v>
      </c>
      <c r="E386" s="14">
        <v>20.44564654</v>
      </c>
      <c r="F386" s="14">
        <v>4.35372178</v>
      </c>
      <c r="G386" s="51" t="s">
        <v>2202</v>
      </c>
      <c r="H386" s="51" t="s">
        <v>2203</v>
      </c>
      <c r="I386" s="14" t="s">
        <v>164</v>
      </c>
      <c r="J386" s="14">
        <v>1.282022903</v>
      </c>
      <c r="K386" s="14">
        <v>0.679154919</v>
      </c>
      <c r="L386" s="14">
        <v>1.29936319</v>
      </c>
      <c r="M386" s="14">
        <v>0.074225775</v>
      </c>
      <c r="N386" s="14">
        <v>0.031649253</v>
      </c>
      <c r="O386" s="14">
        <v>0.024207085</v>
      </c>
    </row>
    <row r="387" spans="1:21">
      <c r="A387" s="14" t="s">
        <v>2204</v>
      </c>
      <c r="B387" s="14">
        <v>24536.95267</v>
      </c>
      <c r="C387" s="14">
        <v>728.65232</v>
      </c>
      <c r="D387" s="14">
        <v>48345.25303</v>
      </c>
      <c r="E387" s="14">
        <v>66.35614856</v>
      </c>
      <c r="F387" s="14">
        <v>6.052158247</v>
      </c>
      <c r="G387" s="51" t="s">
        <v>2205</v>
      </c>
      <c r="H387" s="51" t="s">
        <v>2206</v>
      </c>
      <c r="I387" s="14" t="s">
        <v>164</v>
      </c>
      <c r="J387" s="14">
        <v>827.8304494</v>
      </c>
      <c r="K387" s="14">
        <v>432.455107</v>
      </c>
      <c r="L387" s="14">
        <v>827.4441468</v>
      </c>
      <c r="M387" s="14">
        <v>7.327530196</v>
      </c>
      <c r="N387" s="14">
        <v>12.2614453</v>
      </c>
      <c r="O387" s="14">
        <v>5.966338027</v>
      </c>
      <c r="P387" s="14" t="s">
        <v>2093</v>
      </c>
      <c r="Q387" s="14" t="s">
        <v>2094</v>
      </c>
      <c r="T387" s="14" t="s">
        <v>2095</v>
      </c>
      <c r="U387" s="14" t="s">
        <v>2096</v>
      </c>
    </row>
    <row r="388" spans="1:15">
      <c r="A388" s="14" t="s">
        <v>2207</v>
      </c>
      <c r="B388" s="14">
        <v>15211.65477</v>
      </c>
      <c r="C388" s="14">
        <v>2152.974926</v>
      </c>
      <c r="D388" s="14">
        <v>28270.33461</v>
      </c>
      <c r="E388" s="14">
        <v>13.13040498</v>
      </c>
      <c r="F388" s="14">
        <v>3.714839509</v>
      </c>
      <c r="G388" s="51" t="s">
        <v>2208</v>
      </c>
      <c r="H388" s="51" t="s">
        <v>2209</v>
      </c>
      <c r="I388" s="14" t="s">
        <v>164</v>
      </c>
      <c r="J388" s="14">
        <v>320.7558785</v>
      </c>
      <c r="K388" s="14">
        <v>177.0402521</v>
      </c>
      <c r="L388" s="14">
        <v>309.9910903</v>
      </c>
      <c r="M388" s="14">
        <v>13.73675648</v>
      </c>
      <c r="N388" s="14">
        <v>18.31890044</v>
      </c>
      <c r="O388" s="14">
        <v>18.6817332</v>
      </c>
    </row>
    <row r="389" spans="1:21">
      <c r="A389" s="14" t="s">
        <v>2210</v>
      </c>
      <c r="B389" s="14">
        <v>2821.928819</v>
      </c>
      <c r="C389" s="14">
        <v>4120.540587</v>
      </c>
      <c r="D389" s="14">
        <v>1523.317051</v>
      </c>
      <c r="E389" s="14">
        <v>0.369715746</v>
      </c>
      <c r="F389" s="14">
        <v>-1.435511605</v>
      </c>
      <c r="G389" s="51" t="s">
        <v>2211</v>
      </c>
      <c r="H389" s="51" t="s">
        <v>2212</v>
      </c>
      <c r="I389" s="14" t="s">
        <v>147</v>
      </c>
      <c r="J389" s="14">
        <v>28.79852045</v>
      </c>
      <c r="K389" s="14">
        <v>31.35079444</v>
      </c>
      <c r="L389" s="14">
        <v>30.92151884</v>
      </c>
      <c r="M389" s="14">
        <v>74.93287556</v>
      </c>
      <c r="N389" s="14">
        <v>75.40507732</v>
      </c>
      <c r="O389" s="14">
        <v>50.09809025</v>
      </c>
      <c r="P389" s="14" t="s">
        <v>2213</v>
      </c>
      <c r="Q389" s="14" t="s">
        <v>2214</v>
      </c>
      <c r="T389" s="14" t="s">
        <v>2215</v>
      </c>
      <c r="U389" s="14" t="s">
        <v>2216</v>
      </c>
    </row>
    <row r="390" spans="1:21">
      <c r="A390" s="14" t="s">
        <v>2217</v>
      </c>
      <c r="B390" s="14">
        <v>2833.696012</v>
      </c>
      <c r="C390" s="14">
        <v>149.6500389</v>
      </c>
      <c r="D390" s="14">
        <v>5517.741985</v>
      </c>
      <c r="E390" s="14">
        <v>36.84859731</v>
      </c>
      <c r="F390" s="14">
        <v>5.203537797</v>
      </c>
      <c r="G390" s="51" t="s">
        <v>2218</v>
      </c>
      <c r="H390" s="51" t="s">
        <v>2219</v>
      </c>
      <c r="I390" s="14" t="s">
        <v>164</v>
      </c>
      <c r="J390" s="14">
        <v>57.12341032</v>
      </c>
      <c r="K390" s="14">
        <v>43.92303286</v>
      </c>
      <c r="L390" s="14">
        <v>21.3339443</v>
      </c>
      <c r="M390" s="14">
        <v>0.622484784</v>
      </c>
      <c r="N390" s="14">
        <v>1.013430727</v>
      </c>
      <c r="O390" s="14">
        <v>1.13193209</v>
      </c>
      <c r="P390" s="14" t="s">
        <v>2220</v>
      </c>
      <c r="Q390" s="14" t="s">
        <v>2221</v>
      </c>
      <c r="R390" s="14" t="s">
        <v>2222</v>
      </c>
      <c r="S390" s="14" t="s">
        <v>2223</v>
      </c>
      <c r="T390" s="14" t="s">
        <v>2224</v>
      </c>
      <c r="U390" s="14" t="s">
        <v>2225</v>
      </c>
    </row>
    <row r="391" spans="1:21">
      <c r="A391" s="14" t="s">
        <v>2226</v>
      </c>
      <c r="B391" s="14">
        <v>180.3379562</v>
      </c>
      <c r="C391" s="14">
        <v>65.84085337</v>
      </c>
      <c r="D391" s="14">
        <v>294.8350591</v>
      </c>
      <c r="E391" s="14">
        <v>4.479214561</v>
      </c>
      <c r="F391" s="14">
        <v>2.163245775</v>
      </c>
      <c r="G391" s="51" t="s">
        <v>2227</v>
      </c>
      <c r="H391" s="14">
        <v>0.000373945</v>
      </c>
      <c r="I391" s="14" t="s">
        <v>164</v>
      </c>
      <c r="J391" s="14">
        <v>4.903347949</v>
      </c>
      <c r="K391" s="14">
        <v>1.317820287</v>
      </c>
      <c r="L391" s="14">
        <v>5.289705571</v>
      </c>
      <c r="M391" s="14">
        <v>0.615014652</v>
      </c>
      <c r="N391" s="14">
        <v>0.811296124</v>
      </c>
      <c r="O391" s="14">
        <v>0.67693503</v>
      </c>
      <c r="P391" s="14" t="s">
        <v>2228</v>
      </c>
      <c r="Q391" s="14" t="s">
        <v>2229</v>
      </c>
      <c r="T391" s="14" t="s">
        <v>558</v>
      </c>
      <c r="U391" s="14" t="s">
        <v>559</v>
      </c>
    </row>
    <row r="392" spans="1:19">
      <c r="A392" s="14" t="s">
        <v>2230</v>
      </c>
      <c r="B392" s="14">
        <v>5.678404064</v>
      </c>
      <c r="C392" s="14">
        <v>0</v>
      </c>
      <c r="D392" s="14">
        <v>11.35680813</v>
      </c>
      <c r="E392" s="14">
        <v>61.27920824</v>
      </c>
      <c r="F392" s="14">
        <v>5.937325752</v>
      </c>
      <c r="G392" s="14">
        <v>0.001836145</v>
      </c>
      <c r="H392" s="14">
        <v>0.006226396</v>
      </c>
      <c r="I392" s="14" t="s">
        <v>164</v>
      </c>
      <c r="J392" s="14">
        <v>0.890771821</v>
      </c>
      <c r="K392" s="14">
        <v>0.149431408</v>
      </c>
      <c r="L392" s="14">
        <v>0.667083781</v>
      </c>
      <c r="M392" s="14">
        <v>0</v>
      </c>
      <c r="N392" s="14">
        <v>0</v>
      </c>
      <c r="O392" s="14">
        <v>0</v>
      </c>
      <c r="R392" s="14" t="s">
        <v>2231</v>
      </c>
      <c r="S392" s="14" t="s">
        <v>2232</v>
      </c>
    </row>
    <row r="393" spans="1:21">
      <c r="A393" s="14" t="s">
        <v>2233</v>
      </c>
      <c r="B393" s="14">
        <v>309.7764202</v>
      </c>
      <c r="C393" s="14">
        <v>137.0728924</v>
      </c>
      <c r="D393" s="14">
        <v>482.4799479</v>
      </c>
      <c r="E393" s="14">
        <v>3.515385683</v>
      </c>
      <c r="F393" s="14">
        <v>1.81368298</v>
      </c>
      <c r="G393" s="51" t="s">
        <v>2234</v>
      </c>
      <c r="H393" s="51" t="s">
        <v>2235</v>
      </c>
      <c r="I393" s="14" t="s">
        <v>164</v>
      </c>
      <c r="J393" s="14">
        <v>9.437890097</v>
      </c>
      <c r="K393" s="14">
        <v>8.641245589</v>
      </c>
      <c r="L393" s="14">
        <v>10.2628274</v>
      </c>
      <c r="M393" s="14">
        <v>2.006316343</v>
      </c>
      <c r="N393" s="14">
        <v>1.940729966</v>
      </c>
      <c r="O393" s="14">
        <v>2.725413017</v>
      </c>
      <c r="P393" s="14" t="s">
        <v>2236</v>
      </c>
      <c r="Q393" s="14" t="s">
        <v>2237</v>
      </c>
      <c r="T393" s="14" t="s">
        <v>2238</v>
      </c>
      <c r="U393" s="14" t="s">
        <v>2239</v>
      </c>
    </row>
    <row r="394" spans="1:21">
      <c r="A394" s="14" t="s">
        <v>2240</v>
      </c>
      <c r="B394" s="14">
        <v>716.0789387</v>
      </c>
      <c r="C394" s="14">
        <v>1242.186245</v>
      </c>
      <c r="D394" s="14">
        <v>189.9716327</v>
      </c>
      <c r="E394" s="14">
        <v>0.152932822</v>
      </c>
      <c r="F394" s="14">
        <v>-2.709030028</v>
      </c>
      <c r="G394" s="14">
        <v>0.000548256</v>
      </c>
      <c r="H394" s="14">
        <v>0.002152069</v>
      </c>
      <c r="I394" s="14" t="s">
        <v>147</v>
      </c>
      <c r="J394" s="14">
        <v>1.315645944</v>
      </c>
      <c r="K394" s="14">
        <v>2.257993758</v>
      </c>
      <c r="L394" s="14">
        <v>1.266768957</v>
      </c>
      <c r="M394" s="14">
        <v>12.00703678</v>
      </c>
      <c r="N394" s="14">
        <v>12.13544414</v>
      </c>
      <c r="O394" s="14">
        <v>1.044848294</v>
      </c>
      <c r="P394" s="14" t="s">
        <v>2241</v>
      </c>
      <c r="Q394" s="14" t="s">
        <v>2242</v>
      </c>
      <c r="T394" s="14" t="s">
        <v>2243</v>
      </c>
      <c r="U394" s="14" t="s">
        <v>2244</v>
      </c>
    </row>
    <row r="395" spans="1:21">
      <c r="A395" s="14" t="s">
        <v>2245</v>
      </c>
      <c r="B395" s="14">
        <v>9271.233756</v>
      </c>
      <c r="C395" s="14">
        <v>18214.19149</v>
      </c>
      <c r="D395" s="14">
        <v>328.2760176</v>
      </c>
      <c r="E395" s="14">
        <v>0.01802306</v>
      </c>
      <c r="F395" s="14">
        <v>-5.794012201</v>
      </c>
      <c r="G395" s="51" t="s">
        <v>2246</v>
      </c>
      <c r="H395" s="51" t="s">
        <v>2247</v>
      </c>
      <c r="I395" s="14" t="s">
        <v>147</v>
      </c>
      <c r="J395" s="14">
        <v>5.670254833</v>
      </c>
      <c r="K395" s="14">
        <v>21.88420938</v>
      </c>
      <c r="L395" s="14">
        <v>9.653732763</v>
      </c>
      <c r="M395" s="14">
        <v>748.3747791</v>
      </c>
      <c r="N395" s="14">
        <v>874.7153362</v>
      </c>
      <c r="O395" s="14">
        <v>16.75444047</v>
      </c>
      <c r="P395" s="14" t="s">
        <v>2248</v>
      </c>
      <c r="Q395" s="14" t="s">
        <v>2249</v>
      </c>
      <c r="T395" s="14" t="s">
        <v>1500</v>
      </c>
      <c r="U395" s="14" t="s">
        <v>1501</v>
      </c>
    </row>
    <row r="396" spans="1:21">
      <c r="A396" s="14" t="s">
        <v>2250</v>
      </c>
      <c r="B396" s="14">
        <v>273.6550593</v>
      </c>
      <c r="C396" s="14">
        <v>53.1511982</v>
      </c>
      <c r="D396" s="14">
        <v>494.1589204</v>
      </c>
      <c r="E396" s="14">
        <v>9.282629128</v>
      </c>
      <c r="F396" s="14">
        <v>3.214533479</v>
      </c>
      <c r="G396" s="14">
        <v>0.000177826</v>
      </c>
      <c r="H396" s="14">
        <v>0.000792497</v>
      </c>
      <c r="I396" s="14" t="s">
        <v>164</v>
      </c>
      <c r="J396" s="14">
        <v>6.031586047</v>
      </c>
      <c r="K396" s="14">
        <v>0.807392631</v>
      </c>
      <c r="L396" s="14">
        <v>4.745522248</v>
      </c>
      <c r="M396" s="14">
        <v>0.151782149</v>
      </c>
      <c r="N396" s="14">
        <v>0.132954609</v>
      </c>
      <c r="O396" s="14">
        <v>0.787701541</v>
      </c>
      <c r="Q396" s="14" t="s">
        <v>2251</v>
      </c>
      <c r="T396" s="14" t="s">
        <v>2252</v>
      </c>
      <c r="U396" s="14" t="s">
        <v>2253</v>
      </c>
    </row>
    <row r="397" spans="1:15">
      <c r="A397" s="14" t="s">
        <v>2254</v>
      </c>
      <c r="B397" s="14">
        <v>27.22392633</v>
      </c>
      <c r="C397" s="14">
        <v>44.55682846</v>
      </c>
      <c r="D397" s="14">
        <v>9.891024199</v>
      </c>
      <c r="E397" s="14">
        <v>0.221909219</v>
      </c>
      <c r="F397" s="14">
        <v>-2.171958494</v>
      </c>
      <c r="G397" s="14">
        <v>0.006174147</v>
      </c>
      <c r="H397" s="14">
        <v>0.017784619</v>
      </c>
      <c r="I397" s="14" t="s">
        <v>147</v>
      </c>
      <c r="J397" s="14">
        <v>0.378148748</v>
      </c>
      <c r="K397" s="14">
        <v>0.869984023</v>
      </c>
      <c r="L397" s="14">
        <v>0.364100309</v>
      </c>
      <c r="M397" s="14">
        <v>2.634556815</v>
      </c>
      <c r="N397" s="14">
        <v>2.483201605</v>
      </c>
      <c r="O397" s="14">
        <v>0.72353859</v>
      </c>
    </row>
    <row r="398" spans="1:21">
      <c r="A398" s="14" t="s">
        <v>2255</v>
      </c>
      <c r="B398" s="14">
        <v>593.490002</v>
      </c>
      <c r="C398" s="14">
        <v>289.9968649</v>
      </c>
      <c r="D398" s="14">
        <v>896.9831391</v>
      </c>
      <c r="E398" s="14">
        <v>3.095105251</v>
      </c>
      <c r="F398" s="14">
        <v>1.62998847</v>
      </c>
      <c r="G398" s="51" t="s">
        <v>2256</v>
      </c>
      <c r="H398" s="14">
        <v>0.000287806</v>
      </c>
      <c r="I398" s="14" t="s">
        <v>164</v>
      </c>
      <c r="J398" s="14">
        <v>31.9402928</v>
      </c>
      <c r="K398" s="14">
        <v>37.62519621</v>
      </c>
      <c r="L398" s="14">
        <v>36.78382882</v>
      </c>
      <c r="M398" s="14">
        <v>11.48711425</v>
      </c>
      <c r="N398" s="14">
        <v>11.50246942</v>
      </c>
      <c r="O398" s="14">
        <v>4.718330042</v>
      </c>
      <c r="P398" s="14" t="s">
        <v>2257</v>
      </c>
      <c r="Q398" s="14" t="s">
        <v>2258</v>
      </c>
      <c r="R398" s="14" t="s">
        <v>754</v>
      </c>
      <c r="S398" s="14" t="s">
        <v>755</v>
      </c>
      <c r="T398" s="14" t="s">
        <v>2259</v>
      </c>
      <c r="U398" s="14" t="s">
        <v>2260</v>
      </c>
    </row>
    <row r="399" spans="1:15">
      <c r="A399" s="14" t="s">
        <v>2261</v>
      </c>
      <c r="B399" s="14">
        <v>70.35500774</v>
      </c>
      <c r="C399" s="14">
        <v>3.150686519</v>
      </c>
      <c r="D399" s="14">
        <v>137.559329</v>
      </c>
      <c r="E399" s="14">
        <v>42.36280914</v>
      </c>
      <c r="F399" s="14">
        <v>5.404726355</v>
      </c>
      <c r="G399" s="51" t="s">
        <v>2262</v>
      </c>
      <c r="H399" s="51" t="s">
        <v>2263</v>
      </c>
      <c r="I399" s="14" t="s">
        <v>164</v>
      </c>
      <c r="J399" s="14">
        <v>10.81775526</v>
      </c>
      <c r="K399" s="14">
        <v>4.954830881</v>
      </c>
      <c r="L399" s="14">
        <v>9.596643864</v>
      </c>
      <c r="M399" s="14">
        <v>0</v>
      </c>
      <c r="N399" s="14">
        <v>0.099771493</v>
      </c>
      <c r="O399" s="14">
        <v>0.406990457</v>
      </c>
    </row>
    <row r="400" spans="1:21">
      <c r="A400" s="14" t="s">
        <v>2264</v>
      </c>
      <c r="B400" s="14">
        <v>1989.201056</v>
      </c>
      <c r="C400" s="14">
        <v>1258.882385</v>
      </c>
      <c r="D400" s="14">
        <v>2719.519728</v>
      </c>
      <c r="E400" s="14">
        <v>2.159900815</v>
      </c>
      <c r="F400" s="14">
        <v>1.110965063</v>
      </c>
      <c r="G400" s="14">
        <v>0.011219801</v>
      </c>
      <c r="H400" s="14">
        <v>0.029811802</v>
      </c>
      <c r="I400" s="14" t="s">
        <v>164</v>
      </c>
      <c r="J400" s="14">
        <v>26.64087168</v>
      </c>
      <c r="K400" s="14">
        <v>22.84892591</v>
      </c>
      <c r="L400" s="14">
        <v>28.03245857</v>
      </c>
      <c r="M400" s="14">
        <v>6.171138681</v>
      </c>
      <c r="N400" s="14">
        <v>5.573119818</v>
      </c>
      <c r="O400" s="14">
        <v>18.75871081</v>
      </c>
      <c r="P400" s="14" t="s">
        <v>2265</v>
      </c>
      <c r="Q400" s="14" t="s">
        <v>2266</v>
      </c>
      <c r="T400" s="14" t="s">
        <v>879</v>
      </c>
      <c r="U400" s="14" t="s">
        <v>880</v>
      </c>
    </row>
    <row r="401" spans="1:21">
      <c r="A401" s="14" t="s">
        <v>2267</v>
      </c>
      <c r="B401" s="14">
        <v>3704.977344</v>
      </c>
      <c r="C401" s="14">
        <v>1996.33018</v>
      </c>
      <c r="D401" s="14">
        <v>5413.624508</v>
      </c>
      <c r="E401" s="14">
        <v>2.711660449</v>
      </c>
      <c r="F401" s="14">
        <v>1.439176537</v>
      </c>
      <c r="G401" s="51" t="s">
        <v>2268</v>
      </c>
      <c r="H401" s="51" t="s">
        <v>2269</v>
      </c>
      <c r="I401" s="14" t="s">
        <v>164</v>
      </c>
      <c r="J401" s="14">
        <v>68.97513457</v>
      </c>
      <c r="K401" s="14">
        <v>59.01230934</v>
      </c>
      <c r="L401" s="14">
        <v>69.61328007</v>
      </c>
      <c r="M401" s="14">
        <v>18.05375569</v>
      </c>
      <c r="N401" s="14">
        <v>20.17751619</v>
      </c>
      <c r="O401" s="14">
        <v>21.867645</v>
      </c>
      <c r="P401" s="14" t="s">
        <v>2270</v>
      </c>
      <c r="Q401" s="14" t="s">
        <v>2271</v>
      </c>
      <c r="T401" s="14" t="s">
        <v>2272</v>
      </c>
      <c r="U401" s="14" t="s">
        <v>2273</v>
      </c>
    </row>
    <row r="402" spans="1:21">
      <c r="A402" s="14" t="s">
        <v>2274</v>
      </c>
      <c r="B402" s="14">
        <v>7480.583027</v>
      </c>
      <c r="C402" s="14">
        <v>12236.37747</v>
      </c>
      <c r="D402" s="14">
        <v>2724.788588</v>
      </c>
      <c r="E402" s="14">
        <v>0.222681843</v>
      </c>
      <c r="F402" s="14">
        <v>-2.166944167</v>
      </c>
      <c r="G402" s="51" t="s">
        <v>2275</v>
      </c>
      <c r="H402" s="51" t="s">
        <v>2276</v>
      </c>
      <c r="I402" s="14" t="s">
        <v>147</v>
      </c>
      <c r="J402" s="14">
        <v>42.51842362</v>
      </c>
      <c r="K402" s="14">
        <v>50.33853728</v>
      </c>
      <c r="L402" s="14">
        <v>43.27502407</v>
      </c>
      <c r="M402" s="14">
        <v>188.4312235</v>
      </c>
      <c r="N402" s="14">
        <v>187.3890475</v>
      </c>
      <c r="O402" s="14">
        <v>121.5466455</v>
      </c>
      <c r="P402" s="14" t="s">
        <v>2277</v>
      </c>
      <c r="Q402" s="14" t="s">
        <v>2278</v>
      </c>
      <c r="T402" s="14" t="s">
        <v>2279</v>
      </c>
      <c r="U402" s="14" t="s">
        <v>2280</v>
      </c>
    </row>
    <row r="403" spans="1:21">
      <c r="A403" s="14" t="s">
        <v>2281</v>
      </c>
      <c r="B403" s="14">
        <v>107.285034</v>
      </c>
      <c r="C403" s="14">
        <v>202.7551018</v>
      </c>
      <c r="D403" s="14">
        <v>11.81496619</v>
      </c>
      <c r="E403" s="14">
        <v>0.058256928</v>
      </c>
      <c r="F403" s="14">
        <v>-4.101426567</v>
      </c>
      <c r="G403" s="51" t="s">
        <v>578</v>
      </c>
      <c r="H403" s="51" t="s">
        <v>2282</v>
      </c>
      <c r="I403" s="14" t="s">
        <v>147</v>
      </c>
      <c r="J403" s="14">
        <v>0.177931949</v>
      </c>
      <c r="K403" s="14">
        <v>0.208942792</v>
      </c>
      <c r="L403" s="14">
        <v>0.142768064</v>
      </c>
      <c r="M403" s="14">
        <v>3.66638966</v>
      </c>
      <c r="N403" s="14">
        <v>3.34706935</v>
      </c>
      <c r="O403" s="14">
        <v>0.198595664</v>
      </c>
      <c r="P403" s="14" t="s">
        <v>2283</v>
      </c>
      <c r="Q403" s="14" t="s">
        <v>2284</v>
      </c>
      <c r="T403" s="14" t="s">
        <v>282</v>
      </c>
      <c r="U403" s="14" t="s">
        <v>283</v>
      </c>
    </row>
    <row r="404" spans="1:15">
      <c r="A404" s="14" t="s">
        <v>2285</v>
      </c>
      <c r="B404" s="14">
        <v>1430.150848</v>
      </c>
      <c r="C404" s="14">
        <v>1975.503043</v>
      </c>
      <c r="D404" s="14">
        <v>884.7986543</v>
      </c>
      <c r="E404" s="14">
        <v>0.447868774</v>
      </c>
      <c r="F404" s="14">
        <v>-1.158852011</v>
      </c>
      <c r="G404" s="51" t="s">
        <v>2286</v>
      </c>
      <c r="H404" s="51" t="s">
        <v>2287</v>
      </c>
      <c r="I404" s="14" t="s">
        <v>147</v>
      </c>
      <c r="J404" s="14">
        <v>32.18865726</v>
      </c>
      <c r="K404" s="14">
        <v>23.66658487</v>
      </c>
      <c r="L404" s="14">
        <v>26.29963047</v>
      </c>
      <c r="M404" s="14">
        <v>48.86461738</v>
      </c>
      <c r="N404" s="14">
        <v>46.32619986</v>
      </c>
      <c r="O404" s="14">
        <v>56.22546149</v>
      </c>
    </row>
    <row r="405" spans="1:15">
      <c r="A405" s="14" t="s">
        <v>2288</v>
      </c>
      <c r="B405" s="14">
        <v>166.4675705</v>
      </c>
      <c r="C405" s="14">
        <v>233.5568218</v>
      </c>
      <c r="D405" s="14">
        <v>99.3783193</v>
      </c>
      <c r="E405" s="14">
        <v>0.425674011</v>
      </c>
      <c r="F405" s="14">
        <v>-1.232179083</v>
      </c>
      <c r="G405" s="14">
        <v>0.00080963</v>
      </c>
      <c r="H405" s="14">
        <v>0.003040681</v>
      </c>
      <c r="I405" s="14" t="s">
        <v>147</v>
      </c>
      <c r="J405" s="14">
        <v>3.58254384</v>
      </c>
      <c r="K405" s="14">
        <v>2.950312405</v>
      </c>
      <c r="L405" s="14">
        <v>2.366151872</v>
      </c>
      <c r="M405" s="14">
        <v>7.42235718</v>
      </c>
      <c r="N405" s="14">
        <v>5.419638668</v>
      </c>
      <c r="O405" s="14">
        <v>4.163825443</v>
      </c>
    </row>
    <row r="406" spans="1:21">
      <c r="A406" s="14" t="s">
        <v>2289</v>
      </c>
      <c r="B406" s="14">
        <v>87.75156097</v>
      </c>
      <c r="C406" s="14">
        <v>126.2384969</v>
      </c>
      <c r="D406" s="14">
        <v>49.26462507</v>
      </c>
      <c r="E406" s="14">
        <v>0.389934674</v>
      </c>
      <c r="F406" s="14">
        <v>-1.358695647</v>
      </c>
      <c r="G406" s="51" t="s">
        <v>2290</v>
      </c>
      <c r="H406" s="14">
        <v>0.000105721</v>
      </c>
      <c r="I406" s="14" t="s">
        <v>147</v>
      </c>
      <c r="J406" s="14">
        <v>0.380516025</v>
      </c>
      <c r="K406" s="14">
        <v>0.399298649</v>
      </c>
      <c r="L406" s="14">
        <v>0.428742132</v>
      </c>
      <c r="M406" s="14">
        <v>0.775820412</v>
      </c>
      <c r="N406" s="14">
        <v>0.637977926</v>
      </c>
      <c r="O406" s="14">
        <v>1.165683447</v>
      </c>
      <c r="P406" s="14" t="s">
        <v>2291</v>
      </c>
      <c r="Q406" s="14" t="s">
        <v>2292</v>
      </c>
      <c r="T406" s="14" t="s">
        <v>2293</v>
      </c>
      <c r="U406" s="14" t="s">
        <v>2294</v>
      </c>
    </row>
    <row r="407" spans="1:21">
      <c r="A407" s="14" t="s">
        <v>2295</v>
      </c>
      <c r="B407" s="14">
        <v>3.930294554</v>
      </c>
      <c r="C407" s="14">
        <v>0.309088846</v>
      </c>
      <c r="D407" s="14">
        <v>7.551500262</v>
      </c>
      <c r="E407" s="14">
        <v>20.89899304</v>
      </c>
      <c r="F407" s="14">
        <v>4.385361527</v>
      </c>
      <c r="G407" s="14">
        <v>0.007676226</v>
      </c>
      <c r="H407" s="14">
        <v>0.021455612</v>
      </c>
      <c r="I407" s="14" t="s">
        <v>164</v>
      </c>
      <c r="J407" s="14">
        <v>0.497836547</v>
      </c>
      <c r="K407" s="14">
        <v>0.445410982</v>
      </c>
      <c r="L407" s="14">
        <v>0.319561093</v>
      </c>
      <c r="M407" s="14">
        <v>0</v>
      </c>
      <c r="N407" s="14">
        <v>0</v>
      </c>
      <c r="O407" s="14">
        <v>0.046304303</v>
      </c>
      <c r="P407" s="14" t="s">
        <v>2296</v>
      </c>
      <c r="Q407" s="14" t="s">
        <v>2297</v>
      </c>
      <c r="T407" s="14" t="s">
        <v>1440</v>
      </c>
      <c r="U407" s="14" t="s">
        <v>1441</v>
      </c>
    </row>
    <row r="408" spans="1:15">
      <c r="A408" s="14" t="s">
        <v>2298</v>
      </c>
      <c r="B408" s="14">
        <v>6007.492833</v>
      </c>
      <c r="C408" s="14">
        <v>8165.357086</v>
      </c>
      <c r="D408" s="14">
        <v>3849.62858</v>
      </c>
      <c r="E408" s="14">
        <v>0.471468893</v>
      </c>
      <c r="F408" s="14">
        <v>-1.08476551</v>
      </c>
      <c r="G408" s="51" t="s">
        <v>2299</v>
      </c>
      <c r="H408" s="51" t="s">
        <v>2300</v>
      </c>
      <c r="I408" s="14" t="s">
        <v>147</v>
      </c>
      <c r="J408" s="14">
        <v>79.34505792</v>
      </c>
      <c r="K408" s="14">
        <v>94.51122401</v>
      </c>
      <c r="L408" s="14">
        <v>75.79887786</v>
      </c>
      <c r="M408" s="14">
        <v>164.1432811</v>
      </c>
      <c r="N408" s="14">
        <v>157.5463637</v>
      </c>
      <c r="O408" s="14">
        <v>109.7306706</v>
      </c>
    </row>
    <row r="409" spans="1:15">
      <c r="A409" s="14" t="s">
        <v>2301</v>
      </c>
      <c r="B409" s="14">
        <v>111.1140456</v>
      </c>
      <c r="C409" s="14">
        <v>156.8731408</v>
      </c>
      <c r="D409" s="14">
        <v>65.3549504</v>
      </c>
      <c r="E409" s="14">
        <v>0.416811711</v>
      </c>
      <c r="F409" s="14">
        <v>-1.262532281</v>
      </c>
      <c r="G409" s="14">
        <v>0.014933975</v>
      </c>
      <c r="H409" s="14">
        <v>0.037964735</v>
      </c>
      <c r="I409" s="14" t="s">
        <v>147</v>
      </c>
      <c r="J409" s="14">
        <v>0.493471327</v>
      </c>
      <c r="K409" s="14">
        <v>0.948233294</v>
      </c>
      <c r="L409" s="14">
        <v>0.77749951</v>
      </c>
      <c r="M409" s="14">
        <v>1.420165794</v>
      </c>
      <c r="N409" s="14">
        <v>2.117368311</v>
      </c>
      <c r="O409" s="14">
        <v>0.769839496</v>
      </c>
    </row>
    <row r="410" spans="1:15">
      <c r="A410" s="14" t="s">
        <v>2302</v>
      </c>
      <c r="B410" s="14">
        <v>833.9877402</v>
      </c>
      <c r="C410" s="14">
        <v>1129.342829</v>
      </c>
      <c r="D410" s="14">
        <v>538.6326511</v>
      </c>
      <c r="E410" s="14">
        <v>0.476963804</v>
      </c>
      <c r="F410" s="14">
        <v>-1.068048308</v>
      </c>
      <c r="G410" s="51" t="s">
        <v>2303</v>
      </c>
      <c r="H410" s="51" t="s">
        <v>2304</v>
      </c>
      <c r="I410" s="14" t="s">
        <v>147</v>
      </c>
      <c r="J410" s="14">
        <v>3.738695845</v>
      </c>
      <c r="K410" s="14">
        <v>3.916854741</v>
      </c>
      <c r="L410" s="14">
        <v>4.216109565</v>
      </c>
      <c r="M410" s="14">
        <v>6.876815623</v>
      </c>
      <c r="N410" s="14">
        <v>5.678019239</v>
      </c>
      <c r="O410" s="14">
        <v>8.01899386</v>
      </c>
    </row>
    <row r="411" spans="1:15">
      <c r="A411" s="14" t="s">
        <v>2305</v>
      </c>
      <c r="B411" s="14">
        <v>1566.795832</v>
      </c>
      <c r="C411" s="14">
        <v>2536.092615</v>
      </c>
      <c r="D411" s="14">
        <v>597.4990498</v>
      </c>
      <c r="E411" s="14">
        <v>0.235604779</v>
      </c>
      <c r="F411" s="14">
        <v>-2.085559291</v>
      </c>
      <c r="G411" s="51" t="s">
        <v>2306</v>
      </c>
      <c r="H411" s="51" t="s">
        <v>2307</v>
      </c>
      <c r="I411" s="14" t="s">
        <v>147</v>
      </c>
      <c r="J411" s="14">
        <v>10.05653108</v>
      </c>
      <c r="K411" s="14">
        <v>12.32809112</v>
      </c>
      <c r="L411" s="14">
        <v>9.563803184</v>
      </c>
      <c r="M411" s="14">
        <v>43.41474077</v>
      </c>
      <c r="N411" s="14">
        <v>43.27613964</v>
      </c>
      <c r="O411" s="14">
        <v>23.25763578</v>
      </c>
    </row>
    <row r="412" spans="1:15">
      <c r="A412" s="14" t="s">
        <v>2308</v>
      </c>
      <c r="B412" s="14">
        <v>4071.639219</v>
      </c>
      <c r="C412" s="14">
        <v>5529.208578</v>
      </c>
      <c r="D412" s="14">
        <v>2614.069859</v>
      </c>
      <c r="E412" s="14">
        <v>0.472781583</v>
      </c>
      <c r="F412" s="14">
        <v>-1.080754258</v>
      </c>
      <c r="G412" s="51" t="s">
        <v>2309</v>
      </c>
      <c r="H412" s="51" t="s">
        <v>261</v>
      </c>
      <c r="I412" s="14" t="s">
        <v>147</v>
      </c>
      <c r="J412" s="14">
        <v>21.19944763</v>
      </c>
      <c r="K412" s="14">
        <v>27.20468906</v>
      </c>
      <c r="L412" s="14">
        <v>21.02042905</v>
      </c>
      <c r="M412" s="14">
        <v>42.51759112</v>
      </c>
      <c r="N412" s="14">
        <v>42.64961121</v>
      </c>
      <c r="O412" s="14">
        <v>35.04385076</v>
      </c>
    </row>
    <row r="413" spans="1:15">
      <c r="A413" s="14" t="s">
        <v>2310</v>
      </c>
      <c r="B413" s="14">
        <v>1246.413837</v>
      </c>
      <c r="C413" s="14">
        <v>1695.659918</v>
      </c>
      <c r="D413" s="14">
        <v>797.1677565</v>
      </c>
      <c r="E413" s="14">
        <v>0.470289249</v>
      </c>
      <c r="F413" s="14">
        <v>-1.088379742</v>
      </c>
      <c r="G413" s="51" t="s">
        <v>2311</v>
      </c>
      <c r="H413" s="51" t="s">
        <v>2312</v>
      </c>
      <c r="I413" s="14" t="s">
        <v>147</v>
      </c>
      <c r="J413" s="14">
        <v>10.33053684</v>
      </c>
      <c r="K413" s="14">
        <v>10.09679257</v>
      </c>
      <c r="L413" s="14">
        <v>10.99905276</v>
      </c>
      <c r="M413" s="14">
        <v>18.93541328</v>
      </c>
      <c r="N413" s="14">
        <v>18.03812385</v>
      </c>
      <c r="O413" s="14">
        <v>17.88350461</v>
      </c>
    </row>
    <row r="414" spans="1:21">
      <c r="A414" s="14" t="s">
        <v>2313</v>
      </c>
      <c r="B414" s="14">
        <v>76.75128712</v>
      </c>
      <c r="C414" s="14">
        <v>39.3683903</v>
      </c>
      <c r="D414" s="14">
        <v>114.1341839</v>
      </c>
      <c r="E414" s="14">
        <v>2.895984607</v>
      </c>
      <c r="F414" s="14">
        <v>1.534053934</v>
      </c>
      <c r="G414" s="14">
        <v>0.001254731</v>
      </c>
      <c r="H414" s="14">
        <v>0.004464746</v>
      </c>
      <c r="I414" s="14" t="s">
        <v>164</v>
      </c>
      <c r="J414" s="14">
        <v>1.161695901</v>
      </c>
      <c r="K414" s="14">
        <v>1.98777876</v>
      </c>
      <c r="L414" s="14">
        <v>1.304961285</v>
      </c>
      <c r="M414" s="14">
        <v>0.242963321</v>
      </c>
      <c r="N414" s="14">
        <v>0.614521763</v>
      </c>
      <c r="O414" s="14">
        <v>0.410592142</v>
      </c>
      <c r="P414" s="14" t="s">
        <v>2314</v>
      </c>
      <c r="Q414" s="14" t="s">
        <v>2315</v>
      </c>
      <c r="T414" s="14" t="s">
        <v>2316</v>
      </c>
      <c r="U414" s="14" t="s">
        <v>2317</v>
      </c>
    </row>
    <row r="415" spans="1:21">
      <c r="A415" s="14" t="s">
        <v>2318</v>
      </c>
      <c r="B415" s="14">
        <v>5.079943915</v>
      </c>
      <c r="C415" s="14">
        <v>0.338987876</v>
      </c>
      <c r="D415" s="14">
        <v>9.820899955</v>
      </c>
      <c r="E415" s="14">
        <v>27.18996331</v>
      </c>
      <c r="F415" s="14">
        <v>4.7650023</v>
      </c>
      <c r="G415" s="14">
        <v>0.002262418</v>
      </c>
      <c r="H415" s="14">
        <v>0.007463048</v>
      </c>
      <c r="I415" s="14" t="s">
        <v>164</v>
      </c>
      <c r="J415" s="14">
        <v>0.159345862</v>
      </c>
      <c r="K415" s="14">
        <v>0.120289777</v>
      </c>
      <c r="L415" s="14">
        <v>0.115069555</v>
      </c>
      <c r="M415" s="14">
        <v>0</v>
      </c>
      <c r="N415" s="14">
        <v>0.010899809</v>
      </c>
      <c r="O415" s="14">
        <v>0</v>
      </c>
      <c r="P415" s="14" t="s">
        <v>2319</v>
      </c>
      <c r="Q415" s="14" t="s">
        <v>2320</v>
      </c>
      <c r="T415" s="14" t="s">
        <v>2321</v>
      </c>
      <c r="U415" s="14" t="s">
        <v>2322</v>
      </c>
    </row>
    <row r="416" spans="1:21">
      <c r="A416" s="14" t="s">
        <v>2323</v>
      </c>
      <c r="B416" s="14">
        <v>377.8506667</v>
      </c>
      <c r="C416" s="14">
        <v>32.57000381</v>
      </c>
      <c r="D416" s="14">
        <v>723.1313296</v>
      </c>
      <c r="E416" s="14">
        <v>22.0968253</v>
      </c>
      <c r="F416" s="14">
        <v>4.465767204</v>
      </c>
      <c r="G416" s="51" t="s">
        <v>2324</v>
      </c>
      <c r="H416" s="51" t="s">
        <v>2325</v>
      </c>
      <c r="I416" s="14" t="s">
        <v>164</v>
      </c>
      <c r="J416" s="14">
        <v>13.17349297</v>
      </c>
      <c r="K416" s="14">
        <v>6.660308956</v>
      </c>
      <c r="L416" s="14">
        <v>13.48780569</v>
      </c>
      <c r="M416" s="14">
        <v>0.246719176</v>
      </c>
      <c r="N416" s="14">
        <v>0.274071089</v>
      </c>
      <c r="O416" s="14">
        <v>0.749566761</v>
      </c>
      <c r="P416" s="14" t="s">
        <v>2326</v>
      </c>
      <c r="Q416" s="14" t="s">
        <v>2327</v>
      </c>
      <c r="R416" s="14" t="s">
        <v>1043</v>
      </c>
      <c r="S416" s="14" t="s">
        <v>1044</v>
      </c>
      <c r="T416" s="14" t="s">
        <v>2328</v>
      </c>
      <c r="U416" s="14" t="s">
        <v>2329</v>
      </c>
    </row>
    <row r="417" spans="1:15">
      <c r="A417" s="14" t="s">
        <v>2330</v>
      </c>
      <c r="B417" s="14">
        <v>7.346090189</v>
      </c>
      <c r="C417" s="14">
        <v>14.35590538</v>
      </c>
      <c r="D417" s="14">
        <v>0.336274994</v>
      </c>
      <c r="E417" s="14">
        <v>0.024494246</v>
      </c>
      <c r="F417" s="14">
        <v>-5.351413307</v>
      </c>
      <c r="G417" s="14">
        <v>0.000977933</v>
      </c>
      <c r="H417" s="14">
        <v>0.003598412</v>
      </c>
      <c r="I417" s="14" t="s">
        <v>147</v>
      </c>
      <c r="J417" s="14">
        <v>0</v>
      </c>
      <c r="K417" s="14">
        <v>0.063684618</v>
      </c>
      <c r="L417" s="14">
        <v>0</v>
      </c>
      <c r="M417" s="14">
        <v>0.703751478</v>
      </c>
      <c r="N417" s="14">
        <v>1.194524451</v>
      </c>
      <c r="O417" s="14">
        <v>0.317787069</v>
      </c>
    </row>
    <row r="418" spans="1:21">
      <c r="A418" s="14" t="s">
        <v>2331</v>
      </c>
      <c r="B418" s="14">
        <v>481.6880581</v>
      </c>
      <c r="C418" s="14">
        <v>201.9294025</v>
      </c>
      <c r="D418" s="14">
        <v>761.4467138</v>
      </c>
      <c r="E418" s="14">
        <v>3.771735548</v>
      </c>
      <c r="F418" s="14">
        <v>1.915228526</v>
      </c>
      <c r="G418" s="51" t="s">
        <v>2332</v>
      </c>
      <c r="H418" s="51" t="s">
        <v>2333</v>
      </c>
      <c r="I418" s="14" t="s">
        <v>164</v>
      </c>
      <c r="J418" s="14">
        <v>3.291135812</v>
      </c>
      <c r="K418" s="14">
        <v>2.273515629</v>
      </c>
      <c r="L418" s="14">
        <v>2.883352881</v>
      </c>
      <c r="M418" s="14">
        <v>0.526215311</v>
      </c>
      <c r="N418" s="14">
        <v>0.733221625</v>
      </c>
      <c r="O418" s="14">
        <v>0.57919527</v>
      </c>
      <c r="P418" s="14" t="s">
        <v>2334</v>
      </c>
      <c r="Q418" s="14" t="s">
        <v>2335</v>
      </c>
      <c r="T418" s="14" t="s">
        <v>2336</v>
      </c>
      <c r="U418" s="14" t="s">
        <v>2337</v>
      </c>
    </row>
    <row r="419" spans="1:21">
      <c r="A419" s="14" t="s">
        <v>2338</v>
      </c>
      <c r="B419" s="14">
        <v>5.450649472</v>
      </c>
      <c r="C419" s="14">
        <v>10.25233269</v>
      </c>
      <c r="D419" s="14">
        <v>0.648966256</v>
      </c>
      <c r="E419" s="14">
        <v>0.063471052</v>
      </c>
      <c r="F419" s="14">
        <v>-3.977757427</v>
      </c>
      <c r="G419" s="14">
        <v>0.009387458</v>
      </c>
      <c r="H419" s="14">
        <v>0.025582667</v>
      </c>
      <c r="I419" s="14" t="s">
        <v>147</v>
      </c>
      <c r="J419" s="14">
        <v>0</v>
      </c>
      <c r="K419" s="14">
        <v>0.033326001</v>
      </c>
      <c r="L419" s="14">
        <v>0.031879751</v>
      </c>
      <c r="M419" s="14">
        <v>0.311614247</v>
      </c>
      <c r="N419" s="14">
        <v>0.081533693</v>
      </c>
      <c r="O419" s="14">
        <v>0.471175332</v>
      </c>
      <c r="P419" s="14" t="s">
        <v>2339</v>
      </c>
      <c r="Q419" s="14" t="s">
        <v>2340</v>
      </c>
      <c r="T419" s="14" t="s">
        <v>2341</v>
      </c>
      <c r="U419" s="14" t="s">
        <v>2342</v>
      </c>
    </row>
    <row r="420" spans="1:21">
      <c r="A420" s="14" t="s">
        <v>2343</v>
      </c>
      <c r="B420" s="14">
        <v>770.8242591</v>
      </c>
      <c r="C420" s="14">
        <v>1083.030392</v>
      </c>
      <c r="D420" s="14">
        <v>458.6181261</v>
      </c>
      <c r="E420" s="14">
        <v>0.423390849</v>
      </c>
      <c r="F420" s="14">
        <v>-1.239938007</v>
      </c>
      <c r="G420" s="51" t="s">
        <v>2344</v>
      </c>
      <c r="H420" s="14">
        <v>0.000304878</v>
      </c>
      <c r="I420" s="14" t="s">
        <v>147</v>
      </c>
      <c r="J420" s="14">
        <v>4.492044561</v>
      </c>
      <c r="K420" s="14">
        <v>8.363825233</v>
      </c>
      <c r="L420" s="14">
        <v>7.075026324</v>
      </c>
      <c r="M420" s="14">
        <v>10.79336041</v>
      </c>
      <c r="N420" s="14">
        <v>10.56699465</v>
      </c>
      <c r="O420" s="14">
        <v>17.91242774</v>
      </c>
      <c r="P420" s="14" t="s">
        <v>2345</v>
      </c>
      <c r="Q420" s="14" t="s">
        <v>2346</v>
      </c>
      <c r="T420" s="14" t="s">
        <v>2347</v>
      </c>
      <c r="U420" s="14" t="s">
        <v>2348</v>
      </c>
    </row>
    <row r="421" spans="1:21">
      <c r="A421" s="14" t="s">
        <v>2349</v>
      </c>
      <c r="B421" s="14">
        <v>367.6995056</v>
      </c>
      <c r="C421" s="14">
        <v>110.0660912</v>
      </c>
      <c r="D421" s="14">
        <v>625.33292</v>
      </c>
      <c r="E421" s="14">
        <v>5.687073986</v>
      </c>
      <c r="F421" s="14">
        <v>2.507686573</v>
      </c>
      <c r="G421" s="51" t="s">
        <v>2350</v>
      </c>
      <c r="H421" s="51" t="s">
        <v>2351</v>
      </c>
      <c r="I421" s="14" t="s">
        <v>164</v>
      </c>
      <c r="J421" s="14">
        <v>3.936551121</v>
      </c>
      <c r="K421" s="14">
        <v>2.386837896</v>
      </c>
      <c r="L421" s="14">
        <v>3.60381491</v>
      </c>
      <c r="M421" s="14">
        <v>0.456842304</v>
      </c>
      <c r="N421" s="14">
        <v>0.562896667</v>
      </c>
      <c r="O421" s="14">
        <v>0.407528601</v>
      </c>
      <c r="P421" s="14" t="s">
        <v>2352</v>
      </c>
      <c r="Q421" s="14" t="s">
        <v>2353</v>
      </c>
      <c r="T421" s="14" t="s">
        <v>2354</v>
      </c>
      <c r="U421" s="14" t="s">
        <v>2355</v>
      </c>
    </row>
    <row r="422" spans="1:21">
      <c r="A422" s="14" t="s">
        <v>2356</v>
      </c>
      <c r="B422" s="14">
        <v>188.8536034</v>
      </c>
      <c r="C422" s="14">
        <v>61.86855347</v>
      </c>
      <c r="D422" s="14">
        <v>315.8386534</v>
      </c>
      <c r="E422" s="14">
        <v>5.090336474</v>
      </c>
      <c r="F422" s="14">
        <v>2.347761022</v>
      </c>
      <c r="G422" s="51" t="s">
        <v>2357</v>
      </c>
      <c r="H422" s="51" t="s">
        <v>2358</v>
      </c>
      <c r="I422" s="14" t="s">
        <v>164</v>
      </c>
      <c r="J422" s="14">
        <v>3.773049333</v>
      </c>
      <c r="K422" s="14">
        <v>5.932045743</v>
      </c>
      <c r="L422" s="14">
        <v>4.266520012</v>
      </c>
      <c r="M422" s="14">
        <v>0.513008688</v>
      </c>
      <c r="N422" s="14">
        <v>0.516179271</v>
      </c>
      <c r="O422" s="14">
        <v>1.285402577</v>
      </c>
      <c r="P422" s="14" t="s">
        <v>2359</v>
      </c>
      <c r="Q422" s="14" t="s">
        <v>2360</v>
      </c>
      <c r="R422" s="14" t="s">
        <v>2361</v>
      </c>
      <c r="S422" s="14" t="s">
        <v>2362</v>
      </c>
      <c r="T422" s="14" t="s">
        <v>2363</v>
      </c>
      <c r="U422" s="14" t="s">
        <v>2364</v>
      </c>
    </row>
    <row r="423" spans="1:21">
      <c r="A423" s="14" t="s">
        <v>2365</v>
      </c>
      <c r="B423" s="14">
        <v>323.5123509</v>
      </c>
      <c r="C423" s="14">
        <v>432.9703113</v>
      </c>
      <c r="D423" s="14">
        <v>214.0543904</v>
      </c>
      <c r="E423" s="14">
        <v>0.49466092</v>
      </c>
      <c r="F423" s="14">
        <v>-1.015488168</v>
      </c>
      <c r="G423" s="14">
        <v>0.007266516</v>
      </c>
      <c r="H423" s="14">
        <v>0.020484008</v>
      </c>
      <c r="I423" s="14" t="s">
        <v>147</v>
      </c>
      <c r="J423" s="14">
        <v>1.590230947</v>
      </c>
      <c r="K423" s="14">
        <v>1.996272575</v>
      </c>
      <c r="L423" s="14">
        <v>2.210709628</v>
      </c>
      <c r="M423" s="14">
        <v>3.928903876</v>
      </c>
      <c r="N423" s="14">
        <v>3.637317411</v>
      </c>
      <c r="O423" s="14">
        <v>1.907029752</v>
      </c>
      <c r="P423" s="14" t="s">
        <v>2352</v>
      </c>
      <c r="Q423" s="14" t="s">
        <v>2353</v>
      </c>
      <c r="T423" s="14" t="s">
        <v>2354</v>
      </c>
      <c r="U423" s="14" t="s">
        <v>2355</v>
      </c>
    </row>
    <row r="424" spans="1:21">
      <c r="A424" s="14" t="s">
        <v>2366</v>
      </c>
      <c r="B424" s="14">
        <v>6856.771871</v>
      </c>
      <c r="C424" s="14">
        <v>13146.35385</v>
      </c>
      <c r="D424" s="14">
        <v>567.1898865</v>
      </c>
      <c r="E424" s="14">
        <v>0.04314211</v>
      </c>
      <c r="F424" s="14">
        <v>-4.534759458</v>
      </c>
      <c r="G424" s="51" t="s">
        <v>2367</v>
      </c>
      <c r="H424" s="51" t="s">
        <v>2368</v>
      </c>
      <c r="I424" s="14" t="s">
        <v>147</v>
      </c>
      <c r="J424" s="14">
        <v>2.725381282</v>
      </c>
      <c r="K424" s="14">
        <v>6.630568476</v>
      </c>
      <c r="L424" s="14">
        <v>3.122295898</v>
      </c>
      <c r="M424" s="14">
        <v>101.827041</v>
      </c>
      <c r="N424" s="14">
        <v>100.3168651</v>
      </c>
      <c r="O424" s="14">
        <v>30.60390585</v>
      </c>
      <c r="P424" s="14" t="s">
        <v>2369</v>
      </c>
      <c r="Q424" s="14" t="s">
        <v>2370</v>
      </c>
      <c r="R424" s="14" t="s">
        <v>771</v>
      </c>
      <c r="S424" s="14" t="s">
        <v>772</v>
      </c>
      <c r="T424" s="14" t="s">
        <v>2371</v>
      </c>
      <c r="U424" s="14" t="s">
        <v>2372</v>
      </c>
    </row>
    <row r="425" spans="1:21">
      <c r="A425" s="14" t="s">
        <v>2373</v>
      </c>
      <c r="B425" s="14">
        <v>2043.581952</v>
      </c>
      <c r="C425" s="14">
        <v>2858.410055</v>
      </c>
      <c r="D425" s="14">
        <v>1228.75385</v>
      </c>
      <c r="E425" s="14">
        <v>0.429926333</v>
      </c>
      <c r="F425" s="14">
        <v>-1.217838617</v>
      </c>
      <c r="G425" s="51" t="s">
        <v>2374</v>
      </c>
      <c r="H425" s="51" t="s">
        <v>2375</v>
      </c>
      <c r="I425" s="14" t="s">
        <v>147</v>
      </c>
      <c r="J425" s="14">
        <v>7.828334329</v>
      </c>
      <c r="K425" s="14">
        <v>9.864352536</v>
      </c>
      <c r="L425" s="14">
        <v>10.11953509</v>
      </c>
      <c r="M425" s="14">
        <v>18.52143149</v>
      </c>
      <c r="N425" s="14">
        <v>19.44301677</v>
      </c>
      <c r="O425" s="14">
        <v>14.86326954</v>
      </c>
      <c r="P425" s="14" t="s">
        <v>2376</v>
      </c>
      <c r="Q425" s="14" t="s">
        <v>2377</v>
      </c>
      <c r="T425" s="14" t="s">
        <v>2378</v>
      </c>
      <c r="U425" s="14" t="s">
        <v>2379</v>
      </c>
    </row>
    <row r="426" spans="1:21">
      <c r="A426" s="14" t="s">
        <v>2380</v>
      </c>
      <c r="B426" s="14">
        <v>37.43873266</v>
      </c>
      <c r="C426" s="14">
        <v>59.01217123</v>
      </c>
      <c r="D426" s="14">
        <v>15.86529408</v>
      </c>
      <c r="E426" s="14">
        <v>0.268123732</v>
      </c>
      <c r="F426" s="14">
        <v>-1.899029175</v>
      </c>
      <c r="G426" s="14">
        <v>0.000405087</v>
      </c>
      <c r="H426" s="14">
        <v>0.001650461</v>
      </c>
      <c r="I426" s="14" t="s">
        <v>147</v>
      </c>
      <c r="J426" s="14">
        <v>0.038196962</v>
      </c>
      <c r="K426" s="14">
        <v>0.042493371</v>
      </c>
      <c r="L426" s="14">
        <v>0.015485441</v>
      </c>
      <c r="M426" s="14">
        <v>0.091163119</v>
      </c>
      <c r="N426" s="14">
        <v>0.117163651</v>
      </c>
      <c r="O426" s="14">
        <v>0.085826714</v>
      </c>
      <c r="P426" s="14" t="s">
        <v>2381</v>
      </c>
      <c r="Q426" s="14" t="s">
        <v>2382</v>
      </c>
      <c r="T426" s="14" t="s">
        <v>2383</v>
      </c>
      <c r="U426" s="14" t="s">
        <v>2384</v>
      </c>
    </row>
    <row r="427" spans="1:21">
      <c r="A427" s="14" t="s">
        <v>2385</v>
      </c>
      <c r="B427" s="14">
        <v>4541.784966</v>
      </c>
      <c r="C427" s="14">
        <v>6535.438634</v>
      </c>
      <c r="D427" s="14">
        <v>2548.131298</v>
      </c>
      <c r="E427" s="14">
        <v>0.389899286</v>
      </c>
      <c r="F427" s="14">
        <v>-1.358826581</v>
      </c>
      <c r="G427" s="51" t="s">
        <v>1225</v>
      </c>
      <c r="H427" s="51" t="s">
        <v>1226</v>
      </c>
      <c r="I427" s="14" t="s">
        <v>147</v>
      </c>
      <c r="J427" s="14">
        <v>33.61662487</v>
      </c>
      <c r="K427" s="14">
        <v>27.01231655</v>
      </c>
      <c r="L427" s="14">
        <v>22.71676644</v>
      </c>
      <c r="M427" s="14">
        <v>65.19371707</v>
      </c>
      <c r="N427" s="14">
        <v>66.72599117</v>
      </c>
      <c r="O427" s="14">
        <v>42.0703955</v>
      </c>
      <c r="P427" s="14" t="s">
        <v>2386</v>
      </c>
      <c r="Q427" s="14" t="s">
        <v>2387</v>
      </c>
      <c r="T427" s="14" t="s">
        <v>2388</v>
      </c>
      <c r="U427" s="14" t="s">
        <v>2389</v>
      </c>
    </row>
    <row r="428" spans="1:21">
      <c r="A428" s="14" t="s">
        <v>2390</v>
      </c>
      <c r="B428" s="14">
        <v>80.8583627</v>
      </c>
      <c r="C428" s="14">
        <v>0.309088846</v>
      </c>
      <c r="D428" s="14">
        <v>161.4076366</v>
      </c>
      <c r="E428" s="14">
        <v>447.0100451</v>
      </c>
      <c r="F428" s="14">
        <v>8.804163441</v>
      </c>
      <c r="G428" s="51" t="s">
        <v>2391</v>
      </c>
      <c r="H428" s="51" t="s">
        <v>2187</v>
      </c>
      <c r="I428" s="14" t="s">
        <v>164</v>
      </c>
      <c r="J428" s="14">
        <v>3.105501191</v>
      </c>
      <c r="K428" s="14">
        <v>0.138923543</v>
      </c>
      <c r="L428" s="14">
        <v>1.585243563</v>
      </c>
      <c r="M428" s="14">
        <v>0</v>
      </c>
      <c r="N428" s="14">
        <v>0</v>
      </c>
      <c r="O428" s="14">
        <v>0.008252741</v>
      </c>
      <c r="P428" s="14" t="s">
        <v>2352</v>
      </c>
      <c r="Q428" s="14" t="s">
        <v>2353</v>
      </c>
      <c r="T428" s="14" t="s">
        <v>2354</v>
      </c>
      <c r="U428" s="14" t="s">
        <v>2355</v>
      </c>
    </row>
    <row r="429" spans="1:21">
      <c r="A429" s="14" t="s">
        <v>2392</v>
      </c>
      <c r="B429" s="14">
        <v>356.8340787</v>
      </c>
      <c r="C429" s="14">
        <v>483.511067</v>
      </c>
      <c r="D429" s="14">
        <v>230.1570904</v>
      </c>
      <c r="E429" s="14">
        <v>0.475952635</v>
      </c>
      <c r="F429" s="14">
        <v>-1.071110085</v>
      </c>
      <c r="G429" s="51" t="s">
        <v>2393</v>
      </c>
      <c r="H429" s="51" t="s">
        <v>2394</v>
      </c>
      <c r="I429" s="14" t="s">
        <v>147</v>
      </c>
      <c r="J429" s="14">
        <v>0.748475959</v>
      </c>
      <c r="K429" s="14">
        <v>1.095095265</v>
      </c>
      <c r="L429" s="14">
        <v>0.843257793</v>
      </c>
      <c r="M429" s="14">
        <v>1.584475211</v>
      </c>
      <c r="N429" s="14">
        <v>1.45044388</v>
      </c>
      <c r="O429" s="14">
        <v>1.614816653</v>
      </c>
      <c r="P429" s="14" t="s">
        <v>2395</v>
      </c>
      <c r="Q429" s="14" t="s">
        <v>2396</v>
      </c>
      <c r="T429" s="14" t="s">
        <v>2397</v>
      </c>
      <c r="U429" s="14" t="s">
        <v>2398</v>
      </c>
    </row>
    <row r="430" spans="1:21">
      <c r="A430" s="14" t="s">
        <v>2399</v>
      </c>
      <c r="B430" s="14">
        <v>20.75176243</v>
      </c>
      <c r="C430" s="14">
        <v>34.06535191</v>
      </c>
      <c r="D430" s="14">
        <v>7.438172958</v>
      </c>
      <c r="E430" s="14">
        <v>0.218768761</v>
      </c>
      <c r="F430" s="14">
        <v>-2.19252135</v>
      </c>
      <c r="G430" s="14">
        <v>0.000889345</v>
      </c>
      <c r="H430" s="14">
        <v>0.003303838</v>
      </c>
      <c r="I430" s="14" t="s">
        <v>147</v>
      </c>
      <c r="J430" s="14">
        <v>0.292099089</v>
      </c>
      <c r="K430" s="14">
        <v>0.147003229</v>
      </c>
      <c r="L430" s="14">
        <v>0.386715235</v>
      </c>
      <c r="M430" s="14">
        <v>0.593556278</v>
      </c>
      <c r="N430" s="14">
        <v>1.228806215</v>
      </c>
      <c r="O430" s="14">
        <v>1.314273531</v>
      </c>
      <c r="P430" s="14" t="s">
        <v>2400</v>
      </c>
      <c r="Q430" s="14" t="s">
        <v>2401</v>
      </c>
      <c r="R430" s="14" t="s">
        <v>2402</v>
      </c>
      <c r="S430" s="14" t="s">
        <v>2403</v>
      </c>
      <c r="T430" s="14" t="s">
        <v>2404</v>
      </c>
      <c r="U430" s="14" t="s">
        <v>2405</v>
      </c>
    </row>
    <row r="431" spans="1:21">
      <c r="A431" s="14" t="s">
        <v>2406</v>
      </c>
      <c r="B431" s="14">
        <v>6881.001163</v>
      </c>
      <c r="C431" s="14">
        <v>10037.29863</v>
      </c>
      <c r="D431" s="14">
        <v>3724.703691</v>
      </c>
      <c r="E431" s="14">
        <v>0.371098198</v>
      </c>
      <c r="F431" s="14">
        <v>-1.4301271</v>
      </c>
      <c r="G431" s="51" t="s">
        <v>2407</v>
      </c>
      <c r="H431" s="51" t="s">
        <v>2408</v>
      </c>
      <c r="I431" s="14" t="s">
        <v>147</v>
      </c>
      <c r="J431" s="14">
        <v>22.30967719</v>
      </c>
      <c r="K431" s="14">
        <v>25.17779747</v>
      </c>
      <c r="L431" s="14">
        <v>23.96317417</v>
      </c>
      <c r="M431" s="14">
        <v>56.25606803</v>
      </c>
      <c r="N431" s="14">
        <v>56.46158872</v>
      </c>
      <c r="O431" s="14">
        <v>44.59936314</v>
      </c>
      <c r="P431" s="14" t="s">
        <v>2409</v>
      </c>
      <c r="Q431" s="14" t="s">
        <v>2410</v>
      </c>
      <c r="T431" s="14" t="s">
        <v>2411</v>
      </c>
      <c r="U431" s="14" t="s">
        <v>2412</v>
      </c>
    </row>
    <row r="432" spans="1:21">
      <c r="A432" s="14" t="s">
        <v>2413</v>
      </c>
      <c r="B432" s="14">
        <v>197.3826653</v>
      </c>
      <c r="C432" s="14">
        <v>44.78640551</v>
      </c>
      <c r="D432" s="14">
        <v>349.9789251</v>
      </c>
      <c r="E432" s="14">
        <v>7.798108439</v>
      </c>
      <c r="F432" s="14">
        <v>2.963124217</v>
      </c>
      <c r="G432" s="14">
        <v>0.001743435</v>
      </c>
      <c r="H432" s="14">
        <v>0.005950528</v>
      </c>
      <c r="I432" s="14" t="s">
        <v>164</v>
      </c>
      <c r="J432" s="14">
        <v>11.75698835</v>
      </c>
      <c r="K432" s="14">
        <v>4.334710604</v>
      </c>
      <c r="L432" s="14">
        <v>6.738220008</v>
      </c>
      <c r="M432" s="14">
        <v>0.239505165</v>
      </c>
      <c r="N432" s="14">
        <v>0.123725954</v>
      </c>
      <c r="O432" s="14">
        <v>2.199076641</v>
      </c>
      <c r="P432" s="14" t="s">
        <v>2414</v>
      </c>
      <c r="Q432" s="14" t="s">
        <v>2415</v>
      </c>
      <c r="T432" s="14" t="s">
        <v>2416</v>
      </c>
      <c r="U432" s="14" t="s">
        <v>2417</v>
      </c>
    </row>
    <row r="433" spans="1:21">
      <c r="A433" s="14" t="s">
        <v>2418</v>
      </c>
      <c r="B433" s="14">
        <v>2240.818674</v>
      </c>
      <c r="C433" s="14">
        <v>3500.575046</v>
      </c>
      <c r="D433" s="14">
        <v>981.0623029</v>
      </c>
      <c r="E433" s="14">
        <v>0.280270754</v>
      </c>
      <c r="F433" s="14">
        <v>-1.835106888</v>
      </c>
      <c r="G433" s="51" t="s">
        <v>2419</v>
      </c>
      <c r="H433" s="51" t="s">
        <v>2420</v>
      </c>
      <c r="I433" s="14" t="s">
        <v>147</v>
      </c>
      <c r="J433" s="14">
        <v>17.39676195</v>
      </c>
      <c r="K433" s="14">
        <v>28.6018288</v>
      </c>
      <c r="L433" s="14">
        <v>23.63576036</v>
      </c>
      <c r="M433" s="14">
        <v>79.23730521</v>
      </c>
      <c r="N433" s="14">
        <v>74.72935476</v>
      </c>
      <c r="O433" s="14">
        <v>47.92777466</v>
      </c>
      <c r="P433" s="14" t="s">
        <v>2421</v>
      </c>
      <c r="Q433" s="14" t="s">
        <v>2422</v>
      </c>
      <c r="T433" s="14" t="s">
        <v>2423</v>
      </c>
      <c r="U433" s="14" t="s">
        <v>2424</v>
      </c>
    </row>
    <row r="434" spans="1:15">
      <c r="A434" s="14" t="s">
        <v>2425</v>
      </c>
      <c r="B434" s="14">
        <v>287.4808448</v>
      </c>
      <c r="C434" s="14">
        <v>144.3625116</v>
      </c>
      <c r="D434" s="14">
        <v>430.599178</v>
      </c>
      <c r="E434" s="14">
        <v>2.977695879</v>
      </c>
      <c r="F434" s="14">
        <v>1.574196415</v>
      </c>
      <c r="G434" s="51" t="s">
        <v>2426</v>
      </c>
      <c r="H434" s="51" t="s">
        <v>2427</v>
      </c>
      <c r="I434" s="14" t="s">
        <v>164</v>
      </c>
      <c r="J434" s="14">
        <v>5.919260431</v>
      </c>
      <c r="K434" s="14">
        <v>5.170089298</v>
      </c>
      <c r="L434" s="14">
        <v>4.851518406</v>
      </c>
      <c r="M434" s="14">
        <v>1.130092332</v>
      </c>
      <c r="N434" s="14">
        <v>1.515857442</v>
      </c>
      <c r="O434" s="14">
        <v>1.791584204</v>
      </c>
    </row>
    <row r="435" spans="1:21">
      <c r="A435" s="14" t="s">
        <v>2428</v>
      </c>
      <c r="B435" s="14">
        <v>9247.58525</v>
      </c>
      <c r="C435" s="14">
        <v>13241.8476</v>
      </c>
      <c r="D435" s="14">
        <v>5253.322903</v>
      </c>
      <c r="E435" s="14">
        <v>0.396705716</v>
      </c>
      <c r="F435" s="14">
        <v>-1.333858911</v>
      </c>
      <c r="G435" s="51" t="s">
        <v>2429</v>
      </c>
      <c r="H435" s="51" t="s">
        <v>2430</v>
      </c>
      <c r="I435" s="14" t="s">
        <v>147</v>
      </c>
      <c r="J435" s="14">
        <v>102.447883</v>
      </c>
      <c r="K435" s="14">
        <v>91.73232799</v>
      </c>
      <c r="L435" s="14">
        <v>85.98722657</v>
      </c>
      <c r="M435" s="14">
        <v>164.8164004</v>
      </c>
      <c r="N435" s="14">
        <v>163.7762061</v>
      </c>
      <c r="O435" s="14">
        <v>259.8433547</v>
      </c>
      <c r="P435" s="14" t="s">
        <v>2431</v>
      </c>
      <c r="Q435" s="14" t="s">
        <v>2432</v>
      </c>
      <c r="R435" s="14" t="s">
        <v>1536</v>
      </c>
      <c r="S435" s="14" t="s">
        <v>1537</v>
      </c>
      <c r="T435" s="14" t="s">
        <v>2433</v>
      </c>
      <c r="U435" s="14" t="s">
        <v>2434</v>
      </c>
    </row>
    <row r="436" spans="1:21">
      <c r="A436" s="14" t="s">
        <v>2435</v>
      </c>
      <c r="B436" s="14">
        <v>223.1420113</v>
      </c>
      <c r="C436" s="14">
        <v>47.35774041</v>
      </c>
      <c r="D436" s="14">
        <v>398.9262822</v>
      </c>
      <c r="E436" s="14">
        <v>8.407158658</v>
      </c>
      <c r="F436" s="14">
        <v>3.0716183</v>
      </c>
      <c r="G436" s="14">
        <v>0.001035651</v>
      </c>
      <c r="H436" s="14">
        <v>0.003786546</v>
      </c>
      <c r="I436" s="14" t="s">
        <v>164</v>
      </c>
      <c r="J436" s="14">
        <v>6.719234987</v>
      </c>
      <c r="K436" s="14">
        <v>5.032643419</v>
      </c>
      <c r="L436" s="14">
        <v>7.335263885</v>
      </c>
      <c r="M436" s="14">
        <v>0.215922699</v>
      </c>
      <c r="N436" s="14">
        <v>0.064735061</v>
      </c>
      <c r="O436" s="14">
        <v>1.703244638</v>
      </c>
      <c r="P436" s="14" t="s">
        <v>2436</v>
      </c>
      <c r="Q436" s="14" t="s">
        <v>2437</v>
      </c>
      <c r="T436" s="14" t="s">
        <v>2438</v>
      </c>
      <c r="U436" s="14" t="s">
        <v>2439</v>
      </c>
    </row>
    <row r="437" spans="1:21">
      <c r="A437" s="14" t="s">
        <v>2440</v>
      </c>
      <c r="B437" s="14">
        <v>2659.390127</v>
      </c>
      <c r="C437" s="14">
        <v>4725.850462</v>
      </c>
      <c r="D437" s="14">
        <v>592.9297915</v>
      </c>
      <c r="E437" s="14">
        <v>0.125449154</v>
      </c>
      <c r="F437" s="14">
        <v>-2.994825353</v>
      </c>
      <c r="G437" s="51" t="s">
        <v>2441</v>
      </c>
      <c r="H437" s="51" t="s">
        <v>2442</v>
      </c>
      <c r="I437" s="14" t="s">
        <v>147</v>
      </c>
      <c r="J437" s="14">
        <v>14.54680752</v>
      </c>
      <c r="K437" s="14">
        <v>17.89277138</v>
      </c>
      <c r="L437" s="14">
        <v>11.75111998</v>
      </c>
      <c r="M437" s="14">
        <v>68.85475177</v>
      </c>
      <c r="N437" s="14">
        <v>62.75910961</v>
      </c>
      <c r="O437" s="14">
        <v>166.4963922</v>
      </c>
      <c r="P437" s="14" t="s">
        <v>2443</v>
      </c>
      <c r="Q437" s="14" t="s">
        <v>2444</v>
      </c>
      <c r="T437" s="14" t="s">
        <v>2445</v>
      </c>
      <c r="U437" s="14" t="s">
        <v>2446</v>
      </c>
    </row>
    <row r="438" spans="1:21">
      <c r="A438" s="14" t="s">
        <v>2447</v>
      </c>
      <c r="B438" s="14">
        <v>41.27505224</v>
      </c>
      <c r="C438" s="14">
        <v>73.77664121</v>
      </c>
      <c r="D438" s="14">
        <v>8.773463269</v>
      </c>
      <c r="E438" s="14">
        <v>0.118895524</v>
      </c>
      <c r="F438" s="14">
        <v>-3.072233694</v>
      </c>
      <c r="G438" s="51" t="s">
        <v>2448</v>
      </c>
      <c r="H438" s="14">
        <v>0.000121269</v>
      </c>
      <c r="I438" s="14" t="s">
        <v>147</v>
      </c>
      <c r="J438" s="14">
        <v>0.236458201</v>
      </c>
      <c r="K438" s="14">
        <v>0.476004484</v>
      </c>
      <c r="L438" s="14">
        <v>0.546416749</v>
      </c>
      <c r="M438" s="14">
        <v>1.294799254</v>
      </c>
      <c r="N438" s="14">
        <v>2.096222906</v>
      </c>
      <c r="O438" s="14">
        <v>5.62146887</v>
      </c>
      <c r="P438" s="14" t="s">
        <v>2449</v>
      </c>
      <c r="Q438" s="14" t="s">
        <v>2450</v>
      </c>
      <c r="T438" s="14" t="s">
        <v>2451</v>
      </c>
      <c r="U438" s="14" t="s">
        <v>2452</v>
      </c>
    </row>
    <row r="439" spans="1:15">
      <c r="A439" s="14" t="s">
        <v>2453</v>
      </c>
      <c r="B439" s="14">
        <v>1824.002427</v>
      </c>
      <c r="C439" s="14">
        <v>2608.074478</v>
      </c>
      <c r="D439" s="14">
        <v>1039.930375</v>
      </c>
      <c r="E439" s="14">
        <v>0.398756295</v>
      </c>
      <c r="F439" s="14">
        <v>-1.326420801</v>
      </c>
      <c r="G439" s="51" t="s">
        <v>2454</v>
      </c>
      <c r="H439" s="51" t="s">
        <v>2455</v>
      </c>
      <c r="I439" s="14" t="s">
        <v>147</v>
      </c>
      <c r="J439" s="14">
        <v>11.43188577</v>
      </c>
      <c r="K439" s="14">
        <v>14.83204941</v>
      </c>
      <c r="L439" s="14">
        <v>13.29329239</v>
      </c>
      <c r="M439" s="14">
        <v>27.26873787</v>
      </c>
      <c r="N439" s="14">
        <v>27.76976239</v>
      </c>
      <c r="O439" s="14">
        <v>26.43740639</v>
      </c>
    </row>
    <row r="440" spans="1:21">
      <c r="A440" s="14" t="s">
        <v>2456</v>
      </c>
      <c r="B440" s="14">
        <v>197.1499107</v>
      </c>
      <c r="C440" s="14">
        <v>330.4000516</v>
      </c>
      <c r="D440" s="14">
        <v>63.89976986</v>
      </c>
      <c r="E440" s="14">
        <v>0.193198429</v>
      </c>
      <c r="F440" s="14">
        <v>-2.371844734</v>
      </c>
      <c r="G440" s="51" t="s">
        <v>2457</v>
      </c>
      <c r="H440" s="51" t="s">
        <v>2458</v>
      </c>
      <c r="I440" s="14" t="s">
        <v>147</v>
      </c>
      <c r="J440" s="14">
        <v>0.434880842</v>
      </c>
      <c r="K440" s="14">
        <v>0.307847425</v>
      </c>
      <c r="L440" s="14">
        <v>0.179453474</v>
      </c>
      <c r="M440" s="14">
        <v>0.768696349</v>
      </c>
      <c r="N440" s="14">
        <v>0.925763838</v>
      </c>
      <c r="O440" s="14">
        <v>2.360249882</v>
      </c>
      <c r="P440" s="14" t="s">
        <v>2459</v>
      </c>
      <c r="Q440" s="14" t="s">
        <v>2460</v>
      </c>
      <c r="R440" s="14" t="s">
        <v>1285</v>
      </c>
      <c r="S440" s="14" t="s">
        <v>1286</v>
      </c>
      <c r="T440" s="14" t="s">
        <v>2461</v>
      </c>
      <c r="U440" s="14" t="s">
        <v>2462</v>
      </c>
    </row>
    <row r="441" spans="1:21">
      <c r="A441" s="14" t="s">
        <v>2463</v>
      </c>
      <c r="B441" s="14">
        <v>788.1717798</v>
      </c>
      <c r="C441" s="14">
        <v>414.6679108</v>
      </c>
      <c r="D441" s="14">
        <v>1161.675649</v>
      </c>
      <c r="E441" s="14">
        <v>2.802525853</v>
      </c>
      <c r="F441" s="14">
        <v>1.486727682</v>
      </c>
      <c r="G441" s="51" t="s">
        <v>2464</v>
      </c>
      <c r="H441" s="51" t="s">
        <v>2465</v>
      </c>
      <c r="I441" s="14" t="s">
        <v>164</v>
      </c>
      <c r="J441" s="14">
        <v>8.101454156</v>
      </c>
      <c r="K441" s="14">
        <v>7.756582151</v>
      </c>
      <c r="L441" s="14">
        <v>8.989578223</v>
      </c>
      <c r="M441" s="14">
        <v>2.215925938</v>
      </c>
      <c r="N441" s="14">
        <v>3.226529293</v>
      </c>
      <c r="O441" s="14">
        <v>1.778134777</v>
      </c>
      <c r="P441" s="14" t="s">
        <v>2466</v>
      </c>
      <c r="Q441" s="14" t="s">
        <v>2467</v>
      </c>
      <c r="T441" s="14" t="s">
        <v>2468</v>
      </c>
      <c r="U441" s="14" t="s">
        <v>2469</v>
      </c>
    </row>
    <row r="442" spans="1:21">
      <c r="A442" s="14" t="s">
        <v>2470</v>
      </c>
      <c r="B442" s="14">
        <v>95.61881381</v>
      </c>
      <c r="C442" s="14">
        <v>51.25080002</v>
      </c>
      <c r="D442" s="14">
        <v>139.9868276</v>
      </c>
      <c r="E442" s="14">
        <v>2.726973554</v>
      </c>
      <c r="F442" s="14">
        <v>1.447300709</v>
      </c>
      <c r="G442" s="14">
        <v>0.001971857</v>
      </c>
      <c r="H442" s="14">
        <v>0.006631054</v>
      </c>
      <c r="I442" s="14" t="s">
        <v>164</v>
      </c>
      <c r="J442" s="14">
        <v>1.171056808</v>
      </c>
      <c r="K442" s="14">
        <v>0.713593565</v>
      </c>
      <c r="L442" s="14">
        <v>0.79842828</v>
      </c>
      <c r="M442" s="14">
        <v>0.259965405</v>
      </c>
      <c r="N442" s="14">
        <v>0.140290843</v>
      </c>
      <c r="O442" s="14">
        <v>0.423909658</v>
      </c>
      <c r="P442" s="14" t="s">
        <v>2471</v>
      </c>
      <c r="Q442" s="14" t="s">
        <v>2472</v>
      </c>
      <c r="T442" s="14" t="s">
        <v>2473</v>
      </c>
      <c r="U442" s="14" t="s">
        <v>2474</v>
      </c>
    </row>
    <row r="443" spans="1:21">
      <c r="A443" s="14" t="s">
        <v>2475</v>
      </c>
      <c r="B443" s="14">
        <v>3163.875847</v>
      </c>
      <c r="C443" s="14">
        <v>1065.027913</v>
      </c>
      <c r="D443" s="14">
        <v>5262.723781</v>
      </c>
      <c r="E443" s="14">
        <v>4.940668763</v>
      </c>
      <c r="F443" s="14">
        <v>2.304706337</v>
      </c>
      <c r="G443" s="51" t="s">
        <v>2476</v>
      </c>
      <c r="H443" s="51" t="s">
        <v>2477</v>
      </c>
      <c r="I443" s="14" t="s">
        <v>164</v>
      </c>
      <c r="J443" s="14">
        <v>125.0048464</v>
      </c>
      <c r="K443" s="14">
        <v>82.95343517</v>
      </c>
      <c r="L443" s="14">
        <v>87.5871181</v>
      </c>
      <c r="M443" s="14">
        <v>13.34736314</v>
      </c>
      <c r="N443" s="14">
        <v>17.15989543</v>
      </c>
      <c r="O443" s="14">
        <v>19.02149173</v>
      </c>
      <c r="P443" s="14" t="s">
        <v>2478</v>
      </c>
      <c r="Q443" s="14" t="s">
        <v>2479</v>
      </c>
      <c r="T443" s="14" t="s">
        <v>2480</v>
      </c>
      <c r="U443" s="14" t="s">
        <v>2481</v>
      </c>
    </row>
    <row r="444" spans="1:21">
      <c r="A444" s="14" t="s">
        <v>2482</v>
      </c>
      <c r="B444" s="14">
        <v>28935.50886</v>
      </c>
      <c r="C444" s="14">
        <v>41391.20502</v>
      </c>
      <c r="D444" s="14">
        <v>16479.8127</v>
      </c>
      <c r="E444" s="14">
        <v>0.398147394</v>
      </c>
      <c r="F444" s="14">
        <v>-1.328625481</v>
      </c>
      <c r="G444" s="51" t="s">
        <v>2483</v>
      </c>
      <c r="H444" s="51" t="s">
        <v>2484</v>
      </c>
      <c r="I444" s="14" t="s">
        <v>147</v>
      </c>
      <c r="J444" s="14">
        <v>122.1789856</v>
      </c>
      <c r="K444" s="14">
        <v>155.7785788</v>
      </c>
      <c r="L444" s="14">
        <v>116.6415331</v>
      </c>
      <c r="M444" s="14">
        <v>282.9270204</v>
      </c>
      <c r="N444" s="14">
        <v>284.1570777</v>
      </c>
      <c r="O444" s="14">
        <v>245.4225692</v>
      </c>
      <c r="P444" s="14" t="s">
        <v>2485</v>
      </c>
      <c r="Q444" s="14" t="s">
        <v>2486</v>
      </c>
      <c r="T444" s="14" t="s">
        <v>2487</v>
      </c>
      <c r="U444" s="14" t="s">
        <v>2488</v>
      </c>
    </row>
    <row r="445" spans="1:15">
      <c r="A445" s="14" t="s">
        <v>2489</v>
      </c>
      <c r="B445" s="14">
        <v>33.86845259</v>
      </c>
      <c r="C445" s="14">
        <v>20.04220862</v>
      </c>
      <c r="D445" s="14">
        <v>47.69469655</v>
      </c>
      <c r="E445" s="14">
        <v>2.368709601</v>
      </c>
      <c r="F445" s="14">
        <v>1.244101338</v>
      </c>
      <c r="G445" s="14">
        <v>0.018701178</v>
      </c>
      <c r="H445" s="14">
        <v>0.045941811</v>
      </c>
      <c r="I445" s="14" t="s">
        <v>164</v>
      </c>
      <c r="J445" s="14">
        <v>0.869321042</v>
      </c>
      <c r="K445" s="14">
        <v>1.590904719</v>
      </c>
      <c r="L445" s="14">
        <v>1.344313323</v>
      </c>
      <c r="M445" s="14">
        <v>0.315545778</v>
      </c>
      <c r="N445" s="14">
        <v>0.324352192</v>
      </c>
      <c r="O445" s="14">
        <v>0.705656458</v>
      </c>
    </row>
    <row r="446" spans="1:21">
      <c r="A446" s="14" t="s">
        <v>2490</v>
      </c>
      <c r="B446" s="14">
        <v>2360.581742</v>
      </c>
      <c r="C446" s="14">
        <v>673.1148417</v>
      </c>
      <c r="D446" s="14">
        <v>4048.048642</v>
      </c>
      <c r="E446" s="14">
        <v>6.014894402</v>
      </c>
      <c r="F446" s="14">
        <v>2.58853941</v>
      </c>
      <c r="G446" s="51" t="s">
        <v>2491</v>
      </c>
      <c r="H446" s="51" t="s">
        <v>2492</v>
      </c>
      <c r="I446" s="14" t="s">
        <v>164</v>
      </c>
      <c r="J446" s="14">
        <v>18.95721421</v>
      </c>
      <c r="K446" s="14">
        <v>13.29466374</v>
      </c>
      <c r="L446" s="14">
        <v>38.76323878</v>
      </c>
      <c r="M446" s="14">
        <v>3.523877178</v>
      </c>
      <c r="N446" s="14">
        <v>3.498949555</v>
      </c>
      <c r="O446" s="14">
        <v>2.550817553</v>
      </c>
      <c r="P446" s="14" t="s">
        <v>882</v>
      </c>
      <c r="Q446" s="14" t="s">
        <v>883</v>
      </c>
      <c r="T446" s="14" t="s">
        <v>884</v>
      </c>
      <c r="U446" s="14" t="s">
        <v>885</v>
      </c>
    </row>
    <row r="447" spans="1:15">
      <c r="A447" s="14" t="s">
        <v>2493</v>
      </c>
      <c r="B447" s="14">
        <v>42.14115611</v>
      </c>
      <c r="C447" s="14">
        <v>12.85045873</v>
      </c>
      <c r="D447" s="14">
        <v>71.43185348</v>
      </c>
      <c r="E447" s="14">
        <v>5.57112047</v>
      </c>
      <c r="F447" s="14">
        <v>2.477967513</v>
      </c>
      <c r="G447" s="51" t="s">
        <v>2494</v>
      </c>
      <c r="H447" s="51" t="s">
        <v>2495</v>
      </c>
      <c r="I447" s="14" t="s">
        <v>164</v>
      </c>
      <c r="J447" s="14">
        <v>1.913509838</v>
      </c>
      <c r="K447" s="14">
        <v>3.486732842</v>
      </c>
      <c r="L447" s="14">
        <v>1.715358294</v>
      </c>
      <c r="M447" s="14">
        <v>0.366956128</v>
      </c>
      <c r="N447" s="14">
        <v>0.379131674</v>
      </c>
      <c r="O447" s="14">
        <v>0.303789305</v>
      </c>
    </row>
    <row r="448" spans="1:21">
      <c r="A448" s="14" t="s">
        <v>2496</v>
      </c>
      <c r="B448" s="14">
        <v>2353.176225</v>
      </c>
      <c r="C448" s="14">
        <v>3526.494785</v>
      </c>
      <c r="D448" s="14">
        <v>1179.857665</v>
      </c>
      <c r="E448" s="14">
        <v>0.33458406</v>
      </c>
      <c r="F448" s="14">
        <v>-1.579559379</v>
      </c>
      <c r="G448" s="51" t="s">
        <v>2497</v>
      </c>
      <c r="H448" s="51" t="s">
        <v>2498</v>
      </c>
      <c r="I448" s="14" t="s">
        <v>147</v>
      </c>
      <c r="J448" s="14">
        <v>7.849408302</v>
      </c>
      <c r="K448" s="14">
        <v>11.01729662</v>
      </c>
      <c r="L448" s="14">
        <v>8.772710726</v>
      </c>
      <c r="M448" s="14">
        <v>26.91663409</v>
      </c>
      <c r="N448" s="14">
        <v>25.4865443</v>
      </c>
      <c r="O448" s="14">
        <v>14.59299525</v>
      </c>
      <c r="P448" s="14" t="s">
        <v>2499</v>
      </c>
      <c r="Q448" s="14" t="s">
        <v>2500</v>
      </c>
      <c r="T448" s="14" t="s">
        <v>2501</v>
      </c>
      <c r="U448" s="14" t="s">
        <v>2502</v>
      </c>
    </row>
    <row r="449" spans="1:15">
      <c r="A449" s="14" t="s">
        <v>2503</v>
      </c>
      <c r="B449" s="14">
        <v>8.070871795</v>
      </c>
      <c r="C449" s="14">
        <v>13.82976779</v>
      </c>
      <c r="D449" s="14">
        <v>2.311975801</v>
      </c>
      <c r="E449" s="14">
        <v>0.165873009</v>
      </c>
      <c r="F449" s="14">
        <v>-2.591848946</v>
      </c>
      <c r="G449" s="14">
        <v>0.009135786</v>
      </c>
      <c r="H449" s="14">
        <v>0.024997812</v>
      </c>
      <c r="I449" s="14" t="s">
        <v>147</v>
      </c>
      <c r="J449" s="14">
        <v>0.090787555</v>
      </c>
      <c r="K449" s="14">
        <v>0.045690193</v>
      </c>
      <c r="L449" s="14">
        <v>0.021853687</v>
      </c>
      <c r="M449" s="14">
        <v>0.135935364</v>
      </c>
      <c r="N449" s="14">
        <v>0.298088785</v>
      </c>
      <c r="O449" s="14">
        <v>0.360991535</v>
      </c>
    </row>
    <row r="450" spans="1:21">
      <c r="A450" s="14" t="s">
        <v>2504</v>
      </c>
      <c r="B450" s="14">
        <v>3.558643962</v>
      </c>
      <c r="C450" s="14">
        <v>0.309088846</v>
      </c>
      <c r="D450" s="14">
        <v>6.808199078</v>
      </c>
      <c r="E450" s="14">
        <v>18.86963448</v>
      </c>
      <c r="F450" s="14">
        <v>4.237994572</v>
      </c>
      <c r="G450" s="14">
        <v>0.016126523</v>
      </c>
      <c r="H450" s="14">
        <v>0.040573695</v>
      </c>
      <c r="I450" s="14" t="s">
        <v>164</v>
      </c>
      <c r="J450" s="14">
        <v>0.084864277</v>
      </c>
      <c r="K450" s="14">
        <v>0.02847281</v>
      </c>
      <c r="L450" s="14">
        <v>0.081711521</v>
      </c>
      <c r="M450" s="14">
        <v>0</v>
      </c>
      <c r="N450" s="14">
        <v>0</v>
      </c>
      <c r="O450" s="14">
        <v>0.007893316</v>
      </c>
      <c r="P450" s="14" t="s">
        <v>2505</v>
      </c>
      <c r="Q450" s="14" t="s">
        <v>2506</v>
      </c>
      <c r="T450" s="14" t="s">
        <v>2507</v>
      </c>
      <c r="U450" s="14" t="s">
        <v>2508</v>
      </c>
    </row>
    <row r="451" spans="1:21">
      <c r="A451" s="14" t="s">
        <v>2509</v>
      </c>
      <c r="B451" s="14">
        <v>2367.98342</v>
      </c>
      <c r="C451" s="14">
        <v>3286.847568</v>
      </c>
      <c r="D451" s="14">
        <v>1449.119271</v>
      </c>
      <c r="E451" s="14">
        <v>0.44091894</v>
      </c>
      <c r="F451" s="14">
        <v>-1.181414643</v>
      </c>
      <c r="G451" s="51" t="s">
        <v>2510</v>
      </c>
      <c r="H451" s="51" t="s">
        <v>2511</v>
      </c>
      <c r="I451" s="14" t="s">
        <v>147</v>
      </c>
      <c r="J451" s="14">
        <v>34.60776414</v>
      </c>
      <c r="K451" s="14">
        <v>31.11755153</v>
      </c>
      <c r="L451" s="14">
        <v>31.88724718</v>
      </c>
      <c r="M451" s="14">
        <v>65.99501388</v>
      </c>
      <c r="N451" s="14">
        <v>69.92332152</v>
      </c>
      <c r="O451" s="14">
        <v>44.1813292</v>
      </c>
      <c r="P451" s="14" t="s">
        <v>2512</v>
      </c>
      <c r="Q451" s="14" t="s">
        <v>2513</v>
      </c>
      <c r="T451" s="14" t="s">
        <v>2514</v>
      </c>
      <c r="U451" s="14" t="s">
        <v>2515</v>
      </c>
    </row>
    <row r="452" spans="1:21">
      <c r="A452" s="14" t="s">
        <v>2516</v>
      </c>
      <c r="B452" s="14">
        <v>2355.976331</v>
      </c>
      <c r="C452" s="14">
        <v>3342.774662</v>
      </c>
      <c r="D452" s="14">
        <v>1369.178</v>
      </c>
      <c r="E452" s="14">
        <v>0.409666003</v>
      </c>
      <c r="F452" s="14">
        <v>-1.287479921</v>
      </c>
      <c r="G452" s="51" t="s">
        <v>2517</v>
      </c>
      <c r="H452" s="51" t="s">
        <v>2518</v>
      </c>
      <c r="I452" s="14" t="s">
        <v>147</v>
      </c>
      <c r="J452" s="14">
        <v>13.6803294</v>
      </c>
      <c r="K452" s="14">
        <v>12.12151713</v>
      </c>
      <c r="L452" s="14">
        <v>13.6945815</v>
      </c>
      <c r="M452" s="14">
        <v>27.79181404</v>
      </c>
      <c r="N452" s="14">
        <v>25.12349703</v>
      </c>
      <c r="O452" s="14">
        <v>26.25067475</v>
      </c>
      <c r="P452" s="14" t="s">
        <v>2519</v>
      </c>
      <c r="Q452" s="14" t="s">
        <v>2520</v>
      </c>
      <c r="R452" s="14" t="s">
        <v>1536</v>
      </c>
      <c r="S452" s="14" t="s">
        <v>1537</v>
      </c>
      <c r="T452" s="14" t="s">
        <v>2521</v>
      </c>
      <c r="U452" s="14" t="s">
        <v>2522</v>
      </c>
    </row>
    <row r="453" spans="1:21">
      <c r="A453" s="14" t="s">
        <v>2523</v>
      </c>
      <c r="B453" s="14">
        <v>75.74813538</v>
      </c>
      <c r="C453" s="14">
        <v>27.10462209</v>
      </c>
      <c r="D453" s="14">
        <v>124.3916487</v>
      </c>
      <c r="E453" s="14">
        <v>4.603186205</v>
      </c>
      <c r="F453" s="14">
        <v>2.202632803</v>
      </c>
      <c r="G453" s="51" t="s">
        <v>2524</v>
      </c>
      <c r="H453" s="51" t="s">
        <v>2525</v>
      </c>
      <c r="I453" s="14" t="s">
        <v>164</v>
      </c>
      <c r="J453" s="14">
        <v>10.36877252</v>
      </c>
      <c r="K453" s="14">
        <v>5.692625048</v>
      </c>
      <c r="L453" s="14">
        <v>7.623814638</v>
      </c>
      <c r="M453" s="14">
        <v>1.720526899</v>
      </c>
      <c r="N453" s="14">
        <v>1.186398435</v>
      </c>
      <c r="O453" s="14">
        <v>1.315105218</v>
      </c>
      <c r="P453" s="14" t="s">
        <v>2526</v>
      </c>
      <c r="Q453" s="14" t="s">
        <v>2527</v>
      </c>
      <c r="T453" s="14" t="s">
        <v>2528</v>
      </c>
      <c r="U453" s="14" t="s">
        <v>2529</v>
      </c>
    </row>
    <row r="454" spans="1:21">
      <c r="A454" s="14" t="s">
        <v>2530</v>
      </c>
      <c r="B454" s="14">
        <v>80.29229754</v>
      </c>
      <c r="C454" s="14">
        <v>6.504440463</v>
      </c>
      <c r="D454" s="14">
        <v>154.0801546</v>
      </c>
      <c r="E454" s="14">
        <v>23.99410235</v>
      </c>
      <c r="F454" s="14">
        <v>4.584607936</v>
      </c>
      <c r="G454" s="51" t="s">
        <v>2531</v>
      </c>
      <c r="H454" s="51" t="s">
        <v>2532</v>
      </c>
      <c r="I454" s="14" t="s">
        <v>164</v>
      </c>
      <c r="J454" s="14">
        <v>13.63114241</v>
      </c>
      <c r="K454" s="14">
        <v>21.65743001</v>
      </c>
      <c r="L454" s="14">
        <v>17.24655628</v>
      </c>
      <c r="M454" s="14">
        <v>0.771089799</v>
      </c>
      <c r="N454" s="14">
        <v>0.647297979</v>
      </c>
      <c r="O454" s="14">
        <v>0.377210667</v>
      </c>
      <c r="P454" s="14" t="s">
        <v>2533</v>
      </c>
      <c r="Q454" s="14" t="s">
        <v>2534</v>
      </c>
      <c r="T454" s="14" t="s">
        <v>2535</v>
      </c>
      <c r="U454" s="14" t="s">
        <v>2536</v>
      </c>
    </row>
    <row r="455" spans="1:21">
      <c r="A455" s="14" t="s">
        <v>2537</v>
      </c>
      <c r="B455" s="14">
        <v>6965.516333</v>
      </c>
      <c r="C455" s="14">
        <v>9490.422681</v>
      </c>
      <c r="D455" s="14">
        <v>4440.609986</v>
      </c>
      <c r="E455" s="14">
        <v>0.467913924</v>
      </c>
      <c r="F455" s="14">
        <v>-1.095684933</v>
      </c>
      <c r="G455" s="51" t="s">
        <v>2538</v>
      </c>
      <c r="H455" s="51" t="s">
        <v>2539</v>
      </c>
      <c r="I455" s="14" t="s">
        <v>147</v>
      </c>
      <c r="J455" s="14">
        <v>24.87102854</v>
      </c>
      <c r="K455" s="14">
        <v>31.75139201</v>
      </c>
      <c r="L455" s="14">
        <v>26.59392981</v>
      </c>
      <c r="M455" s="14">
        <v>52.67700998</v>
      </c>
      <c r="N455" s="14">
        <v>53.67305101</v>
      </c>
      <c r="O455" s="14">
        <v>38.76256763</v>
      </c>
      <c r="P455" s="14" t="s">
        <v>2540</v>
      </c>
      <c r="Q455" s="14" t="s">
        <v>2541</v>
      </c>
      <c r="T455" s="14" t="s">
        <v>2542</v>
      </c>
      <c r="U455" s="14" t="s">
        <v>2543</v>
      </c>
    </row>
    <row r="456" spans="1:21">
      <c r="A456" s="14" t="s">
        <v>2544</v>
      </c>
      <c r="B456" s="14">
        <v>52.91969279</v>
      </c>
      <c r="C456" s="14">
        <v>74.4956893</v>
      </c>
      <c r="D456" s="14">
        <v>31.34369628</v>
      </c>
      <c r="E456" s="14">
        <v>0.421589051</v>
      </c>
      <c r="F456" s="14">
        <v>-1.246090696</v>
      </c>
      <c r="G456" s="14">
        <v>0.009228267</v>
      </c>
      <c r="H456" s="14">
        <v>0.02521987</v>
      </c>
      <c r="I456" s="14" t="s">
        <v>147</v>
      </c>
      <c r="J456" s="14">
        <v>0.347916673</v>
      </c>
      <c r="K456" s="14">
        <v>0.296313366</v>
      </c>
      <c r="L456" s="14">
        <v>0.631329894</v>
      </c>
      <c r="M456" s="14">
        <v>0.950272304</v>
      </c>
      <c r="N456" s="14">
        <v>0.549200879</v>
      </c>
      <c r="O456" s="14">
        <v>0.996939926</v>
      </c>
      <c r="P456" s="14" t="s">
        <v>2545</v>
      </c>
      <c r="Q456" s="14" t="s">
        <v>2546</v>
      </c>
      <c r="T456" s="14" t="s">
        <v>2547</v>
      </c>
      <c r="U456" s="14" t="s">
        <v>2548</v>
      </c>
    </row>
    <row r="457" spans="1:21">
      <c r="A457" s="14" t="s">
        <v>2549</v>
      </c>
      <c r="B457" s="14">
        <v>12051.44268</v>
      </c>
      <c r="C457" s="14">
        <v>4620.648948</v>
      </c>
      <c r="D457" s="14">
        <v>19482.23641</v>
      </c>
      <c r="E457" s="14">
        <v>4.216507039</v>
      </c>
      <c r="F457" s="14">
        <v>2.076048363</v>
      </c>
      <c r="G457" s="51" t="s">
        <v>2550</v>
      </c>
      <c r="H457" s="51" t="s">
        <v>2551</v>
      </c>
      <c r="I457" s="14" t="s">
        <v>164</v>
      </c>
      <c r="J457" s="14">
        <v>137.2246961</v>
      </c>
      <c r="K457" s="14">
        <v>85.59796046</v>
      </c>
      <c r="L457" s="14">
        <v>97.19654853</v>
      </c>
      <c r="M457" s="14">
        <v>21.72929244</v>
      </c>
      <c r="N457" s="14">
        <v>21.87965995</v>
      </c>
      <c r="O457" s="14">
        <v>18.51699036</v>
      </c>
      <c r="P457" s="14" t="s">
        <v>2552</v>
      </c>
      <c r="Q457" s="14" t="s">
        <v>2553</v>
      </c>
      <c r="R457" s="14" t="s">
        <v>556</v>
      </c>
      <c r="S457" s="14" t="s">
        <v>557</v>
      </c>
      <c r="T457" s="14" t="s">
        <v>2554</v>
      </c>
      <c r="U457" s="14" t="s">
        <v>2555</v>
      </c>
    </row>
    <row r="458" spans="1:21">
      <c r="A458" s="14" t="s">
        <v>2556</v>
      </c>
      <c r="B458" s="14">
        <v>1706.172503</v>
      </c>
      <c r="C458" s="14">
        <v>209.4404649</v>
      </c>
      <c r="D458" s="14">
        <v>3202.904541</v>
      </c>
      <c r="E458" s="14">
        <v>15.28049796</v>
      </c>
      <c r="F458" s="14">
        <v>3.933619653</v>
      </c>
      <c r="G458" s="51" t="s">
        <v>2557</v>
      </c>
      <c r="H458" s="51" t="s">
        <v>2558</v>
      </c>
      <c r="I458" s="14" t="s">
        <v>164</v>
      </c>
      <c r="J458" s="14">
        <v>108.264032</v>
      </c>
      <c r="K458" s="14">
        <v>44.51037481</v>
      </c>
      <c r="L458" s="14">
        <v>98.8355316</v>
      </c>
      <c r="M458" s="14">
        <v>2.391026353</v>
      </c>
      <c r="N458" s="14">
        <v>3.547058235</v>
      </c>
      <c r="O458" s="14">
        <v>7.971084802</v>
      </c>
      <c r="P458" s="14" t="s">
        <v>2552</v>
      </c>
      <c r="Q458" s="14" t="s">
        <v>2553</v>
      </c>
      <c r="R458" s="14" t="s">
        <v>556</v>
      </c>
      <c r="S458" s="14" t="s">
        <v>557</v>
      </c>
      <c r="T458" s="14" t="s">
        <v>2554</v>
      </c>
      <c r="U458" s="14" t="s">
        <v>2555</v>
      </c>
    </row>
    <row r="459" spans="1:21">
      <c r="A459" s="14" t="s">
        <v>2559</v>
      </c>
      <c r="B459" s="14">
        <v>58.39512876</v>
      </c>
      <c r="C459" s="14">
        <v>13.99053299</v>
      </c>
      <c r="D459" s="14">
        <v>102.7997245</v>
      </c>
      <c r="E459" s="14">
        <v>7.29917289</v>
      </c>
      <c r="F459" s="14">
        <v>2.867732993</v>
      </c>
      <c r="G459" s="14">
        <v>0.001001674</v>
      </c>
      <c r="H459" s="14">
        <v>0.003675823</v>
      </c>
      <c r="I459" s="14" t="s">
        <v>164</v>
      </c>
      <c r="J459" s="14">
        <v>3.600414026</v>
      </c>
      <c r="K459" s="14">
        <v>1.408153427</v>
      </c>
      <c r="L459" s="14">
        <v>1.386662648</v>
      </c>
      <c r="M459" s="14">
        <v>0.070411318</v>
      </c>
      <c r="N459" s="14">
        <v>0.101326951</v>
      </c>
      <c r="O459" s="14">
        <v>0.585558653</v>
      </c>
      <c r="P459" s="14" t="s">
        <v>2560</v>
      </c>
      <c r="Q459" s="14" t="s">
        <v>2561</v>
      </c>
      <c r="T459" s="14" t="s">
        <v>2562</v>
      </c>
      <c r="U459" s="14" t="s">
        <v>2563</v>
      </c>
    </row>
    <row r="460" spans="1:21">
      <c r="A460" s="14" t="s">
        <v>2564</v>
      </c>
      <c r="B460" s="14">
        <v>5081.995019</v>
      </c>
      <c r="C460" s="14">
        <v>8306.880476</v>
      </c>
      <c r="D460" s="14">
        <v>1857.109562</v>
      </c>
      <c r="E460" s="14">
        <v>0.223556403</v>
      </c>
      <c r="F460" s="14">
        <v>-2.161289228</v>
      </c>
      <c r="G460" s="51" t="s">
        <v>2565</v>
      </c>
      <c r="H460" s="51" t="s">
        <v>2566</v>
      </c>
      <c r="I460" s="14" t="s">
        <v>147</v>
      </c>
      <c r="J460" s="14">
        <v>39.57997362</v>
      </c>
      <c r="K460" s="14">
        <v>99.5612404</v>
      </c>
      <c r="L460" s="14">
        <v>54.99901733</v>
      </c>
      <c r="M460" s="14">
        <v>244.2737397</v>
      </c>
      <c r="N460" s="14">
        <v>228.2741867</v>
      </c>
      <c r="O460" s="14">
        <v>243.2217651</v>
      </c>
      <c r="P460" s="14" t="s">
        <v>2567</v>
      </c>
      <c r="Q460" s="14" t="s">
        <v>2568</v>
      </c>
      <c r="T460" s="14" t="s">
        <v>2569</v>
      </c>
      <c r="U460" s="14" t="s">
        <v>2570</v>
      </c>
    </row>
    <row r="461" spans="1:17">
      <c r="A461" s="14" t="s">
        <v>2571</v>
      </c>
      <c r="B461" s="14">
        <v>40739.86605</v>
      </c>
      <c r="C461" s="14">
        <v>25200.73049</v>
      </c>
      <c r="D461" s="14">
        <v>56279.00161</v>
      </c>
      <c r="E461" s="14">
        <v>2.233204755</v>
      </c>
      <c r="F461" s="14">
        <v>1.159115533</v>
      </c>
      <c r="G461" s="51" t="s">
        <v>2572</v>
      </c>
      <c r="H461" s="51" t="s">
        <v>2573</v>
      </c>
      <c r="I461" s="14" t="s">
        <v>164</v>
      </c>
      <c r="J461" s="14">
        <v>1510.27706</v>
      </c>
      <c r="K461" s="14">
        <v>1632.877943</v>
      </c>
      <c r="L461" s="14">
        <v>2049.404393</v>
      </c>
      <c r="M461" s="14">
        <v>522.3189631</v>
      </c>
      <c r="N461" s="14">
        <v>552.3419948</v>
      </c>
      <c r="O461" s="14">
        <v>860.0999465</v>
      </c>
      <c r="P461" s="14" t="s">
        <v>2574</v>
      </c>
      <c r="Q461" s="14" t="s">
        <v>2575</v>
      </c>
    </row>
    <row r="462" spans="1:21">
      <c r="A462" s="14" t="s">
        <v>2576</v>
      </c>
      <c r="B462" s="14">
        <v>7414.373983</v>
      </c>
      <c r="C462" s="14">
        <v>9999.135832</v>
      </c>
      <c r="D462" s="14">
        <v>4829.612133</v>
      </c>
      <c r="E462" s="14">
        <v>0.483006361</v>
      </c>
      <c r="F462" s="14">
        <v>-1.049885907</v>
      </c>
      <c r="G462" s="51" t="s">
        <v>2577</v>
      </c>
      <c r="H462" s="51" t="s">
        <v>2558</v>
      </c>
      <c r="I462" s="14" t="s">
        <v>147</v>
      </c>
      <c r="J462" s="14">
        <v>143.7287731</v>
      </c>
      <c r="K462" s="14">
        <v>157.6924981</v>
      </c>
      <c r="L462" s="14">
        <v>137.4929777</v>
      </c>
      <c r="M462" s="14">
        <v>252.831824</v>
      </c>
      <c r="N462" s="14">
        <v>250.6705256</v>
      </c>
      <c r="O462" s="14">
        <v>243.0936802</v>
      </c>
      <c r="P462" s="14" t="s">
        <v>2578</v>
      </c>
      <c r="Q462" s="14" t="s">
        <v>2579</v>
      </c>
      <c r="T462" s="14" t="s">
        <v>2580</v>
      </c>
      <c r="U462" s="14" t="s">
        <v>2581</v>
      </c>
    </row>
    <row r="463" spans="1:15">
      <c r="A463" s="14" t="s">
        <v>2582</v>
      </c>
      <c r="B463" s="14">
        <v>105.8224661</v>
      </c>
      <c r="C463" s="14">
        <v>165.8529349</v>
      </c>
      <c r="D463" s="14">
        <v>45.79199727</v>
      </c>
      <c r="E463" s="14">
        <v>0.276076516</v>
      </c>
      <c r="F463" s="14">
        <v>-1.856859922</v>
      </c>
      <c r="G463" s="14">
        <v>0.001169162</v>
      </c>
      <c r="H463" s="14">
        <v>0.004197699</v>
      </c>
      <c r="I463" s="14" t="s">
        <v>147</v>
      </c>
      <c r="J463" s="14">
        <v>0.956185761</v>
      </c>
      <c r="K463" s="14">
        <v>0.862867854</v>
      </c>
      <c r="L463" s="14">
        <v>0.460331461</v>
      </c>
      <c r="M463" s="14">
        <v>2.877481447</v>
      </c>
      <c r="N463" s="14">
        <v>2.760601836</v>
      </c>
      <c r="O463" s="14">
        <v>1.02122888</v>
      </c>
    </row>
    <row r="464" spans="1:21">
      <c r="A464" s="14" t="s">
        <v>2583</v>
      </c>
      <c r="B464" s="14">
        <v>14213.91839</v>
      </c>
      <c r="C464" s="14">
        <v>21531.23753</v>
      </c>
      <c r="D464" s="14">
        <v>6896.599246</v>
      </c>
      <c r="E464" s="14">
        <v>0.320306771</v>
      </c>
      <c r="F464" s="14">
        <v>-1.6424738</v>
      </c>
      <c r="G464" s="51" t="s">
        <v>2584</v>
      </c>
      <c r="H464" s="51" t="s">
        <v>2585</v>
      </c>
      <c r="I464" s="14" t="s">
        <v>147</v>
      </c>
      <c r="J464" s="14">
        <v>74.63756545</v>
      </c>
      <c r="K464" s="14">
        <v>119.0472635</v>
      </c>
      <c r="L464" s="14">
        <v>87.40516315</v>
      </c>
      <c r="M464" s="14">
        <v>257.5359335</v>
      </c>
      <c r="N464" s="14">
        <v>251.6534866</v>
      </c>
      <c r="O464" s="14">
        <v>209.1357165</v>
      </c>
      <c r="Q464" s="14" t="s">
        <v>2586</v>
      </c>
      <c r="R464" s="14" t="s">
        <v>2587</v>
      </c>
      <c r="S464" s="14" t="s">
        <v>2588</v>
      </c>
      <c r="T464" s="14" t="s">
        <v>2589</v>
      </c>
      <c r="U464" s="14" t="s">
        <v>2590</v>
      </c>
    </row>
    <row r="465" spans="1:21">
      <c r="A465" s="14" t="s">
        <v>2591</v>
      </c>
      <c r="B465" s="14">
        <v>4512.588271</v>
      </c>
      <c r="C465" s="14">
        <v>2271.841209</v>
      </c>
      <c r="D465" s="14">
        <v>6753.335333</v>
      </c>
      <c r="E465" s="14">
        <v>2.972139786</v>
      </c>
      <c r="F465" s="14">
        <v>1.57150197</v>
      </c>
      <c r="G465" s="51" t="s">
        <v>2592</v>
      </c>
      <c r="H465" s="51" t="s">
        <v>2593</v>
      </c>
      <c r="I465" s="14" t="s">
        <v>164</v>
      </c>
      <c r="J465" s="14">
        <v>76.72204253</v>
      </c>
      <c r="K465" s="14">
        <v>95.83588756</v>
      </c>
      <c r="L465" s="14">
        <v>85.71752939</v>
      </c>
      <c r="M465" s="14">
        <v>19.71234488</v>
      </c>
      <c r="N465" s="14">
        <v>21.27561151</v>
      </c>
      <c r="O465" s="14">
        <v>31.34012019</v>
      </c>
      <c r="P465" s="14" t="s">
        <v>2594</v>
      </c>
      <c r="Q465" s="14" t="s">
        <v>2595</v>
      </c>
      <c r="R465" s="14" t="s">
        <v>2596</v>
      </c>
      <c r="S465" s="14" t="s">
        <v>2597</v>
      </c>
      <c r="T465" s="14" t="s">
        <v>2598</v>
      </c>
      <c r="U465" s="14" t="s">
        <v>2599</v>
      </c>
    </row>
    <row r="466" spans="1:15">
      <c r="A466" s="14" t="s">
        <v>2600</v>
      </c>
      <c r="B466" s="14">
        <v>5177.040424</v>
      </c>
      <c r="C466" s="14">
        <v>820.5450439</v>
      </c>
      <c r="D466" s="14">
        <v>9533.535803</v>
      </c>
      <c r="E466" s="14">
        <v>11.61875298</v>
      </c>
      <c r="F466" s="14">
        <v>3.53838333</v>
      </c>
      <c r="G466" s="14">
        <v>0.001246297</v>
      </c>
      <c r="H466" s="14">
        <v>0.004439694</v>
      </c>
      <c r="I466" s="14" t="s">
        <v>164</v>
      </c>
      <c r="J466" s="14">
        <v>411.3888258</v>
      </c>
      <c r="K466" s="14">
        <v>94.33793376</v>
      </c>
      <c r="L466" s="14">
        <v>165.8579758</v>
      </c>
      <c r="M466" s="14">
        <v>8.043029872</v>
      </c>
      <c r="N466" s="14">
        <v>34.49429736</v>
      </c>
      <c r="O466" s="14">
        <v>3.915104672</v>
      </c>
    </row>
    <row r="467" spans="1:21">
      <c r="A467" s="14" t="s">
        <v>2601</v>
      </c>
      <c r="B467" s="14">
        <v>94.79370689</v>
      </c>
      <c r="C467" s="14">
        <v>7.953196942</v>
      </c>
      <c r="D467" s="14">
        <v>181.6342168</v>
      </c>
      <c r="E467" s="14">
        <v>22.74918332</v>
      </c>
      <c r="F467" s="14">
        <v>4.507742849</v>
      </c>
      <c r="G467" s="51" t="s">
        <v>2602</v>
      </c>
      <c r="H467" s="51" t="s">
        <v>2603</v>
      </c>
      <c r="I467" s="14" t="s">
        <v>164</v>
      </c>
      <c r="J467" s="14">
        <v>2.253708408</v>
      </c>
      <c r="K467" s="14">
        <v>1.017772357</v>
      </c>
      <c r="L467" s="14">
        <v>1.443904287</v>
      </c>
      <c r="M467" s="14">
        <v>0.065986117</v>
      </c>
      <c r="N467" s="14">
        <v>0.014067966</v>
      </c>
      <c r="O467" s="14">
        <v>0.093252915</v>
      </c>
      <c r="P467" s="14" t="s">
        <v>2604</v>
      </c>
      <c r="Q467" s="14" t="s">
        <v>2605</v>
      </c>
      <c r="T467" s="14" t="s">
        <v>2606</v>
      </c>
      <c r="U467" s="14" t="s">
        <v>2607</v>
      </c>
    </row>
    <row r="468" spans="1:21">
      <c r="A468" s="14" t="s">
        <v>2608</v>
      </c>
      <c r="B468" s="14">
        <v>36.1705667</v>
      </c>
      <c r="C468" s="14">
        <v>2.07974399</v>
      </c>
      <c r="D468" s="14">
        <v>70.26138942</v>
      </c>
      <c r="E468" s="14">
        <v>34.40863673</v>
      </c>
      <c r="F468" s="14">
        <v>5.104698829</v>
      </c>
      <c r="G468" s="51" t="s">
        <v>2609</v>
      </c>
      <c r="H468" s="51" t="s">
        <v>2610</v>
      </c>
      <c r="I468" s="14" t="s">
        <v>164</v>
      </c>
      <c r="J468" s="14">
        <v>1.222806034</v>
      </c>
      <c r="K468" s="14">
        <v>0.414325615</v>
      </c>
      <c r="L468" s="14">
        <v>0.944233923</v>
      </c>
      <c r="M468" s="14">
        <v>0.020717354</v>
      </c>
      <c r="N468" s="14">
        <v>0.039751683</v>
      </c>
      <c r="O468" s="14">
        <v>0</v>
      </c>
      <c r="P468" s="14" t="s">
        <v>2604</v>
      </c>
      <c r="Q468" s="14" t="s">
        <v>2605</v>
      </c>
      <c r="T468" s="14" t="s">
        <v>2606</v>
      </c>
      <c r="U468" s="14" t="s">
        <v>2607</v>
      </c>
    </row>
    <row r="469" spans="1:21">
      <c r="A469" s="14" t="s">
        <v>2611</v>
      </c>
      <c r="B469" s="14">
        <v>19.5530751</v>
      </c>
      <c r="C469" s="14">
        <v>0.361896244</v>
      </c>
      <c r="D469" s="14">
        <v>38.74425395</v>
      </c>
      <c r="E469" s="14">
        <v>107.3267972</v>
      </c>
      <c r="F469" s="14">
        <v>6.74586652</v>
      </c>
      <c r="G469" s="51" t="s">
        <v>2612</v>
      </c>
      <c r="H469" s="51" t="s">
        <v>2613</v>
      </c>
      <c r="I469" s="14" t="s">
        <v>164</v>
      </c>
      <c r="J469" s="14">
        <v>1.6534286</v>
      </c>
      <c r="K469" s="14">
        <v>1.013006688</v>
      </c>
      <c r="L469" s="14">
        <v>1.557394041</v>
      </c>
      <c r="M469" s="14">
        <v>0.030753581</v>
      </c>
      <c r="N469" s="14">
        <v>0</v>
      </c>
      <c r="O469" s="14">
        <v>0</v>
      </c>
      <c r="P469" s="14" t="s">
        <v>2614</v>
      </c>
      <c r="Q469" s="14" t="s">
        <v>2615</v>
      </c>
      <c r="T469" s="14" t="s">
        <v>2606</v>
      </c>
      <c r="U469" s="14" t="s">
        <v>2607</v>
      </c>
    </row>
    <row r="470" spans="1:21">
      <c r="A470" s="14" t="s">
        <v>2616</v>
      </c>
      <c r="B470" s="14">
        <v>36265.41747</v>
      </c>
      <c r="C470" s="14">
        <v>62312.06368</v>
      </c>
      <c r="D470" s="14">
        <v>10218.77127</v>
      </c>
      <c r="E470" s="14">
        <v>0.163993866</v>
      </c>
      <c r="F470" s="14">
        <v>-2.608286239</v>
      </c>
      <c r="G470" s="51" t="s">
        <v>2617</v>
      </c>
      <c r="H470" s="51" t="s">
        <v>2618</v>
      </c>
      <c r="I470" s="14" t="s">
        <v>147</v>
      </c>
      <c r="J470" s="14">
        <v>19.6342483</v>
      </c>
      <c r="K470" s="14">
        <v>24.06706583</v>
      </c>
      <c r="L470" s="14">
        <v>22.47289959</v>
      </c>
      <c r="M470" s="14">
        <v>106.6208802</v>
      </c>
      <c r="N470" s="14">
        <v>126.8107686</v>
      </c>
      <c r="O470" s="14">
        <v>96.89293406</v>
      </c>
      <c r="P470" s="14" t="s">
        <v>2619</v>
      </c>
      <c r="Q470" s="14" t="s">
        <v>2620</v>
      </c>
      <c r="T470" s="14" t="s">
        <v>2621</v>
      </c>
      <c r="U470" s="14" t="s">
        <v>2622</v>
      </c>
    </row>
    <row r="471" spans="1:21">
      <c r="A471" s="14" t="s">
        <v>2623</v>
      </c>
      <c r="B471" s="14">
        <v>3911.914162</v>
      </c>
      <c r="C471" s="14">
        <v>5738.952003</v>
      </c>
      <c r="D471" s="14">
        <v>2084.87632</v>
      </c>
      <c r="E471" s="14">
        <v>0.363292073</v>
      </c>
      <c r="F471" s="14">
        <v>-1.460798208</v>
      </c>
      <c r="G471" s="51" t="s">
        <v>2624</v>
      </c>
      <c r="H471" s="51" t="s">
        <v>2625</v>
      </c>
      <c r="I471" s="14" t="s">
        <v>147</v>
      </c>
      <c r="J471" s="14">
        <v>13.16483234</v>
      </c>
      <c r="K471" s="14">
        <v>16.92888019</v>
      </c>
      <c r="L471" s="14">
        <v>13.31848423</v>
      </c>
      <c r="M471" s="14">
        <v>36.22302998</v>
      </c>
      <c r="N471" s="14">
        <v>34.81948304</v>
      </c>
      <c r="O471" s="14">
        <v>26.52239672</v>
      </c>
      <c r="P471" s="14" t="s">
        <v>2626</v>
      </c>
      <c r="Q471" s="14" t="s">
        <v>2627</v>
      </c>
      <c r="T471" s="14" t="s">
        <v>2628</v>
      </c>
      <c r="U471" s="14" t="s">
        <v>2629</v>
      </c>
    </row>
    <row r="472" spans="1:21">
      <c r="A472" s="14" t="s">
        <v>2630</v>
      </c>
      <c r="B472" s="14">
        <v>191.5274493</v>
      </c>
      <c r="C472" s="14">
        <v>91.86595413</v>
      </c>
      <c r="D472" s="14">
        <v>291.1889445</v>
      </c>
      <c r="E472" s="14">
        <v>3.174365592</v>
      </c>
      <c r="F472" s="14">
        <v>1.666468293</v>
      </c>
      <c r="G472" s="51" t="s">
        <v>2631</v>
      </c>
      <c r="H472" s="51" t="s">
        <v>1259</v>
      </c>
      <c r="I472" s="14" t="s">
        <v>164</v>
      </c>
      <c r="J472" s="14">
        <v>4.833415204</v>
      </c>
      <c r="K472" s="14">
        <v>7.775987468</v>
      </c>
      <c r="L472" s="14">
        <v>4.825509551</v>
      </c>
      <c r="M472" s="14">
        <v>1.932133876</v>
      </c>
      <c r="N472" s="14">
        <v>1.300809173</v>
      </c>
      <c r="O472" s="14">
        <v>1.260244931</v>
      </c>
      <c r="P472" s="14" t="s">
        <v>2632</v>
      </c>
      <c r="Q472" s="14" t="s">
        <v>2633</v>
      </c>
      <c r="T472" s="14" t="s">
        <v>2634</v>
      </c>
      <c r="U472" s="14" t="s">
        <v>2635</v>
      </c>
    </row>
    <row r="473" spans="1:15">
      <c r="A473" s="14" t="s">
        <v>2636</v>
      </c>
      <c r="B473" s="14">
        <v>93.46423846</v>
      </c>
      <c r="C473" s="14">
        <v>12.65203896</v>
      </c>
      <c r="D473" s="14">
        <v>174.276438</v>
      </c>
      <c r="E473" s="14">
        <v>13.84090513</v>
      </c>
      <c r="F473" s="14">
        <v>3.790866386</v>
      </c>
      <c r="G473" s="51" t="s">
        <v>2637</v>
      </c>
      <c r="H473" s="51" t="s">
        <v>2638</v>
      </c>
      <c r="I473" s="14" t="s">
        <v>164</v>
      </c>
      <c r="J473" s="14">
        <v>4.973497351</v>
      </c>
      <c r="K473" s="14">
        <v>3.417539697</v>
      </c>
      <c r="L473" s="14">
        <v>4.236183457</v>
      </c>
      <c r="M473" s="14">
        <v>0.204581634</v>
      </c>
      <c r="N473" s="14">
        <v>0.451425116</v>
      </c>
      <c r="O473" s="14">
        <v>0.080063696</v>
      </c>
    </row>
    <row r="474" spans="1:21">
      <c r="A474" s="14" t="s">
        <v>2639</v>
      </c>
      <c r="B474" s="14">
        <v>122.0982242</v>
      </c>
      <c r="C474" s="14">
        <v>28.81087989</v>
      </c>
      <c r="D474" s="14">
        <v>215.3855685</v>
      </c>
      <c r="E474" s="14">
        <v>7.453028926</v>
      </c>
      <c r="F474" s="14">
        <v>2.897826859</v>
      </c>
      <c r="G474" s="14">
        <v>0.004850268</v>
      </c>
      <c r="H474" s="14">
        <v>0.014438139</v>
      </c>
      <c r="I474" s="14" t="s">
        <v>164</v>
      </c>
      <c r="J474" s="14">
        <v>2.649666093</v>
      </c>
      <c r="K474" s="14">
        <v>1.737901323</v>
      </c>
      <c r="L474" s="14">
        <v>2.708067386</v>
      </c>
      <c r="M474" s="14">
        <v>0.018582297</v>
      </c>
      <c r="N474" s="14">
        <v>0.080223787</v>
      </c>
      <c r="O474" s="14">
        <v>0.736314631</v>
      </c>
      <c r="P474" s="14" t="s">
        <v>2640</v>
      </c>
      <c r="Q474" s="14" t="s">
        <v>2641</v>
      </c>
      <c r="T474" s="14" t="s">
        <v>2642</v>
      </c>
      <c r="U474" s="14" t="s">
        <v>2643</v>
      </c>
    </row>
    <row r="475" spans="1:15">
      <c r="A475" s="14" t="s">
        <v>2644</v>
      </c>
      <c r="B475" s="14">
        <v>24.62938991</v>
      </c>
      <c r="C475" s="14">
        <v>0</v>
      </c>
      <c r="D475" s="14">
        <v>49.25877981</v>
      </c>
      <c r="E475" s="14">
        <v>265.7243779</v>
      </c>
      <c r="F475" s="14">
        <v>8.053786778</v>
      </c>
      <c r="G475" s="51" t="s">
        <v>2645</v>
      </c>
      <c r="H475" s="51" t="s">
        <v>2646</v>
      </c>
      <c r="I475" s="14" t="s">
        <v>164</v>
      </c>
      <c r="J475" s="14">
        <v>1.84752674</v>
      </c>
      <c r="K475" s="14">
        <v>2.740449672</v>
      </c>
      <c r="L475" s="14">
        <v>2.668335123</v>
      </c>
      <c r="M475" s="14">
        <v>0</v>
      </c>
      <c r="N475" s="14">
        <v>0</v>
      </c>
      <c r="O475" s="14">
        <v>0</v>
      </c>
    </row>
    <row r="476" spans="1:21">
      <c r="A476" s="14" t="s">
        <v>2647</v>
      </c>
      <c r="B476" s="14">
        <v>259.5717871</v>
      </c>
      <c r="C476" s="14">
        <v>60.76460402</v>
      </c>
      <c r="D476" s="14">
        <v>458.3789702</v>
      </c>
      <c r="E476" s="14">
        <v>7.50951839</v>
      </c>
      <c r="F476" s="14">
        <v>2.908720386</v>
      </c>
      <c r="G476" s="51" t="s">
        <v>2648</v>
      </c>
      <c r="H476" s="51" t="s">
        <v>2649</v>
      </c>
      <c r="I476" s="14" t="s">
        <v>164</v>
      </c>
      <c r="J476" s="14">
        <v>5.358645037</v>
      </c>
      <c r="K476" s="14">
        <v>5.788593639</v>
      </c>
      <c r="L476" s="14">
        <v>5.879782705</v>
      </c>
      <c r="M476" s="14">
        <v>0.440647113</v>
      </c>
      <c r="N476" s="14">
        <v>0.563664789</v>
      </c>
      <c r="O476" s="14">
        <v>0.882773106</v>
      </c>
      <c r="P476" s="14" t="s">
        <v>2650</v>
      </c>
      <c r="Q476" s="14" t="s">
        <v>2651</v>
      </c>
      <c r="T476" s="14" t="s">
        <v>2652</v>
      </c>
      <c r="U476" s="14" t="s">
        <v>2653</v>
      </c>
    </row>
    <row r="477" spans="1:21">
      <c r="A477" s="14" t="s">
        <v>2654</v>
      </c>
      <c r="B477" s="14">
        <v>5339.930378</v>
      </c>
      <c r="C477" s="14">
        <v>7270.116991</v>
      </c>
      <c r="D477" s="14">
        <v>3409.743765</v>
      </c>
      <c r="E477" s="14">
        <v>0.469013226</v>
      </c>
      <c r="F477" s="14">
        <v>-1.092299489</v>
      </c>
      <c r="G477" s="51" t="s">
        <v>2655</v>
      </c>
      <c r="H477" s="51" t="s">
        <v>2656</v>
      </c>
      <c r="I477" s="14" t="s">
        <v>147</v>
      </c>
      <c r="J477" s="14">
        <v>19.45194323</v>
      </c>
      <c r="K477" s="14">
        <v>26.82204605</v>
      </c>
      <c r="L477" s="14">
        <v>21.98351514</v>
      </c>
      <c r="M477" s="14">
        <v>40.33135507</v>
      </c>
      <c r="N477" s="14">
        <v>42.06461395</v>
      </c>
      <c r="O477" s="14">
        <v>36.97911406</v>
      </c>
      <c r="P477" s="14" t="s">
        <v>2657</v>
      </c>
      <c r="Q477" s="14" t="s">
        <v>2658</v>
      </c>
      <c r="T477" s="14" t="s">
        <v>2659</v>
      </c>
      <c r="U477" s="14" t="s">
        <v>2660</v>
      </c>
    </row>
    <row r="478" spans="1:21">
      <c r="A478" s="14" t="s">
        <v>2661</v>
      </c>
      <c r="B478" s="14">
        <v>1134.895369</v>
      </c>
      <c r="C478" s="14">
        <v>502.8808462</v>
      </c>
      <c r="D478" s="14">
        <v>1766.909891</v>
      </c>
      <c r="E478" s="14">
        <v>3.512100644</v>
      </c>
      <c r="F478" s="14">
        <v>1.812334188</v>
      </c>
      <c r="G478" s="14">
        <v>0.000221973</v>
      </c>
      <c r="H478" s="14">
        <v>0.000962982</v>
      </c>
      <c r="I478" s="14" t="s">
        <v>164</v>
      </c>
      <c r="J478" s="14">
        <v>28.23476743</v>
      </c>
      <c r="K478" s="14">
        <v>35.62807013</v>
      </c>
      <c r="L478" s="14">
        <v>32.41853906</v>
      </c>
      <c r="M478" s="14">
        <v>3.57204846</v>
      </c>
      <c r="N478" s="14">
        <v>4.785921907</v>
      </c>
      <c r="O478" s="14">
        <v>15.06393249</v>
      </c>
      <c r="P478" s="14" t="s">
        <v>2662</v>
      </c>
      <c r="Q478" s="14" t="s">
        <v>2663</v>
      </c>
      <c r="T478" s="14" t="s">
        <v>2664</v>
      </c>
      <c r="U478" s="14" t="s">
        <v>2665</v>
      </c>
    </row>
    <row r="479" spans="1:21">
      <c r="A479" s="14" t="s">
        <v>2666</v>
      </c>
      <c r="B479" s="14">
        <v>28255.90139</v>
      </c>
      <c r="C479" s="14">
        <v>42324.28632</v>
      </c>
      <c r="D479" s="14">
        <v>14187.51645</v>
      </c>
      <c r="E479" s="14">
        <v>0.335211225</v>
      </c>
      <c r="F479" s="14">
        <v>-1.576857636</v>
      </c>
      <c r="G479" s="14">
        <v>0.000290015</v>
      </c>
      <c r="H479" s="14">
        <v>0.001224468</v>
      </c>
      <c r="I479" s="14" t="s">
        <v>147</v>
      </c>
      <c r="J479" s="14">
        <v>272.3644176</v>
      </c>
      <c r="K479" s="14">
        <v>403.1867884</v>
      </c>
      <c r="L479" s="14">
        <v>312.5985624</v>
      </c>
      <c r="M479" s="14">
        <v>994.3657676</v>
      </c>
      <c r="N479" s="14">
        <v>1013.490759</v>
      </c>
      <c r="O479" s="14">
        <v>365.7610391</v>
      </c>
      <c r="Q479" s="14" t="s">
        <v>2667</v>
      </c>
      <c r="R479" s="14" t="s">
        <v>2668</v>
      </c>
      <c r="S479" s="14" t="s">
        <v>2669</v>
      </c>
      <c r="T479" s="14" t="s">
        <v>2670</v>
      </c>
      <c r="U479" s="14" t="s">
        <v>2671</v>
      </c>
    </row>
    <row r="480" spans="1:21">
      <c r="A480" s="14" t="s">
        <v>2672</v>
      </c>
      <c r="B480" s="14">
        <v>2855.046863</v>
      </c>
      <c r="C480" s="14">
        <v>1121.636913</v>
      </c>
      <c r="D480" s="14">
        <v>4588.456813</v>
      </c>
      <c r="E480" s="14">
        <v>4.09186529</v>
      </c>
      <c r="F480" s="14">
        <v>2.03275865</v>
      </c>
      <c r="G480" s="51" t="s">
        <v>2673</v>
      </c>
      <c r="H480" s="51" t="s">
        <v>2674</v>
      </c>
      <c r="I480" s="14" t="s">
        <v>164</v>
      </c>
      <c r="J480" s="14">
        <v>48.79706794</v>
      </c>
      <c r="K480" s="14">
        <v>45.05622497</v>
      </c>
      <c r="L480" s="14">
        <v>44.85994244</v>
      </c>
      <c r="M480" s="14">
        <v>9.224745043</v>
      </c>
      <c r="N480" s="14">
        <v>10.70200214</v>
      </c>
      <c r="O480" s="14">
        <v>7.78853063</v>
      </c>
      <c r="P480" s="14" t="s">
        <v>2675</v>
      </c>
      <c r="Q480" s="14" t="s">
        <v>2676</v>
      </c>
      <c r="T480" s="14" t="s">
        <v>2677</v>
      </c>
      <c r="U480" s="14" t="s">
        <v>2678</v>
      </c>
    </row>
    <row r="481" spans="1:15">
      <c r="A481" s="14" t="s">
        <v>2679</v>
      </c>
      <c r="B481" s="14">
        <v>2154.251866</v>
      </c>
      <c r="C481" s="14">
        <v>1194.920855</v>
      </c>
      <c r="D481" s="14">
        <v>3113.582877</v>
      </c>
      <c r="E481" s="14">
        <v>2.605968425</v>
      </c>
      <c r="F481" s="14">
        <v>1.381819604</v>
      </c>
      <c r="G481" s="14">
        <v>0.004463635</v>
      </c>
      <c r="H481" s="14">
        <v>0.013403696</v>
      </c>
      <c r="I481" s="14" t="s">
        <v>164</v>
      </c>
      <c r="J481" s="14">
        <v>86.70054954</v>
      </c>
      <c r="K481" s="14">
        <v>92.95039526</v>
      </c>
      <c r="L481" s="14">
        <v>93.46143504</v>
      </c>
      <c r="M481" s="14">
        <v>30.57407313</v>
      </c>
      <c r="N481" s="14">
        <v>42.7860196</v>
      </c>
      <c r="O481" s="14">
        <v>10.83564248</v>
      </c>
    </row>
    <row r="482" spans="1:15">
      <c r="A482" s="14" t="s">
        <v>2680</v>
      </c>
      <c r="B482" s="14">
        <v>1375.009334</v>
      </c>
      <c r="C482" s="14">
        <v>789.6492757</v>
      </c>
      <c r="D482" s="14">
        <v>1960.369392</v>
      </c>
      <c r="E482" s="14">
        <v>2.48176967</v>
      </c>
      <c r="F482" s="14">
        <v>1.311369227</v>
      </c>
      <c r="G482" s="51" t="s">
        <v>2681</v>
      </c>
      <c r="H482" s="51" t="s">
        <v>2682</v>
      </c>
      <c r="I482" s="14" t="s">
        <v>164</v>
      </c>
      <c r="J482" s="14">
        <v>29.88980249</v>
      </c>
      <c r="K482" s="14">
        <v>41.28825174</v>
      </c>
      <c r="L482" s="14">
        <v>41.26441748</v>
      </c>
      <c r="M482" s="14">
        <v>10.09013665</v>
      </c>
      <c r="N482" s="14">
        <v>10.81457561</v>
      </c>
      <c r="O482" s="14">
        <v>16.82838819</v>
      </c>
    </row>
    <row r="483" spans="1:15">
      <c r="A483" s="14" t="s">
        <v>2683</v>
      </c>
      <c r="B483" s="14">
        <v>88.92414411</v>
      </c>
      <c r="C483" s="14">
        <v>165.0980135</v>
      </c>
      <c r="D483" s="14">
        <v>12.75027468</v>
      </c>
      <c r="E483" s="14">
        <v>0.077116425</v>
      </c>
      <c r="F483" s="14">
        <v>-3.696818025</v>
      </c>
      <c r="G483" s="14">
        <v>0.00438857</v>
      </c>
      <c r="H483" s="14">
        <v>0.013204998</v>
      </c>
      <c r="I483" s="14" t="s">
        <v>147</v>
      </c>
      <c r="J483" s="14">
        <v>0.133878749</v>
      </c>
      <c r="K483" s="14">
        <v>4.851106563</v>
      </c>
      <c r="L483" s="14">
        <v>0.128905078</v>
      </c>
      <c r="M483" s="14">
        <v>27.72011953</v>
      </c>
      <c r="N483" s="14">
        <v>20.22035593</v>
      </c>
      <c r="O483" s="14">
        <v>5.491421961</v>
      </c>
    </row>
    <row r="484" spans="1:15">
      <c r="A484" s="14" t="s">
        <v>2684</v>
      </c>
      <c r="B484" s="14">
        <v>447.7444056</v>
      </c>
      <c r="C484" s="14">
        <v>175.7781299</v>
      </c>
      <c r="D484" s="14">
        <v>719.7106814</v>
      </c>
      <c r="E484" s="14">
        <v>4.091718396</v>
      </c>
      <c r="F484" s="14">
        <v>2.032706858</v>
      </c>
      <c r="G484" s="14">
        <v>0.000321416</v>
      </c>
      <c r="H484" s="14">
        <v>0.001344304</v>
      </c>
      <c r="I484" s="14" t="s">
        <v>164</v>
      </c>
      <c r="J484" s="14">
        <v>171.3647991</v>
      </c>
      <c r="K484" s="14">
        <v>62.39062052</v>
      </c>
      <c r="L484" s="14">
        <v>57.49166497</v>
      </c>
      <c r="M484" s="14">
        <v>13.05823812</v>
      </c>
      <c r="N484" s="14">
        <v>12.74761569</v>
      </c>
      <c r="O484" s="14">
        <v>34.51750947</v>
      </c>
    </row>
    <row r="485" spans="1:15">
      <c r="A485" s="14" t="s">
        <v>2685</v>
      </c>
      <c r="B485" s="14">
        <v>26.88274351</v>
      </c>
      <c r="C485" s="14">
        <v>0.309088846</v>
      </c>
      <c r="D485" s="14">
        <v>53.45639818</v>
      </c>
      <c r="E485" s="14">
        <v>148.1141318</v>
      </c>
      <c r="F485" s="14">
        <v>7.210565487</v>
      </c>
      <c r="G485" s="51" t="s">
        <v>2686</v>
      </c>
      <c r="H485" s="51" t="s">
        <v>2687</v>
      </c>
      <c r="I485" s="14" t="s">
        <v>164</v>
      </c>
      <c r="J485" s="14">
        <v>8.783323848</v>
      </c>
      <c r="K485" s="14">
        <v>2.896084109</v>
      </c>
      <c r="L485" s="14">
        <v>12.97714896</v>
      </c>
      <c r="M485" s="14">
        <v>0</v>
      </c>
      <c r="N485" s="14">
        <v>0</v>
      </c>
      <c r="O485" s="14">
        <v>0.126767519</v>
      </c>
    </row>
    <row r="486" spans="1:15">
      <c r="A486" s="14" t="s">
        <v>2688</v>
      </c>
      <c r="B486" s="14">
        <v>30.98601499</v>
      </c>
      <c r="C486" s="14">
        <v>46.97713846</v>
      </c>
      <c r="D486" s="14">
        <v>14.99489153</v>
      </c>
      <c r="E486" s="14">
        <v>0.319708286</v>
      </c>
      <c r="F486" s="14">
        <v>-1.64517196</v>
      </c>
      <c r="G486" s="14">
        <v>0.001143391</v>
      </c>
      <c r="H486" s="14">
        <v>0.004122919</v>
      </c>
      <c r="I486" s="14" t="s">
        <v>147</v>
      </c>
      <c r="J486" s="14">
        <v>2.732257856</v>
      </c>
      <c r="K486" s="14">
        <v>1.178613918</v>
      </c>
      <c r="L486" s="14">
        <v>2.004383191</v>
      </c>
      <c r="M486" s="14">
        <v>5.120687893</v>
      </c>
      <c r="N486" s="14">
        <v>5.660275691</v>
      </c>
      <c r="O486" s="14">
        <v>4.356517566</v>
      </c>
    </row>
    <row r="487" spans="1:21">
      <c r="A487" s="14" t="s">
        <v>2689</v>
      </c>
      <c r="B487" s="14">
        <v>273.4340665</v>
      </c>
      <c r="C487" s="14">
        <v>158.1826642</v>
      </c>
      <c r="D487" s="14">
        <v>388.6854688</v>
      </c>
      <c r="E487" s="14">
        <v>2.454238133</v>
      </c>
      <c r="F487" s="14">
        <v>1.295275239</v>
      </c>
      <c r="G487" s="14">
        <v>0.010135426</v>
      </c>
      <c r="H487" s="14">
        <v>0.027330665</v>
      </c>
      <c r="I487" s="14" t="s">
        <v>164</v>
      </c>
      <c r="J487" s="14">
        <v>5.545483616</v>
      </c>
      <c r="K487" s="14">
        <v>5.391741933</v>
      </c>
      <c r="L487" s="14">
        <v>6.164147666</v>
      </c>
      <c r="M487" s="14">
        <v>0.881865796</v>
      </c>
      <c r="N487" s="14">
        <v>1.310774775</v>
      </c>
      <c r="O487" s="14">
        <v>3.742862473</v>
      </c>
      <c r="P487" s="14" t="s">
        <v>2459</v>
      </c>
      <c r="Q487" s="14" t="s">
        <v>2460</v>
      </c>
      <c r="R487" s="14" t="s">
        <v>1285</v>
      </c>
      <c r="S487" s="14" t="s">
        <v>1286</v>
      </c>
      <c r="T487" s="14" t="s">
        <v>2461</v>
      </c>
      <c r="U487" s="14" t="s">
        <v>2462</v>
      </c>
    </row>
    <row r="488" spans="1:21">
      <c r="A488" s="14" t="s">
        <v>2690</v>
      </c>
      <c r="B488" s="14">
        <v>335.9818136</v>
      </c>
      <c r="C488" s="14">
        <v>62.99545966</v>
      </c>
      <c r="D488" s="14">
        <v>608.9681675</v>
      </c>
      <c r="E488" s="14">
        <v>9.646816881</v>
      </c>
      <c r="F488" s="14">
        <v>3.270052981</v>
      </c>
      <c r="G488" s="51" t="s">
        <v>2691</v>
      </c>
      <c r="H488" s="14">
        <v>0.000138493</v>
      </c>
      <c r="I488" s="14" t="s">
        <v>164</v>
      </c>
      <c r="J488" s="14">
        <v>8.931954228</v>
      </c>
      <c r="K488" s="14">
        <v>13.19927985</v>
      </c>
      <c r="L488" s="14">
        <v>11.69052185</v>
      </c>
      <c r="M488" s="14">
        <v>0.2196917</v>
      </c>
      <c r="N488" s="14">
        <v>0.376371615</v>
      </c>
      <c r="O488" s="14">
        <v>2.456487734</v>
      </c>
      <c r="P488" s="14" t="s">
        <v>2459</v>
      </c>
      <c r="Q488" s="14" t="s">
        <v>2460</v>
      </c>
      <c r="R488" s="14" t="s">
        <v>1285</v>
      </c>
      <c r="S488" s="14" t="s">
        <v>1286</v>
      </c>
      <c r="T488" s="14" t="s">
        <v>2461</v>
      </c>
      <c r="U488" s="14" t="s">
        <v>2462</v>
      </c>
    </row>
    <row r="489" spans="1:21">
      <c r="A489" s="14" t="s">
        <v>2692</v>
      </c>
      <c r="B489" s="14">
        <v>1925.786634</v>
      </c>
      <c r="C489" s="14">
        <v>2839.49509</v>
      </c>
      <c r="D489" s="14">
        <v>1012.078177</v>
      </c>
      <c r="E489" s="14">
        <v>0.356432849</v>
      </c>
      <c r="F489" s="14">
        <v>-1.488297793</v>
      </c>
      <c r="G489" s="51" t="s">
        <v>2693</v>
      </c>
      <c r="H489" s="51" t="s">
        <v>2694</v>
      </c>
      <c r="I489" s="14" t="s">
        <v>147</v>
      </c>
      <c r="J489" s="14">
        <v>7.973916524</v>
      </c>
      <c r="K489" s="14">
        <v>10.29036969</v>
      </c>
      <c r="L489" s="14">
        <v>7.236435001</v>
      </c>
      <c r="M489" s="14">
        <v>22.24243997</v>
      </c>
      <c r="N489" s="14">
        <v>20.90125787</v>
      </c>
      <c r="O489" s="14">
        <v>15.21919155</v>
      </c>
      <c r="P489" s="14" t="s">
        <v>2695</v>
      </c>
      <c r="Q489" s="14" t="s">
        <v>2696</v>
      </c>
      <c r="T489" s="14" t="s">
        <v>2697</v>
      </c>
      <c r="U489" s="14" t="s">
        <v>2698</v>
      </c>
    </row>
    <row r="490" spans="1:21">
      <c r="A490" s="14" t="s">
        <v>2699</v>
      </c>
      <c r="B490" s="14">
        <v>197.9949524</v>
      </c>
      <c r="C490" s="14">
        <v>106.0996105</v>
      </c>
      <c r="D490" s="14">
        <v>289.8902943</v>
      </c>
      <c r="E490" s="14">
        <v>2.729532193</v>
      </c>
      <c r="F490" s="14">
        <v>1.448653713</v>
      </c>
      <c r="G490" s="51" t="s">
        <v>2700</v>
      </c>
      <c r="H490" s="51" t="s">
        <v>2701</v>
      </c>
      <c r="I490" s="14" t="s">
        <v>164</v>
      </c>
      <c r="J490" s="14">
        <v>16.58322195</v>
      </c>
      <c r="K490" s="14">
        <v>20.78036762</v>
      </c>
      <c r="L490" s="14">
        <v>11.35917763</v>
      </c>
      <c r="M490" s="14">
        <v>4.237510057</v>
      </c>
      <c r="N490" s="14">
        <v>4.75056555</v>
      </c>
      <c r="O490" s="14">
        <v>5.822905633</v>
      </c>
      <c r="P490" s="14" t="s">
        <v>2702</v>
      </c>
      <c r="Q490" s="14" t="s">
        <v>2703</v>
      </c>
      <c r="R490" s="14" t="s">
        <v>754</v>
      </c>
      <c r="S490" s="14" t="s">
        <v>755</v>
      </c>
      <c r="T490" s="14" t="s">
        <v>2704</v>
      </c>
      <c r="U490" s="14" t="s">
        <v>2705</v>
      </c>
    </row>
    <row r="491" spans="1:21">
      <c r="A491" s="14" t="s">
        <v>2706</v>
      </c>
      <c r="B491" s="14">
        <v>173.2002814</v>
      </c>
      <c r="C491" s="14">
        <v>99.65073708</v>
      </c>
      <c r="D491" s="14">
        <v>246.7498257</v>
      </c>
      <c r="E491" s="14">
        <v>2.471715368</v>
      </c>
      <c r="F491" s="14">
        <v>1.305512618</v>
      </c>
      <c r="G491" s="14">
        <v>0.000126035</v>
      </c>
      <c r="H491" s="14">
        <v>0.000582679</v>
      </c>
      <c r="I491" s="14" t="s">
        <v>164</v>
      </c>
      <c r="J491" s="14">
        <v>1.766664485</v>
      </c>
      <c r="K491" s="14">
        <v>1.393366121</v>
      </c>
      <c r="L491" s="14">
        <v>1.770850379</v>
      </c>
      <c r="M491" s="14">
        <v>0.315846012</v>
      </c>
      <c r="N491" s="14">
        <v>0.606033503</v>
      </c>
      <c r="O491" s="14">
        <v>0.739436991</v>
      </c>
      <c r="P491" s="14" t="s">
        <v>2707</v>
      </c>
      <c r="Q491" s="14" t="s">
        <v>2708</v>
      </c>
      <c r="T491" s="14" t="s">
        <v>2709</v>
      </c>
      <c r="U491" s="14" t="s">
        <v>2710</v>
      </c>
    </row>
    <row r="492" spans="1:21">
      <c r="A492" s="14" t="s">
        <v>2711</v>
      </c>
      <c r="B492" s="14">
        <v>5117.817042</v>
      </c>
      <c r="C492" s="14">
        <v>8576.431543</v>
      </c>
      <c r="D492" s="14">
        <v>1659.20254</v>
      </c>
      <c r="E492" s="14">
        <v>0.193460174</v>
      </c>
      <c r="F492" s="14">
        <v>-2.369891495</v>
      </c>
      <c r="G492" s="51" t="s">
        <v>2712</v>
      </c>
      <c r="H492" s="51" t="s">
        <v>2713</v>
      </c>
      <c r="I492" s="14" t="s">
        <v>147</v>
      </c>
      <c r="J492" s="14">
        <v>37.22412326</v>
      </c>
      <c r="K492" s="14">
        <v>48.49838852</v>
      </c>
      <c r="L492" s="14">
        <v>35.42284606</v>
      </c>
      <c r="M492" s="14">
        <v>196.5865905</v>
      </c>
      <c r="N492" s="14">
        <v>198.7667153</v>
      </c>
      <c r="O492" s="14">
        <v>113.2036156</v>
      </c>
      <c r="P492" s="14" t="s">
        <v>2707</v>
      </c>
      <c r="Q492" s="14" t="s">
        <v>2708</v>
      </c>
      <c r="T492" s="14" t="s">
        <v>2709</v>
      </c>
      <c r="U492" s="14" t="s">
        <v>2710</v>
      </c>
    </row>
    <row r="493" spans="1:15">
      <c r="A493" s="14" t="s">
        <v>2714</v>
      </c>
      <c r="B493" s="14">
        <v>58.04170459</v>
      </c>
      <c r="C493" s="14">
        <v>32.67714836</v>
      </c>
      <c r="D493" s="14">
        <v>83.40626083</v>
      </c>
      <c r="E493" s="14">
        <v>2.551558332</v>
      </c>
      <c r="F493" s="14">
        <v>1.351378624</v>
      </c>
      <c r="G493" s="14">
        <v>0.00659276</v>
      </c>
      <c r="H493" s="14">
        <v>0.018807948</v>
      </c>
      <c r="I493" s="14" t="s">
        <v>164</v>
      </c>
      <c r="J493" s="14">
        <v>6.232620329</v>
      </c>
      <c r="K493" s="14">
        <v>9.409977791</v>
      </c>
      <c r="L493" s="14">
        <v>12.53796022</v>
      </c>
      <c r="M493" s="14">
        <v>3.332873079</v>
      </c>
      <c r="N493" s="14">
        <v>1.644426536</v>
      </c>
      <c r="O493" s="14">
        <v>4.192492056</v>
      </c>
    </row>
    <row r="494" spans="1:21">
      <c r="A494" s="14" t="s">
        <v>2715</v>
      </c>
      <c r="B494" s="14">
        <v>8143.02569</v>
      </c>
      <c r="C494" s="14">
        <v>3159.321688</v>
      </c>
      <c r="D494" s="14">
        <v>13126.72969</v>
      </c>
      <c r="E494" s="14">
        <v>4.154536859</v>
      </c>
      <c r="F494" s="14">
        <v>2.054687657</v>
      </c>
      <c r="G494" s="51" t="s">
        <v>2716</v>
      </c>
      <c r="H494" s="51" t="s">
        <v>2717</v>
      </c>
      <c r="I494" s="14" t="s">
        <v>164</v>
      </c>
      <c r="J494" s="14">
        <v>94.84615155</v>
      </c>
      <c r="K494" s="14">
        <v>124.0317017</v>
      </c>
      <c r="L494" s="14">
        <v>130.801737</v>
      </c>
      <c r="M494" s="14">
        <v>18.755237</v>
      </c>
      <c r="N494" s="14">
        <v>19.63837137</v>
      </c>
      <c r="O494" s="14">
        <v>31.7553239</v>
      </c>
      <c r="P494" s="14" t="s">
        <v>2718</v>
      </c>
      <c r="Q494" s="14" t="s">
        <v>2719</v>
      </c>
      <c r="T494" s="14" t="s">
        <v>2720</v>
      </c>
      <c r="U494" s="14" t="s">
        <v>2721</v>
      </c>
    </row>
    <row r="495" spans="1:21">
      <c r="A495" s="14" t="s">
        <v>2722</v>
      </c>
      <c r="B495" s="14">
        <v>214.8773332</v>
      </c>
      <c r="C495" s="14">
        <v>306.6173777</v>
      </c>
      <c r="D495" s="14">
        <v>123.1372887</v>
      </c>
      <c r="E495" s="14">
        <v>0.401667278</v>
      </c>
      <c r="F495" s="14">
        <v>-1.315927157</v>
      </c>
      <c r="G495" s="14">
        <v>0.000648095</v>
      </c>
      <c r="H495" s="14">
        <v>0.002499356</v>
      </c>
      <c r="I495" s="14" t="s">
        <v>147</v>
      </c>
      <c r="J495" s="14">
        <v>2.724169344</v>
      </c>
      <c r="K495" s="14">
        <v>1.289461242</v>
      </c>
      <c r="L495" s="14">
        <v>1.47453163</v>
      </c>
      <c r="M495" s="14">
        <v>4.485185991</v>
      </c>
      <c r="N495" s="14">
        <v>3.396471848</v>
      </c>
      <c r="O495" s="14">
        <v>3.291173094</v>
      </c>
      <c r="P495" s="14" t="s">
        <v>2723</v>
      </c>
      <c r="Q495" s="14" t="s">
        <v>2724</v>
      </c>
      <c r="T495" s="14" t="s">
        <v>2621</v>
      </c>
      <c r="U495" s="14" t="s">
        <v>2622</v>
      </c>
    </row>
    <row r="496" spans="1:21">
      <c r="A496" s="14" t="s">
        <v>2725</v>
      </c>
      <c r="B496" s="14">
        <v>2846.7215</v>
      </c>
      <c r="C496" s="14">
        <v>4643.018563</v>
      </c>
      <c r="D496" s="14">
        <v>1050.424437</v>
      </c>
      <c r="E496" s="14">
        <v>0.22624356</v>
      </c>
      <c r="F496" s="14">
        <v>-2.144051368</v>
      </c>
      <c r="G496" s="51" t="s">
        <v>2726</v>
      </c>
      <c r="H496" s="51" t="s">
        <v>2727</v>
      </c>
      <c r="I496" s="14" t="s">
        <v>147</v>
      </c>
      <c r="J496" s="14">
        <v>9.967771834</v>
      </c>
      <c r="K496" s="14">
        <v>5.546678558</v>
      </c>
      <c r="L496" s="14">
        <v>6.534017223</v>
      </c>
      <c r="M496" s="14">
        <v>31.3616378</v>
      </c>
      <c r="N496" s="14">
        <v>32.42059445</v>
      </c>
      <c r="O496" s="14">
        <v>14.97629191</v>
      </c>
      <c r="P496" s="14" t="s">
        <v>2728</v>
      </c>
      <c r="Q496" s="14" t="s">
        <v>2729</v>
      </c>
      <c r="T496" s="14" t="s">
        <v>2730</v>
      </c>
      <c r="U496" s="14" t="s">
        <v>2731</v>
      </c>
    </row>
    <row r="497" spans="1:21">
      <c r="A497" s="14" t="s">
        <v>2732</v>
      </c>
      <c r="B497" s="14">
        <v>171.9900902</v>
      </c>
      <c r="C497" s="14">
        <v>258.3985213</v>
      </c>
      <c r="D497" s="14">
        <v>85.58165915</v>
      </c>
      <c r="E497" s="14">
        <v>0.331257982</v>
      </c>
      <c r="F497" s="14">
        <v>-1.593972879</v>
      </c>
      <c r="G497" s="14">
        <v>0.017606503</v>
      </c>
      <c r="H497" s="14">
        <v>0.043674228</v>
      </c>
      <c r="I497" s="14" t="s">
        <v>147</v>
      </c>
      <c r="J497" s="14">
        <v>1.792657151</v>
      </c>
      <c r="K497" s="14">
        <v>0.306401259</v>
      </c>
      <c r="L497" s="14">
        <v>0.825034456</v>
      </c>
      <c r="M497" s="14">
        <v>2.392323357</v>
      </c>
      <c r="N497" s="14">
        <v>3.313160435</v>
      </c>
      <c r="O497" s="14">
        <v>1.44400479</v>
      </c>
      <c r="P497" s="14" t="s">
        <v>2728</v>
      </c>
      <c r="Q497" s="14" t="s">
        <v>2729</v>
      </c>
      <c r="T497" s="14" t="s">
        <v>2730</v>
      </c>
      <c r="U497" s="14" t="s">
        <v>2731</v>
      </c>
    </row>
    <row r="498" spans="1:21">
      <c r="A498" s="14" t="s">
        <v>2733</v>
      </c>
      <c r="B498" s="14">
        <v>2421.942115</v>
      </c>
      <c r="C498" s="14">
        <v>1232.799498</v>
      </c>
      <c r="D498" s="14">
        <v>3611.084733</v>
      </c>
      <c r="E498" s="14">
        <v>2.929899093</v>
      </c>
      <c r="F498" s="14">
        <v>1.550850978</v>
      </c>
      <c r="G498" s="51" t="s">
        <v>2734</v>
      </c>
      <c r="H498" s="51" t="s">
        <v>2735</v>
      </c>
      <c r="I498" s="14" t="s">
        <v>164</v>
      </c>
      <c r="J498" s="14">
        <v>35.46998736</v>
      </c>
      <c r="K498" s="14">
        <v>40.55362953</v>
      </c>
      <c r="L498" s="14">
        <v>39.08761326</v>
      </c>
      <c r="M498" s="14">
        <v>11.06754004</v>
      </c>
      <c r="N498" s="14">
        <v>12.10399107</v>
      </c>
      <c r="O498" s="14">
        <v>8.925194064</v>
      </c>
      <c r="P498" s="14" t="s">
        <v>2736</v>
      </c>
      <c r="Q498" s="14" t="s">
        <v>2737</v>
      </c>
      <c r="T498" s="14" t="s">
        <v>2738</v>
      </c>
      <c r="U498" s="14" t="s">
        <v>2739</v>
      </c>
    </row>
    <row r="499" spans="1:15">
      <c r="A499" s="14" t="s">
        <v>2740</v>
      </c>
      <c r="B499" s="14">
        <v>2168.630978</v>
      </c>
      <c r="C499" s="14">
        <v>2905.314742</v>
      </c>
      <c r="D499" s="14">
        <v>1431.947214</v>
      </c>
      <c r="E499" s="14">
        <v>0.492908895</v>
      </c>
      <c r="F499" s="14">
        <v>-1.020607079</v>
      </c>
      <c r="G499" s="51" t="s">
        <v>2741</v>
      </c>
      <c r="H499" s="14">
        <v>0.00017457</v>
      </c>
      <c r="I499" s="14" t="s">
        <v>147</v>
      </c>
      <c r="J499" s="14">
        <v>17.46309377</v>
      </c>
      <c r="K499" s="14">
        <v>19.16143701</v>
      </c>
      <c r="L499" s="14">
        <v>17.10073449</v>
      </c>
      <c r="M499" s="14">
        <v>32.39585851</v>
      </c>
      <c r="N499" s="14">
        <v>34.04046279</v>
      </c>
      <c r="O499" s="14">
        <v>22.33733267</v>
      </c>
    </row>
    <row r="500" spans="1:21">
      <c r="A500" s="14" t="s">
        <v>2742</v>
      </c>
      <c r="B500" s="14">
        <v>171.1855236</v>
      </c>
      <c r="C500" s="14">
        <v>26.16067296</v>
      </c>
      <c r="D500" s="14">
        <v>316.2103742</v>
      </c>
      <c r="E500" s="14">
        <v>12.0850713</v>
      </c>
      <c r="F500" s="14">
        <v>3.59515408</v>
      </c>
      <c r="G500" s="51" t="s">
        <v>2743</v>
      </c>
      <c r="H500" s="51" t="s">
        <v>2744</v>
      </c>
      <c r="I500" s="14" t="s">
        <v>164</v>
      </c>
      <c r="J500" s="14">
        <v>5.729213698</v>
      </c>
      <c r="K500" s="14">
        <v>11.35850323</v>
      </c>
      <c r="L500" s="14">
        <v>3.593998756</v>
      </c>
      <c r="M500" s="14">
        <v>0.427058152</v>
      </c>
      <c r="N500" s="14">
        <v>0.498779336</v>
      </c>
      <c r="O500" s="14">
        <v>0.490492023</v>
      </c>
      <c r="P500" s="14" t="s">
        <v>2745</v>
      </c>
      <c r="Q500" s="14" t="s">
        <v>2746</v>
      </c>
      <c r="R500" s="14" t="s">
        <v>341</v>
      </c>
      <c r="S500" s="14" t="s">
        <v>342</v>
      </c>
      <c r="T500" s="14" t="s">
        <v>2747</v>
      </c>
      <c r="U500" s="14" t="s">
        <v>2748</v>
      </c>
    </row>
    <row r="501" spans="1:21">
      <c r="A501" s="14" t="s">
        <v>2749</v>
      </c>
      <c r="B501" s="14">
        <v>57346.46492</v>
      </c>
      <c r="C501" s="14">
        <v>85454.74369</v>
      </c>
      <c r="D501" s="14">
        <v>29238.18616</v>
      </c>
      <c r="E501" s="14">
        <v>0.342148364</v>
      </c>
      <c r="F501" s="14">
        <v>-1.547306046</v>
      </c>
      <c r="G501" s="51" t="s">
        <v>2750</v>
      </c>
      <c r="H501" s="51" t="s">
        <v>2751</v>
      </c>
      <c r="I501" s="14" t="s">
        <v>147</v>
      </c>
      <c r="J501" s="14">
        <v>283.0660523</v>
      </c>
      <c r="K501" s="14">
        <v>329.4696663</v>
      </c>
      <c r="L501" s="14">
        <v>277.917664</v>
      </c>
      <c r="M501" s="14">
        <v>745.8723071</v>
      </c>
      <c r="N501" s="14">
        <v>723.0016237</v>
      </c>
      <c r="O501" s="14">
        <v>665.8142202</v>
      </c>
      <c r="P501" s="14" t="s">
        <v>2752</v>
      </c>
      <c r="Q501" s="14" t="s">
        <v>2753</v>
      </c>
      <c r="R501" s="14" t="s">
        <v>2754</v>
      </c>
      <c r="S501" s="14" t="s">
        <v>2755</v>
      </c>
      <c r="T501" s="14" t="s">
        <v>2756</v>
      </c>
      <c r="U501" s="14" t="s">
        <v>2757</v>
      </c>
    </row>
    <row r="502" spans="1:21">
      <c r="A502" s="14" t="s">
        <v>2758</v>
      </c>
      <c r="B502" s="14">
        <v>190.4909695</v>
      </c>
      <c r="C502" s="14">
        <v>285.7438938</v>
      </c>
      <c r="D502" s="14">
        <v>95.23804514</v>
      </c>
      <c r="E502" s="14">
        <v>0.333334659</v>
      </c>
      <c r="F502" s="14">
        <v>-1.584956764</v>
      </c>
      <c r="G502" s="14">
        <v>0.000162311</v>
      </c>
      <c r="H502" s="14">
        <v>0.000730296</v>
      </c>
      <c r="I502" s="14" t="s">
        <v>147</v>
      </c>
      <c r="J502" s="14">
        <v>1.351185296</v>
      </c>
      <c r="K502" s="14">
        <v>0.547654373</v>
      </c>
      <c r="L502" s="14">
        <v>0.715979974</v>
      </c>
      <c r="M502" s="14">
        <v>2.226786732</v>
      </c>
      <c r="N502" s="14">
        <v>2.419197525</v>
      </c>
      <c r="O502" s="14">
        <v>1.761139333</v>
      </c>
      <c r="P502" s="14" t="s">
        <v>2759</v>
      </c>
      <c r="Q502" s="14" t="s">
        <v>2760</v>
      </c>
      <c r="T502" s="14" t="s">
        <v>2761</v>
      </c>
      <c r="U502" s="14" t="s">
        <v>2762</v>
      </c>
    </row>
    <row r="503" spans="1:21">
      <c r="A503" s="14" t="s">
        <v>2763</v>
      </c>
      <c r="B503" s="14">
        <v>4.108077738</v>
      </c>
      <c r="C503" s="14">
        <v>7.884471838</v>
      </c>
      <c r="D503" s="14">
        <v>0.331683638</v>
      </c>
      <c r="E503" s="14">
        <v>0.044438042</v>
      </c>
      <c r="F503" s="14">
        <v>-4.492060953</v>
      </c>
      <c r="G503" s="14">
        <v>0.007715028</v>
      </c>
      <c r="H503" s="14">
        <v>0.021553174</v>
      </c>
      <c r="I503" s="14" t="s">
        <v>147</v>
      </c>
      <c r="J503" s="14">
        <v>0.040163625</v>
      </c>
      <c r="K503" s="14">
        <v>0</v>
      </c>
      <c r="L503" s="14">
        <v>0</v>
      </c>
      <c r="M503" s="14">
        <v>0.206182707</v>
      </c>
      <c r="N503" s="14">
        <v>0.164839858</v>
      </c>
      <c r="O503" s="14">
        <v>0.43707236</v>
      </c>
      <c r="P503" s="14" t="s">
        <v>2764</v>
      </c>
      <c r="Q503" s="14" t="s">
        <v>2765</v>
      </c>
      <c r="T503" s="14" t="s">
        <v>2766</v>
      </c>
      <c r="U503" s="14" t="s">
        <v>2767</v>
      </c>
    </row>
    <row r="504" spans="1:21">
      <c r="A504" s="14" t="s">
        <v>2768</v>
      </c>
      <c r="B504" s="14">
        <v>299.2985456</v>
      </c>
      <c r="C504" s="14">
        <v>476.2978034</v>
      </c>
      <c r="D504" s="14">
        <v>122.2992879</v>
      </c>
      <c r="E504" s="14">
        <v>0.256685929</v>
      </c>
      <c r="F504" s="14">
        <v>-1.96192388</v>
      </c>
      <c r="G504" s="14">
        <v>0.006067353</v>
      </c>
      <c r="H504" s="14">
        <v>0.017528018</v>
      </c>
      <c r="I504" s="14" t="s">
        <v>147</v>
      </c>
      <c r="J504" s="14">
        <v>1.049585205</v>
      </c>
      <c r="K504" s="14">
        <v>2.248567114</v>
      </c>
      <c r="L504" s="14">
        <v>0.241058767</v>
      </c>
      <c r="M504" s="14">
        <v>4.638394503</v>
      </c>
      <c r="N504" s="14">
        <v>3.904608342</v>
      </c>
      <c r="O504" s="14">
        <v>2.740609817</v>
      </c>
      <c r="P504" s="14" t="s">
        <v>2769</v>
      </c>
      <c r="Q504" s="14" t="s">
        <v>2770</v>
      </c>
      <c r="T504" s="14" t="s">
        <v>2771</v>
      </c>
      <c r="U504" s="14" t="s">
        <v>2772</v>
      </c>
    </row>
    <row r="505" spans="1:15">
      <c r="A505" s="14" t="s">
        <v>2773</v>
      </c>
      <c r="B505" s="14">
        <v>152.0995912</v>
      </c>
      <c r="C505" s="14">
        <v>74.08378367</v>
      </c>
      <c r="D505" s="14">
        <v>230.1153988</v>
      </c>
      <c r="E505" s="14">
        <v>3.100094304</v>
      </c>
      <c r="F505" s="14">
        <v>1.632312102</v>
      </c>
      <c r="G505" s="14">
        <v>0.00789684</v>
      </c>
      <c r="H505" s="14">
        <v>0.021999752</v>
      </c>
      <c r="I505" s="14" t="s">
        <v>164</v>
      </c>
      <c r="J505" s="14">
        <v>2.021512277</v>
      </c>
      <c r="K505" s="14">
        <v>2.917497801</v>
      </c>
      <c r="L505" s="14">
        <v>2.512828136</v>
      </c>
      <c r="M505" s="14">
        <v>0.347749298</v>
      </c>
      <c r="N505" s="14">
        <v>0.28972625</v>
      </c>
      <c r="O505" s="14">
        <v>1.423602667</v>
      </c>
    </row>
    <row r="506" spans="1:15">
      <c r="A506" s="14" t="s">
        <v>2774</v>
      </c>
      <c r="B506" s="14">
        <v>836.7165371</v>
      </c>
      <c r="C506" s="14">
        <v>530.6373824</v>
      </c>
      <c r="D506" s="14">
        <v>1142.795692</v>
      </c>
      <c r="E506" s="14">
        <v>2.153890364</v>
      </c>
      <c r="F506" s="14">
        <v>1.106944817</v>
      </c>
      <c r="G506" s="51" t="s">
        <v>2775</v>
      </c>
      <c r="H506" s="51" t="s">
        <v>2776</v>
      </c>
      <c r="I506" s="14" t="s">
        <v>164</v>
      </c>
      <c r="J506" s="14">
        <v>11.47573023</v>
      </c>
      <c r="K506" s="14">
        <v>15.10641497</v>
      </c>
      <c r="L506" s="14">
        <v>11.34517784</v>
      </c>
      <c r="M506" s="14">
        <v>4.402400758</v>
      </c>
      <c r="N506" s="14">
        <v>5.646450342</v>
      </c>
      <c r="O506" s="14">
        <v>4.40825768</v>
      </c>
    </row>
    <row r="507" spans="1:21">
      <c r="A507" s="14" t="s">
        <v>2777</v>
      </c>
      <c r="B507" s="14">
        <v>483.3551864</v>
      </c>
      <c r="C507" s="14">
        <v>644.7700382</v>
      </c>
      <c r="D507" s="14">
        <v>321.9403345</v>
      </c>
      <c r="E507" s="14">
        <v>0.499655854</v>
      </c>
      <c r="F507" s="14">
        <v>-1.000993338</v>
      </c>
      <c r="G507" s="51" t="s">
        <v>2778</v>
      </c>
      <c r="H507" s="51" t="s">
        <v>2779</v>
      </c>
      <c r="I507" s="14" t="s">
        <v>147</v>
      </c>
      <c r="J507" s="14">
        <v>3.789900626</v>
      </c>
      <c r="K507" s="14">
        <v>3.561942783</v>
      </c>
      <c r="L507" s="14">
        <v>4.316763034</v>
      </c>
      <c r="M507" s="14">
        <v>6.863713807</v>
      </c>
      <c r="N507" s="14">
        <v>5.721322668</v>
      </c>
      <c r="O507" s="14">
        <v>6.615262918</v>
      </c>
      <c r="P507" s="14" t="s">
        <v>2780</v>
      </c>
      <c r="Q507" s="14" t="s">
        <v>2781</v>
      </c>
      <c r="R507" s="14" t="s">
        <v>2782</v>
      </c>
      <c r="S507" s="14" t="s">
        <v>2783</v>
      </c>
      <c r="T507" s="14" t="s">
        <v>2784</v>
      </c>
      <c r="U507" s="14" t="s">
        <v>2785</v>
      </c>
    </row>
    <row r="508" spans="1:21">
      <c r="A508" s="14" t="s">
        <v>2786</v>
      </c>
      <c r="B508" s="14">
        <v>715.2130656</v>
      </c>
      <c r="C508" s="14">
        <v>427.0215592</v>
      </c>
      <c r="D508" s="14">
        <v>1003.404572</v>
      </c>
      <c r="E508" s="14">
        <v>2.350935214</v>
      </c>
      <c r="F508" s="14">
        <v>1.233234782</v>
      </c>
      <c r="G508" s="14">
        <v>0.000609579</v>
      </c>
      <c r="H508" s="14">
        <v>0.002365671</v>
      </c>
      <c r="I508" s="14" t="s">
        <v>164</v>
      </c>
      <c r="J508" s="14">
        <v>12.1038336</v>
      </c>
      <c r="K508" s="14">
        <v>10.76705385</v>
      </c>
      <c r="L508" s="14">
        <v>11.61047989</v>
      </c>
      <c r="M508" s="14">
        <v>4.707261767</v>
      </c>
      <c r="N508" s="14">
        <v>4.879205821</v>
      </c>
      <c r="O508" s="14">
        <v>2.269517394</v>
      </c>
      <c r="P508" s="14" t="s">
        <v>2787</v>
      </c>
      <c r="Q508" s="14" t="s">
        <v>2788</v>
      </c>
      <c r="R508" s="14" t="s">
        <v>2789</v>
      </c>
      <c r="S508" s="14" t="s">
        <v>2790</v>
      </c>
      <c r="T508" s="14" t="s">
        <v>2791</v>
      </c>
      <c r="U508" s="14" t="s">
        <v>2792</v>
      </c>
    </row>
    <row r="509" spans="1:21">
      <c r="A509" s="14" t="s">
        <v>2793</v>
      </c>
      <c r="B509" s="14">
        <v>1015.066875</v>
      </c>
      <c r="C509" s="14">
        <v>1802.766301</v>
      </c>
      <c r="D509" s="14">
        <v>227.3674492</v>
      </c>
      <c r="E509" s="14">
        <v>0.126109892</v>
      </c>
      <c r="F509" s="14">
        <v>-2.987246653</v>
      </c>
      <c r="G509" s="51" t="s">
        <v>2794</v>
      </c>
      <c r="H509" s="51" t="s">
        <v>2795</v>
      </c>
      <c r="I509" s="14" t="s">
        <v>147</v>
      </c>
      <c r="J509" s="14">
        <v>11.6426981</v>
      </c>
      <c r="K509" s="14">
        <v>15.45991209</v>
      </c>
      <c r="L509" s="14">
        <v>10.47334693</v>
      </c>
      <c r="M509" s="14">
        <v>93.58132875</v>
      </c>
      <c r="N509" s="14">
        <v>99.56132353</v>
      </c>
      <c r="O509" s="14">
        <v>48.31867767</v>
      </c>
      <c r="P509" s="14" t="s">
        <v>2796</v>
      </c>
      <c r="Q509" s="14" t="s">
        <v>2797</v>
      </c>
      <c r="T509" s="14" t="s">
        <v>2798</v>
      </c>
      <c r="U509" s="14" t="s">
        <v>2799</v>
      </c>
    </row>
    <row r="510" spans="1:21">
      <c r="A510" s="14" t="s">
        <v>2800</v>
      </c>
      <c r="B510" s="14">
        <v>977.3897995</v>
      </c>
      <c r="C510" s="14">
        <v>1360.869126</v>
      </c>
      <c r="D510" s="14">
        <v>593.9104725</v>
      </c>
      <c r="E510" s="14">
        <v>0.436509007</v>
      </c>
      <c r="F510" s="14">
        <v>-1.195916673</v>
      </c>
      <c r="G510" s="51" t="s">
        <v>2801</v>
      </c>
      <c r="H510" s="51" t="s">
        <v>2802</v>
      </c>
      <c r="I510" s="14" t="s">
        <v>147</v>
      </c>
      <c r="J510" s="14">
        <v>4.966249977</v>
      </c>
      <c r="K510" s="14">
        <v>5.483559615</v>
      </c>
      <c r="L510" s="14">
        <v>5.304623238</v>
      </c>
      <c r="M510" s="14">
        <v>10.44663394</v>
      </c>
      <c r="N510" s="14">
        <v>11.05041812</v>
      </c>
      <c r="O510" s="14">
        <v>7.955222757</v>
      </c>
      <c r="P510" s="14" t="s">
        <v>2803</v>
      </c>
      <c r="Q510" s="14" t="s">
        <v>2804</v>
      </c>
      <c r="T510" s="14" t="s">
        <v>2805</v>
      </c>
      <c r="U510" s="14" t="s">
        <v>2806</v>
      </c>
    </row>
    <row r="511" spans="1:21">
      <c r="A511" s="14" t="s">
        <v>2807</v>
      </c>
      <c r="B511" s="14">
        <v>1601.898721</v>
      </c>
      <c r="C511" s="14">
        <v>2590.835127</v>
      </c>
      <c r="D511" s="14">
        <v>612.9623144</v>
      </c>
      <c r="E511" s="14">
        <v>0.236595491</v>
      </c>
      <c r="F511" s="14">
        <v>-2.079505517</v>
      </c>
      <c r="G511" s="51" t="s">
        <v>2808</v>
      </c>
      <c r="H511" s="51" t="s">
        <v>2809</v>
      </c>
      <c r="I511" s="14" t="s">
        <v>147</v>
      </c>
      <c r="J511" s="14">
        <v>6.825511272</v>
      </c>
      <c r="K511" s="14">
        <v>10.25843159</v>
      </c>
      <c r="L511" s="14">
        <v>7.490735138</v>
      </c>
      <c r="M511" s="14">
        <v>34.31349607</v>
      </c>
      <c r="N511" s="14">
        <v>37.02109284</v>
      </c>
      <c r="O511" s="14">
        <v>12.28153555</v>
      </c>
      <c r="P511" s="14" t="s">
        <v>2810</v>
      </c>
      <c r="Q511" s="14" t="s">
        <v>2811</v>
      </c>
      <c r="T511" s="14" t="s">
        <v>2812</v>
      </c>
      <c r="U511" s="14" t="s">
        <v>2813</v>
      </c>
    </row>
    <row r="512" spans="1:21">
      <c r="A512" s="14" t="s">
        <v>2814</v>
      </c>
      <c r="B512" s="14">
        <v>106.7891829</v>
      </c>
      <c r="C512" s="14">
        <v>11.72088965</v>
      </c>
      <c r="D512" s="14">
        <v>201.8574762</v>
      </c>
      <c r="E512" s="14">
        <v>17.22035479</v>
      </c>
      <c r="F512" s="14">
        <v>4.106042962</v>
      </c>
      <c r="G512" s="51" t="s">
        <v>1726</v>
      </c>
      <c r="H512" s="51" t="s">
        <v>2815</v>
      </c>
      <c r="I512" s="14" t="s">
        <v>164</v>
      </c>
      <c r="J512" s="14">
        <v>5.310430264</v>
      </c>
      <c r="K512" s="14">
        <v>0.642581131</v>
      </c>
      <c r="L512" s="14">
        <v>2.933771601</v>
      </c>
      <c r="M512" s="14">
        <v>0.148969705</v>
      </c>
      <c r="N512" s="14">
        <v>0.10718906</v>
      </c>
      <c r="O512" s="14">
        <v>0.170041039</v>
      </c>
      <c r="P512" s="14" t="s">
        <v>2816</v>
      </c>
      <c r="Q512" s="14" t="s">
        <v>2817</v>
      </c>
      <c r="R512" s="14" t="s">
        <v>2818</v>
      </c>
      <c r="S512" s="14" t="s">
        <v>2819</v>
      </c>
      <c r="T512" s="14" t="s">
        <v>2820</v>
      </c>
      <c r="U512" s="14" t="s">
        <v>2821</v>
      </c>
    </row>
    <row r="513" spans="1:15">
      <c r="A513" s="14" t="s">
        <v>2822</v>
      </c>
      <c r="B513" s="14">
        <v>258.4275328</v>
      </c>
      <c r="C513" s="14">
        <v>118.5217142</v>
      </c>
      <c r="D513" s="14">
        <v>398.3333515</v>
      </c>
      <c r="E513" s="14">
        <v>3.364084281</v>
      </c>
      <c r="F513" s="14">
        <v>1.75021385</v>
      </c>
      <c r="G513" s="14">
        <v>0.001309779</v>
      </c>
      <c r="H513" s="14">
        <v>0.004637465</v>
      </c>
      <c r="I513" s="14" t="s">
        <v>164</v>
      </c>
      <c r="J513" s="14">
        <v>29.46602867</v>
      </c>
      <c r="K513" s="14">
        <v>19.206723</v>
      </c>
      <c r="L513" s="14">
        <v>32.85103582</v>
      </c>
      <c r="M513" s="14">
        <v>7.269069167</v>
      </c>
      <c r="N513" s="14">
        <v>9.685845678</v>
      </c>
      <c r="O513" s="14">
        <v>2.483533007</v>
      </c>
    </row>
    <row r="514" spans="1:21">
      <c r="A514" s="14" t="s">
        <v>2823</v>
      </c>
      <c r="B514" s="14">
        <v>923.9905927</v>
      </c>
      <c r="C514" s="14">
        <v>488.9658785</v>
      </c>
      <c r="D514" s="14">
        <v>1359.015307</v>
      </c>
      <c r="E514" s="14">
        <v>2.780105235</v>
      </c>
      <c r="F514" s="14">
        <v>1.475139494</v>
      </c>
      <c r="G514" s="14">
        <v>0.001623517</v>
      </c>
      <c r="H514" s="14">
        <v>0.005598084</v>
      </c>
      <c r="I514" s="14" t="s">
        <v>164</v>
      </c>
      <c r="J514" s="14">
        <v>12.49415907</v>
      </c>
      <c r="K514" s="14">
        <v>8.726626299</v>
      </c>
      <c r="L514" s="14">
        <v>18.98190646</v>
      </c>
      <c r="M514" s="14">
        <v>3.979586874</v>
      </c>
      <c r="N514" s="14">
        <v>5.639051157</v>
      </c>
      <c r="O514" s="14">
        <v>2.020090273</v>
      </c>
      <c r="P514" s="14" t="s">
        <v>2824</v>
      </c>
      <c r="Q514" s="14" t="s">
        <v>2825</v>
      </c>
      <c r="T514" s="14" t="s">
        <v>2826</v>
      </c>
      <c r="U514" s="14" t="s">
        <v>2827</v>
      </c>
    </row>
    <row r="515" spans="1:21">
      <c r="A515" s="14" t="s">
        <v>2828</v>
      </c>
      <c r="B515" s="14">
        <v>81.86857955</v>
      </c>
      <c r="C515" s="14">
        <v>121.3986518</v>
      </c>
      <c r="D515" s="14">
        <v>42.33850734</v>
      </c>
      <c r="E515" s="14">
        <v>0.349483721</v>
      </c>
      <c r="F515" s="14">
        <v>-1.516702838</v>
      </c>
      <c r="G515" s="51" t="s">
        <v>2829</v>
      </c>
      <c r="H515" s="51" t="s">
        <v>2830</v>
      </c>
      <c r="I515" s="14" t="s">
        <v>147</v>
      </c>
      <c r="J515" s="14">
        <v>1.017478495</v>
      </c>
      <c r="K515" s="14">
        <v>1.104974273</v>
      </c>
      <c r="L515" s="14">
        <v>1.3148318</v>
      </c>
      <c r="M515" s="14">
        <v>3.00110385</v>
      </c>
      <c r="N515" s="14">
        <v>2.813266912</v>
      </c>
      <c r="O515" s="14">
        <v>2.218982752</v>
      </c>
      <c r="P515" s="14" t="s">
        <v>2831</v>
      </c>
      <c r="Q515" s="14" t="s">
        <v>2832</v>
      </c>
      <c r="T515" s="14" t="s">
        <v>2833</v>
      </c>
      <c r="U515" s="14" t="s">
        <v>2834</v>
      </c>
    </row>
    <row r="516" spans="1:21">
      <c r="A516" s="14" t="s">
        <v>2835</v>
      </c>
      <c r="B516" s="14">
        <v>4.947852447</v>
      </c>
      <c r="C516" s="14">
        <v>9.27032237</v>
      </c>
      <c r="D516" s="14">
        <v>0.625382524</v>
      </c>
      <c r="E516" s="14">
        <v>0.069238637</v>
      </c>
      <c r="F516" s="14">
        <v>-3.852278859</v>
      </c>
      <c r="G516" s="14">
        <v>0.012372478</v>
      </c>
      <c r="H516" s="14">
        <v>0.032362842</v>
      </c>
      <c r="I516" s="14" t="s">
        <v>147</v>
      </c>
      <c r="J516" s="14">
        <v>0</v>
      </c>
      <c r="K516" s="14">
        <v>0</v>
      </c>
      <c r="L516" s="14">
        <v>0.054400308</v>
      </c>
      <c r="M516" s="14">
        <v>0.145021476</v>
      </c>
      <c r="N516" s="14">
        <v>0.231884816</v>
      </c>
      <c r="O516" s="14">
        <v>0.283773163</v>
      </c>
      <c r="P516" s="14" t="s">
        <v>2836</v>
      </c>
      <c r="Q516" s="14" t="s">
        <v>2837</v>
      </c>
      <c r="T516" s="14" t="s">
        <v>2838</v>
      </c>
      <c r="U516" s="14" t="s">
        <v>2839</v>
      </c>
    </row>
    <row r="517" spans="1:21">
      <c r="A517" s="14" t="s">
        <v>2840</v>
      </c>
      <c r="B517" s="14">
        <v>4.394797443</v>
      </c>
      <c r="C517" s="14">
        <v>8.789594886</v>
      </c>
      <c r="D517" s="14">
        <v>0</v>
      </c>
      <c r="E517" s="14">
        <v>0.020525963</v>
      </c>
      <c r="F517" s="14">
        <v>-5.606406297</v>
      </c>
      <c r="G517" s="14">
        <v>0.002773486</v>
      </c>
      <c r="H517" s="14">
        <v>0.008885629</v>
      </c>
      <c r="I517" s="14" t="s">
        <v>147</v>
      </c>
      <c r="J517" s="14">
        <v>0</v>
      </c>
      <c r="K517" s="14">
        <v>0</v>
      </c>
      <c r="L517" s="14">
        <v>0</v>
      </c>
      <c r="M517" s="14">
        <v>0.272801664</v>
      </c>
      <c r="N517" s="14">
        <v>0.08724027</v>
      </c>
      <c r="O517" s="14">
        <v>0.22242048</v>
      </c>
      <c r="P517" s="14" t="s">
        <v>2836</v>
      </c>
      <c r="Q517" s="14" t="s">
        <v>2837</v>
      </c>
      <c r="T517" s="14" t="s">
        <v>2838</v>
      </c>
      <c r="U517" s="14" t="s">
        <v>2839</v>
      </c>
    </row>
    <row r="518" spans="1:21">
      <c r="A518" s="14" t="s">
        <v>2841</v>
      </c>
      <c r="B518" s="14">
        <v>2086.148433</v>
      </c>
      <c r="C518" s="14">
        <v>3071.219128</v>
      </c>
      <c r="D518" s="14">
        <v>1101.077738</v>
      </c>
      <c r="E518" s="14">
        <v>0.358558404</v>
      </c>
      <c r="F518" s="14">
        <v>-1.479719964</v>
      </c>
      <c r="G518" s="51" t="s">
        <v>2842</v>
      </c>
      <c r="H518" s="51" t="s">
        <v>2843</v>
      </c>
      <c r="I518" s="14" t="s">
        <v>147</v>
      </c>
      <c r="J518" s="14">
        <v>17.67135941</v>
      </c>
      <c r="K518" s="14">
        <v>25.55466222</v>
      </c>
      <c r="L518" s="14">
        <v>29.99765989</v>
      </c>
      <c r="M518" s="14">
        <v>59.24001091</v>
      </c>
      <c r="N518" s="14">
        <v>62.66470669</v>
      </c>
      <c r="O518" s="14">
        <v>44.41476552</v>
      </c>
      <c r="P518" s="14" t="s">
        <v>2844</v>
      </c>
      <c r="Q518" s="14" t="s">
        <v>2845</v>
      </c>
      <c r="T518" s="14" t="s">
        <v>2846</v>
      </c>
      <c r="U518" s="14" t="s">
        <v>2847</v>
      </c>
    </row>
    <row r="519" spans="1:21">
      <c r="A519" s="14" t="s">
        <v>2848</v>
      </c>
      <c r="B519" s="14">
        <v>2966.236487</v>
      </c>
      <c r="C519" s="14">
        <v>1966.837595</v>
      </c>
      <c r="D519" s="14">
        <v>3965.635379</v>
      </c>
      <c r="E519" s="14">
        <v>2.01599769</v>
      </c>
      <c r="F519" s="14">
        <v>1.011493986</v>
      </c>
      <c r="G519" s="51" t="s">
        <v>2849</v>
      </c>
      <c r="H519" s="51" t="s">
        <v>2850</v>
      </c>
      <c r="I519" s="14" t="s">
        <v>164</v>
      </c>
      <c r="J519" s="14">
        <v>24.03189726</v>
      </c>
      <c r="K519" s="14">
        <v>32.85748546</v>
      </c>
      <c r="L519" s="14">
        <v>27.43413754</v>
      </c>
      <c r="M519" s="14">
        <v>10.12150648</v>
      </c>
      <c r="N519" s="14">
        <v>10.88670114</v>
      </c>
      <c r="O519" s="14">
        <v>13.64857198</v>
      </c>
      <c r="P519" s="14" t="s">
        <v>2851</v>
      </c>
      <c r="Q519" s="14" t="s">
        <v>2852</v>
      </c>
      <c r="T519" s="14" t="s">
        <v>2853</v>
      </c>
      <c r="U519" s="14" t="s">
        <v>2854</v>
      </c>
    </row>
    <row r="520" spans="1:21">
      <c r="A520" s="14" t="s">
        <v>2855</v>
      </c>
      <c r="B520" s="14">
        <v>5082.750807</v>
      </c>
      <c r="C520" s="14">
        <v>2292.912554</v>
      </c>
      <c r="D520" s="14">
        <v>7872.589061</v>
      </c>
      <c r="E520" s="14">
        <v>3.433632234</v>
      </c>
      <c r="F520" s="14">
        <v>1.779735525</v>
      </c>
      <c r="G520" s="51" t="s">
        <v>2856</v>
      </c>
      <c r="H520" s="51" t="s">
        <v>2857</v>
      </c>
      <c r="I520" s="14" t="s">
        <v>164</v>
      </c>
      <c r="J520" s="14">
        <v>165.3392095</v>
      </c>
      <c r="K520" s="14">
        <v>207.8480189</v>
      </c>
      <c r="L520" s="14">
        <v>200.4725737</v>
      </c>
      <c r="M520" s="14">
        <v>44.80804832</v>
      </c>
      <c r="N520" s="14">
        <v>44.37025368</v>
      </c>
      <c r="O520" s="14">
        <v>48.43080449</v>
      </c>
      <c r="P520" s="14" t="s">
        <v>2858</v>
      </c>
      <c r="Q520" s="14" t="s">
        <v>2859</v>
      </c>
      <c r="T520" s="14" t="s">
        <v>2860</v>
      </c>
      <c r="U520" s="14" t="s">
        <v>2861</v>
      </c>
    </row>
    <row r="521" spans="1:21">
      <c r="A521" s="14" t="s">
        <v>2862</v>
      </c>
      <c r="B521" s="14">
        <v>175.7930084</v>
      </c>
      <c r="C521" s="14">
        <v>280.1605808</v>
      </c>
      <c r="D521" s="14">
        <v>71.42543607</v>
      </c>
      <c r="E521" s="14">
        <v>0.254538841</v>
      </c>
      <c r="F521" s="14">
        <v>-1.974042277</v>
      </c>
      <c r="G521" s="51" t="s">
        <v>2863</v>
      </c>
      <c r="H521" s="51" t="s">
        <v>2864</v>
      </c>
      <c r="I521" s="14" t="s">
        <v>147</v>
      </c>
      <c r="J521" s="14">
        <v>1.07344025</v>
      </c>
      <c r="K521" s="14">
        <v>1.232625686</v>
      </c>
      <c r="L521" s="14">
        <v>0.960775331</v>
      </c>
      <c r="M521" s="14">
        <v>3.143358294</v>
      </c>
      <c r="N521" s="14">
        <v>3.450036179</v>
      </c>
      <c r="O521" s="14">
        <v>4.011953391</v>
      </c>
      <c r="P521" s="14" t="s">
        <v>2865</v>
      </c>
      <c r="Q521" s="14" t="s">
        <v>2866</v>
      </c>
      <c r="R521" s="14" t="s">
        <v>771</v>
      </c>
      <c r="S521" s="14" t="s">
        <v>772</v>
      </c>
      <c r="T521" s="14" t="s">
        <v>2867</v>
      </c>
      <c r="U521" s="14" t="s">
        <v>2868</v>
      </c>
    </row>
    <row r="522" spans="1:21">
      <c r="A522" s="14" t="s">
        <v>2869</v>
      </c>
      <c r="B522" s="14">
        <v>405.1567782</v>
      </c>
      <c r="C522" s="14">
        <v>59.51350244</v>
      </c>
      <c r="D522" s="14">
        <v>750.8000539</v>
      </c>
      <c r="E522" s="14">
        <v>12.58498549</v>
      </c>
      <c r="F522" s="14">
        <v>3.653631648</v>
      </c>
      <c r="G522" s="51" t="s">
        <v>2870</v>
      </c>
      <c r="H522" s="51" t="s">
        <v>2871</v>
      </c>
      <c r="I522" s="14" t="s">
        <v>164</v>
      </c>
      <c r="J522" s="14">
        <v>10.07741858</v>
      </c>
      <c r="K522" s="14">
        <v>4.435285631</v>
      </c>
      <c r="L522" s="14">
        <v>6.959294193</v>
      </c>
      <c r="M522" s="14">
        <v>0.298708689</v>
      </c>
      <c r="N522" s="14">
        <v>0.41824536</v>
      </c>
      <c r="O522" s="14">
        <v>0.710882208</v>
      </c>
      <c r="P522" s="14" t="s">
        <v>2872</v>
      </c>
      <c r="Q522" s="14" t="s">
        <v>2873</v>
      </c>
      <c r="T522" s="14" t="s">
        <v>549</v>
      </c>
      <c r="U522" s="14" t="s">
        <v>550</v>
      </c>
    </row>
    <row r="523" spans="1:21">
      <c r="A523" s="14" t="s">
        <v>2874</v>
      </c>
      <c r="B523" s="14">
        <v>136.2592782</v>
      </c>
      <c r="C523" s="14">
        <v>218.2329658</v>
      </c>
      <c r="D523" s="14">
        <v>54.28559051</v>
      </c>
      <c r="E523" s="14">
        <v>0.248808122</v>
      </c>
      <c r="F523" s="14">
        <v>-2.006894516</v>
      </c>
      <c r="G523" s="14">
        <v>0.000175014</v>
      </c>
      <c r="H523" s="14">
        <v>0.000781724</v>
      </c>
      <c r="I523" s="14" t="s">
        <v>147</v>
      </c>
      <c r="J523" s="14">
        <v>0.721092637</v>
      </c>
      <c r="K523" s="14">
        <v>0.247432254</v>
      </c>
      <c r="L523" s="14">
        <v>0.378711076</v>
      </c>
      <c r="M523" s="14">
        <v>1.514363823</v>
      </c>
      <c r="N523" s="14">
        <v>1.957314909</v>
      </c>
      <c r="O523" s="14">
        <v>0.919158223</v>
      </c>
      <c r="P523" s="14" t="s">
        <v>2875</v>
      </c>
      <c r="Q523" s="14" t="s">
        <v>2876</v>
      </c>
      <c r="T523" s="14" t="s">
        <v>2877</v>
      </c>
      <c r="U523" s="14" t="s">
        <v>2878</v>
      </c>
    </row>
    <row r="524" spans="1:21">
      <c r="A524" s="14" t="s">
        <v>2879</v>
      </c>
      <c r="B524" s="14">
        <v>14.38410466</v>
      </c>
      <c r="C524" s="14">
        <v>25.52734244</v>
      </c>
      <c r="D524" s="14">
        <v>3.240866874</v>
      </c>
      <c r="E524" s="14">
        <v>0.127438731</v>
      </c>
      <c r="F524" s="14">
        <v>-2.972124285</v>
      </c>
      <c r="G524" s="14">
        <v>0.002640129</v>
      </c>
      <c r="H524" s="14">
        <v>0.008515177</v>
      </c>
      <c r="I524" s="14" t="s">
        <v>147</v>
      </c>
      <c r="J524" s="14">
        <v>0.095233337</v>
      </c>
      <c r="K524" s="14">
        <v>0</v>
      </c>
      <c r="L524" s="14">
        <v>0.061130243</v>
      </c>
      <c r="M524" s="14">
        <v>0.380245313</v>
      </c>
      <c r="N524" s="14">
        <v>0.377828816</v>
      </c>
      <c r="O524" s="14">
        <v>0.239159341</v>
      </c>
      <c r="P524" s="14" t="s">
        <v>2880</v>
      </c>
      <c r="Q524" s="14" t="s">
        <v>2881</v>
      </c>
      <c r="T524" s="14" t="s">
        <v>2882</v>
      </c>
      <c r="U524" s="14" t="s">
        <v>2883</v>
      </c>
    </row>
    <row r="525" spans="1:21">
      <c r="A525" s="14" t="s">
        <v>2884</v>
      </c>
      <c r="B525" s="14">
        <v>18.34117303</v>
      </c>
      <c r="C525" s="14">
        <v>34.69746255</v>
      </c>
      <c r="D525" s="14">
        <v>1.984883519</v>
      </c>
      <c r="E525" s="14">
        <v>0.056967521</v>
      </c>
      <c r="F525" s="14">
        <v>-4.133716555</v>
      </c>
      <c r="G525" s="14">
        <v>0.000216998</v>
      </c>
      <c r="H525" s="14">
        <v>0.000943005</v>
      </c>
      <c r="I525" s="14" t="s">
        <v>147</v>
      </c>
      <c r="J525" s="14">
        <v>0.03293274</v>
      </c>
      <c r="K525" s="14">
        <v>0.04972168</v>
      </c>
      <c r="L525" s="14">
        <v>0.015854635</v>
      </c>
      <c r="M525" s="14">
        <v>0.619895721</v>
      </c>
      <c r="N525" s="14">
        <v>0.662297754</v>
      </c>
      <c r="O525" s="14">
        <v>0.096487934</v>
      </c>
      <c r="P525" s="14" t="s">
        <v>2880</v>
      </c>
      <c r="Q525" s="14" t="s">
        <v>2881</v>
      </c>
      <c r="T525" s="14" t="s">
        <v>2882</v>
      </c>
      <c r="U525" s="14" t="s">
        <v>2883</v>
      </c>
    </row>
    <row r="526" spans="1:21">
      <c r="A526" s="14" t="s">
        <v>2885</v>
      </c>
      <c r="B526" s="14">
        <v>116.8764373</v>
      </c>
      <c r="C526" s="14">
        <v>26.45735862</v>
      </c>
      <c r="D526" s="14">
        <v>207.2955161</v>
      </c>
      <c r="E526" s="14">
        <v>7.79962011</v>
      </c>
      <c r="F526" s="14">
        <v>2.963403857</v>
      </c>
      <c r="G526" s="51" t="s">
        <v>2886</v>
      </c>
      <c r="H526" s="51" t="s">
        <v>2887</v>
      </c>
      <c r="I526" s="14" t="s">
        <v>164</v>
      </c>
      <c r="J526" s="14">
        <v>6.230535143</v>
      </c>
      <c r="K526" s="14">
        <v>2.438807671</v>
      </c>
      <c r="L526" s="14">
        <v>4.936732429</v>
      </c>
      <c r="M526" s="14">
        <v>0.222117202</v>
      </c>
      <c r="N526" s="14">
        <v>0.284126781</v>
      </c>
      <c r="O526" s="14">
        <v>0.977920864</v>
      </c>
      <c r="P526" s="14" t="s">
        <v>2888</v>
      </c>
      <c r="Q526" s="14" t="s">
        <v>2889</v>
      </c>
      <c r="T526" s="14" t="s">
        <v>2890</v>
      </c>
      <c r="U526" s="14" t="s">
        <v>2891</v>
      </c>
    </row>
    <row r="527" spans="1:21">
      <c r="A527" s="14" t="s">
        <v>2892</v>
      </c>
      <c r="B527" s="14">
        <v>693.4456609</v>
      </c>
      <c r="C527" s="14">
        <v>300.8128817</v>
      </c>
      <c r="D527" s="14">
        <v>1086.07844</v>
      </c>
      <c r="E527" s="14">
        <v>3.608512314</v>
      </c>
      <c r="F527" s="14">
        <v>1.851404178</v>
      </c>
      <c r="G527" s="51" t="s">
        <v>2893</v>
      </c>
      <c r="H527" s="51" t="s">
        <v>2894</v>
      </c>
      <c r="I527" s="14" t="s">
        <v>164</v>
      </c>
      <c r="J527" s="14">
        <v>38.62466907</v>
      </c>
      <c r="K527" s="14">
        <v>21.48459331</v>
      </c>
      <c r="L527" s="14">
        <v>38.42747993</v>
      </c>
      <c r="M527" s="14">
        <v>5.806256281</v>
      </c>
      <c r="N527" s="14">
        <v>5.693109922</v>
      </c>
      <c r="O527" s="14">
        <v>11.33646234</v>
      </c>
      <c r="P527" s="14" t="s">
        <v>1072</v>
      </c>
      <c r="Q527" s="14" t="s">
        <v>1073</v>
      </c>
      <c r="T527" s="14" t="s">
        <v>1074</v>
      </c>
      <c r="U527" s="14" t="s">
        <v>1075</v>
      </c>
    </row>
    <row r="528" spans="1:15">
      <c r="A528" s="14" t="s">
        <v>2895</v>
      </c>
      <c r="B528" s="14">
        <v>61.32222143</v>
      </c>
      <c r="C528" s="14">
        <v>32.79791598</v>
      </c>
      <c r="D528" s="14">
        <v>89.84652687</v>
      </c>
      <c r="E528" s="14">
        <v>2.733235634</v>
      </c>
      <c r="F528" s="14">
        <v>1.450609841</v>
      </c>
      <c r="G528" s="14">
        <v>0.002294566</v>
      </c>
      <c r="H528" s="14">
        <v>0.007553708</v>
      </c>
      <c r="I528" s="14" t="s">
        <v>164</v>
      </c>
      <c r="J528" s="14">
        <v>12.74559587</v>
      </c>
      <c r="K528" s="14">
        <v>10.47491048</v>
      </c>
      <c r="L528" s="14">
        <v>8.556686471</v>
      </c>
      <c r="M528" s="14">
        <v>3.201486762</v>
      </c>
      <c r="N528" s="14">
        <v>1.631705937</v>
      </c>
      <c r="O528" s="14">
        <v>4.894189038</v>
      </c>
    </row>
    <row r="529" spans="1:21">
      <c r="A529" s="14" t="s">
        <v>2896</v>
      </c>
      <c r="B529" s="14">
        <v>82.82071714</v>
      </c>
      <c r="C529" s="14">
        <v>136.095463</v>
      </c>
      <c r="D529" s="14">
        <v>29.54597122</v>
      </c>
      <c r="E529" s="14">
        <v>0.217119555</v>
      </c>
      <c r="F529" s="14">
        <v>-2.203438427</v>
      </c>
      <c r="G529" s="14">
        <v>0.014794182</v>
      </c>
      <c r="H529" s="14">
        <v>0.037663106</v>
      </c>
      <c r="I529" s="14" t="s">
        <v>147</v>
      </c>
      <c r="J529" s="14">
        <v>0.46121326</v>
      </c>
      <c r="K529" s="14">
        <v>0.827531384</v>
      </c>
      <c r="L529" s="14">
        <v>0.502002266</v>
      </c>
      <c r="M529" s="14">
        <v>2.487768917</v>
      </c>
      <c r="N529" s="14">
        <v>3.835210418</v>
      </c>
      <c r="O529" s="14">
        <v>0.251792215</v>
      </c>
      <c r="P529" s="14" t="s">
        <v>2897</v>
      </c>
      <c r="Q529" s="14" t="s">
        <v>2898</v>
      </c>
      <c r="T529" s="14" t="s">
        <v>2899</v>
      </c>
      <c r="U529" s="14" t="s">
        <v>2900</v>
      </c>
    </row>
    <row r="530" spans="1:21">
      <c r="A530" s="14" t="s">
        <v>2901</v>
      </c>
      <c r="B530" s="14">
        <v>21865.84248</v>
      </c>
      <c r="C530" s="14">
        <v>33683.40336</v>
      </c>
      <c r="D530" s="14">
        <v>10048.2816</v>
      </c>
      <c r="E530" s="14">
        <v>0.298317545</v>
      </c>
      <c r="F530" s="14">
        <v>-1.745079266</v>
      </c>
      <c r="G530" s="51" t="s">
        <v>2902</v>
      </c>
      <c r="H530" s="51" t="s">
        <v>2903</v>
      </c>
      <c r="I530" s="14" t="s">
        <v>147</v>
      </c>
      <c r="J530" s="14">
        <v>127.8518218</v>
      </c>
      <c r="K530" s="14">
        <v>187.3583175</v>
      </c>
      <c r="L530" s="14">
        <v>169.1886929</v>
      </c>
      <c r="M530" s="14">
        <v>484.7070036</v>
      </c>
      <c r="N530" s="14">
        <v>527.3174986</v>
      </c>
      <c r="O530" s="14">
        <v>307.0564164</v>
      </c>
      <c r="P530" s="14" t="s">
        <v>2904</v>
      </c>
      <c r="Q530" s="14" t="s">
        <v>2905</v>
      </c>
      <c r="T530" s="14" t="s">
        <v>2906</v>
      </c>
      <c r="U530" s="14" t="s">
        <v>2907</v>
      </c>
    </row>
    <row r="531" spans="1:21">
      <c r="A531" s="14" t="s">
        <v>2908</v>
      </c>
      <c r="B531" s="14">
        <v>72.56746565</v>
      </c>
      <c r="C531" s="14">
        <v>121.0033803</v>
      </c>
      <c r="D531" s="14">
        <v>24.13155097</v>
      </c>
      <c r="E531" s="14">
        <v>0.199577361</v>
      </c>
      <c r="F531" s="14">
        <v>-2.324980018</v>
      </c>
      <c r="G531" s="51" t="s">
        <v>2909</v>
      </c>
      <c r="H531" s="51" t="s">
        <v>2910</v>
      </c>
      <c r="I531" s="14" t="s">
        <v>147</v>
      </c>
      <c r="J531" s="14">
        <v>0.233273578</v>
      </c>
      <c r="K531" s="14">
        <v>0.469593649</v>
      </c>
      <c r="L531" s="14">
        <v>0.434240845</v>
      </c>
      <c r="M531" s="14">
        <v>1.623312785</v>
      </c>
      <c r="N531" s="14">
        <v>1.404191384</v>
      </c>
      <c r="O531" s="14">
        <v>1.666331298</v>
      </c>
      <c r="P531" s="14" t="s">
        <v>2911</v>
      </c>
      <c r="Q531" s="14" t="s">
        <v>2912</v>
      </c>
      <c r="T531" s="14" t="s">
        <v>2913</v>
      </c>
      <c r="U531" s="14" t="s">
        <v>2914</v>
      </c>
    </row>
    <row r="532" spans="1:21">
      <c r="A532" s="14" t="s">
        <v>2915</v>
      </c>
      <c r="B532" s="14">
        <v>1893.076282</v>
      </c>
      <c r="C532" s="14">
        <v>2609.984575</v>
      </c>
      <c r="D532" s="14">
        <v>1176.16799</v>
      </c>
      <c r="E532" s="14">
        <v>0.450609368</v>
      </c>
      <c r="F532" s="14">
        <v>-1.150050788</v>
      </c>
      <c r="G532" s="51" t="s">
        <v>2916</v>
      </c>
      <c r="H532" s="51" t="s">
        <v>2917</v>
      </c>
      <c r="I532" s="14" t="s">
        <v>147</v>
      </c>
      <c r="J532" s="14">
        <v>31.57843452</v>
      </c>
      <c r="K532" s="14">
        <v>41.24221336</v>
      </c>
      <c r="L532" s="14">
        <v>33.01062658</v>
      </c>
      <c r="M532" s="14">
        <v>65.07807617</v>
      </c>
      <c r="N532" s="14">
        <v>59.06643671</v>
      </c>
      <c r="O532" s="14">
        <v>69.57047707</v>
      </c>
      <c r="P532" s="14" t="s">
        <v>2414</v>
      </c>
      <c r="Q532" s="14" t="s">
        <v>2415</v>
      </c>
      <c r="T532" s="14" t="s">
        <v>2416</v>
      </c>
      <c r="U532" s="14" t="s">
        <v>2417</v>
      </c>
    </row>
    <row r="533" spans="1:21">
      <c r="A533" s="14" t="s">
        <v>2918</v>
      </c>
      <c r="B533" s="14">
        <v>426.9977072</v>
      </c>
      <c r="C533" s="14">
        <v>264.9541711</v>
      </c>
      <c r="D533" s="14">
        <v>589.0412434</v>
      </c>
      <c r="E533" s="14">
        <v>2.225048993</v>
      </c>
      <c r="F533" s="14">
        <v>1.153837103</v>
      </c>
      <c r="G533" s="14">
        <v>0.000264421</v>
      </c>
      <c r="H533" s="14">
        <v>0.001125749</v>
      </c>
      <c r="I533" s="14" t="s">
        <v>164</v>
      </c>
      <c r="J533" s="14">
        <v>10.55200643</v>
      </c>
      <c r="K533" s="14">
        <v>11.403503</v>
      </c>
      <c r="L533" s="14">
        <v>11.0690455</v>
      </c>
      <c r="M533" s="14">
        <v>4.593315488</v>
      </c>
      <c r="N533" s="14">
        <v>4.817023669</v>
      </c>
      <c r="O533" s="14">
        <v>2.634427206</v>
      </c>
      <c r="P533" s="14" t="s">
        <v>2919</v>
      </c>
      <c r="Q533" s="14" t="s">
        <v>2920</v>
      </c>
      <c r="T533" s="14" t="s">
        <v>2621</v>
      </c>
      <c r="U533" s="14" t="s">
        <v>2622</v>
      </c>
    </row>
    <row r="534" spans="1:21">
      <c r="A534" s="14" t="s">
        <v>2921</v>
      </c>
      <c r="B534" s="14">
        <v>1497.729253</v>
      </c>
      <c r="C534" s="14">
        <v>847.1778352</v>
      </c>
      <c r="D534" s="14">
        <v>2148.280671</v>
      </c>
      <c r="E534" s="14">
        <v>2.536347031</v>
      </c>
      <c r="F534" s="14">
        <v>1.342752153</v>
      </c>
      <c r="G534" s="51" t="s">
        <v>2922</v>
      </c>
      <c r="H534" s="51" t="s">
        <v>2923</v>
      </c>
      <c r="I534" s="14" t="s">
        <v>164</v>
      </c>
      <c r="J534" s="14">
        <v>50.05886714</v>
      </c>
      <c r="K534" s="14">
        <v>33.72800163</v>
      </c>
      <c r="L534" s="14">
        <v>43.27588584</v>
      </c>
      <c r="M534" s="14">
        <v>13.84255521</v>
      </c>
      <c r="N534" s="14">
        <v>13.95311357</v>
      </c>
      <c r="O534" s="14">
        <v>13.31460681</v>
      </c>
      <c r="P534" s="14" t="s">
        <v>2924</v>
      </c>
      <c r="Q534" s="14" t="s">
        <v>2925</v>
      </c>
      <c r="T534" s="14" t="s">
        <v>2926</v>
      </c>
      <c r="U534" s="14" t="s">
        <v>2927</v>
      </c>
    </row>
    <row r="535" spans="1:21">
      <c r="A535" s="14" t="s">
        <v>2928</v>
      </c>
      <c r="B535" s="14">
        <v>10722.52297</v>
      </c>
      <c r="C535" s="14">
        <v>6615.449088</v>
      </c>
      <c r="D535" s="14">
        <v>14829.59686</v>
      </c>
      <c r="E535" s="14">
        <v>2.241600921</v>
      </c>
      <c r="F535" s="14">
        <v>1.164529453</v>
      </c>
      <c r="G535" s="14">
        <v>0.018956406</v>
      </c>
      <c r="H535" s="14">
        <v>0.046485471</v>
      </c>
      <c r="I535" s="14" t="s">
        <v>164</v>
      </c>
      <c r="J535" s="14">
        <v>391.552161</v>
      </c>
      <c r="K535" s="14">
        <v>205.5610436</v>
      </c>
      <c r="L535" s="14">
        <v>260.7649349</v>
      </c>
      <c r="M535" s="14">
        <v>64.17170331</v>
      </c>
      <c r="N535" s="14">
        <v>55.45094679</v>
      </c>
      <c r="O535" s="14">
        <v>206.6597125</v>
      </c>
      <c r="P535" s="14" t="s">
        <v>2929</v>
      </c>
      <c r="Q535" s="14" t="s">
        <v>2930</v>
      </c>
      <c r="T535" s="14" t="s">
        <v>2931</v>
      </c>
      <c r="U535" s="14" t="s">
        <v>2932</v>
      </c>
    </row>
    <row r="536" spans="1:21">
      <c r="A536" s="14" t="s">
        <v>2933</v>
      </c>
      <c r="B536" s="14">
        <v>520.4121226</v>
      </c>
      <c r="C536" s="14">
        <v>50.43961508</v>
      </c>
      <c r="D536" s="14">
        <v>990.3846301</v>
      </c>
      <c r="E536" s="14">
        <v>19.70956435</v>
      </c>
      <c r="F536" s="14">
        <v>4.300823983</v>
      </c>
      <c r="G536" s="51" t="s">
        <v>2934</v>
      </c>
      <c r="H536" s="51" t="s">
        <v>2935</v>
      </c>
      <c r="I536" s="14" t="s">
        <v>164</v>
      </c>
      <c r="J536" s="14">
        <v>13.84450534</v>
      </c>
      <c r="K536" s="14">
        <v>11.30182369</v>
      </c>
      <c r="L536" s="14">
        <v>10.66183905</v>
      </c>
      <c r="M536" s="14">
        <v>0.58255502</v>
      </c>
      <c r="N536" s="14">
        <v>0.451035957</v>
      </c>
      <c r="O536" s="14">
        <v>0.459969387</v>
      </c>
      <c r="P536" s="14" t="s">
        <v>2936</v>
      </c>
      <c r="Q536" s="14" t="s">
        <v>2937</v>
      </c>
      <c r="T536" s="14" t="s">
        <v>2938</v>
      </c>
      <c r="U536" s="14" t="s">
        <v>2939</v>
      </c>
    </row>
    <row r="537" spans="1:21">
      <c r="A537" s="14" t="s">
        <v>2940</v>
      </c>
      <c r="B537" s="14">
        <v>52.51748125</v>
      </c>
      <c r="C537" s="14">
        <v>21.83770851</v>
      </c>
      <c r="D537" s="14">
        <v>83.19725399</v>
      </c>
      <c r="E537" s="14">
        <v>3.799315987</v>
      </c>
      <c r="F537" s="14">
        <v>1.925739705</v>
      </c>
      <c r="G537" s="14">
        <v>0.000143375</v>
      </c>
      <c r="H537" s="14">
        <v>0.000653016</v>
      </c>
      <c r="I537" s="14" t="s">
        <v>164</v>
      </c>
      <c r="J537" s="14">
        <v>3.88952998</v>
      </c>
      <c r="K537" s="14">
        <v>2.371542986</v>
      </c>
      <c r="L537" s="14">
        <v>3.168873021</v>
      </c>
      <c r="M537" s="14">
        <v>0.671971981</v>
      </c>
      <c r="N537" s="14">
        <v>0.33768813</v>
      </c>
      <c r="O537" s="14">
        <v>1.064436579</v>
      </c>
      <c r="P537" s="14" t="s">
        <v>2941</v>
      </c>
      <c r="Q537" s="14" t="s">
        <v>2942</v>
      </c>
      <c r="T537" s="14" t="s">
        <v>2943</v>
      </c>
      <c r="U537" s="14" t="s">
        <v>2944</v>
      </c>
    </row>
    <row r="538" spans="1:21">
      <c r="A538" s="14" t="s">
        <v>2945</v>
      </c>
      <c r="B538" s="14">
        <v>4858.859261</v>
      </c>
      <c r="C538" s="14">
        <v>2292.354282</v>
      </c>
      <c r="D538" s="14">
        <v>7425.364241</v>
      </c>
      <c r="E538" s="14">
        <v>3.23960005</v>
      </c>
      <c r="F538" s="14">
        <v>1.695815714</v>
      </c>
      <c r="G538" s="51" t="s">
        <v>2946</v>
      </c>
      <c r="H538" s="51" t="s">
        <v>2947</v>
      </c>
      <c r="I538" s="14" t="s">
        <v>164</v>
      </c>
      <c r="J538" s="14">
        <v>53.78602948</v>
      </c>
      <c r="K538" s="14">
        <v>62.21787696</v>
      </c>
      <c r="L538" s="14">
        <v>50.70908355</v>
      </c>
      <c r="M538" s="14">
        <v>14.70273152</v>
      </c>
      <c r="N538" s="14">
        <v>14.53185821</v>
      </c>
      <c r="O538" s="14">
        <v>12.96877543</v>
      </c>
      <c r="P538" s="14" t="s">
        <v>2948</v>
      </c>
      <c r="Q538" s="14" t="s">
        <v>2949</v>
      </c>
      <c r="T538" s="14" t="s">
        <v>2950</v>
      </c>
      <c r="U538" s="14" t="s">
        <v>2951</v>
      </c>
    </row>
    <row r="539" spans="1:21">
      <c r="A539" s="14" t="s">
        <v>2952</v>
      </c>
      <c r="B539" s="14">
        <v>201.4316179</v>
      </c>
      <c r="C539" s="14">
        <v>79.25017509</v>
      </c>
      <c r="D539" s="14">
        <v>323.6130606</v>
      </c>
      <c r="E539" s="14">
        <v>4.077714356</v>
      </c>
      <c r="F539" s="14">
        <v>2.027760718</v>
      </c>
      <c r="G539" s="14">
        <v>0.014007618</v>
      </c>
      <c r="H539" s="14">
        <v>0.035995542</v>
      </c>
      <c r="I539" s="14" t="s">
        <v>164</v>
      </c>
      <c r="J539" s="14">
        <v>2.529352085</v>
      </c>
      <c r="K539" s="14">
        <v>1.205290365</v>
      </c>
      <c r="L539" s="14">
        <v>2.264790614</v>
      </c>
      <c r="M539" s="14">
        <v>0.130682382</v>
      </c>
      <c r="N539" s="14">
        <v>0.110329323</v>
      </c>
      <c r="O539" s="14">
        <v>1.038202508</v>
      </c>
      <c r="P539" s="14" t="s">
        <v>2953</v>
      </c>
      <c r="Q539" s="14" t="s">
        <v>2954</v>
      </c>
      <c r="T539" s="14" t="s">
        <v>2955</v>
      </c>
      <c r="U539" s="14" t="s">
        <v>2956</v>
      </c>
    </row>
    <row r="540" spans="1:21">
      <c r="A540" s="14" t="s">
        <v>2957</v>
      </c>
      <c r="B540" s="14">
        <v>564.9106413</v>
      </c>
      <c r="C540" s="14">
        <v>801.2222326</v>
      </c>
      <c r="D540" s="14">
        <v>328.59905</v>
      </c>
      <c r="E540" s="14">
        <v>0.410183431</v>
      </c>
      <c r="F540" s="14">
        <v>-1.285658879</v>
      </c>
      <c r="G540" s="14">
        <v>0.015067027</v>
      </c>
      <c r="H540" s="14">
        <v>0.038226598</v>
      </c>
      <c r="I540" s="14" t="s">
        <v>147</v>
      </c>
      <c r="J540" s="14">
        <v>5.491586914</v>
      </c>
      <c r="K540" s="14">
        <v>7.817388283</v>
      </c>
      <c r="L540" s="14">
        <v>6.194012176</v>
      </c>
      <c r="M540" s="14">
        <v>17.20013207</v>
      </c>
      <c r="N540" s="14">
        <v>16.32439563</v>
      </c>
      <c r="O540" s="14">
        <v>4.597004736</v>
      </c>
      <c r="P540" s="14" t="s">
        <v>2958</v>
      </c>
      <c r="Q540" s="14" t="s">
        <v>2959</v>
      </c>
      <c r="T540" s="14" t="s">
        <v>2960</v>
      </c>
      <c r="U540" s="14" t="s">
        <v>2961</v>
      </c>
    </row>
    <row r="541" spans="1:21">
      <c r="A541" s="14" t="s">
        <v>2962</v>
      </c>
      <c r="B541" s="14">
        <v>422.8715558</v>
      </c>
      <c r="C541" s="14">
        <v>689.3016753</v>
      </c>
      <c r="D541" s="14">
        <v>156.4414362</v>
      </c>
      <c r="E541" s="14">
        <v>0.227013917</v>
      </c>
      <c r="F541" s="14">
        <v>-2.139147349</v>
      </c>
      <c r="G541" s="51" t="s">
        <v>2963</v>
      </c>
      <c r="H541" s="51" t="s">
        <v>2964</v>
      </c>
      <c r="I541" s="14" t="s">
        <v>147</v>
      </c>
      <c r="J541" s="14">
        <v>0.54184926</v>
      </c>
      <c r="K541" s="14">
        <v>0.736897568</v>
      </c>
      <c r="L541" s="14">
        <v>0.681022845</v>
      </c>
      <c r="M541" s="14">
        <v>2.381718004</v>
      </c>
      <c r="N541" s="14">
        <v>2.777280977</v>
      </c>
      <c r="O541" s="14">
        <v>1.887038588</v>
      </c>
      <c r="P541" s="14" t="s">
        <v>1227</v>
      </c>
      <c r="Q541" s="14" t="s">
        <v>1228</v>
      </c>
      <c r="T541" s="14" t="s">
        <v>1229</v>
      </c>
      <c r="U541" s="14" t="s">
        <v>1230</v>
      </c>
    </row>
    <row r="542" spans="1:17">
      <c r="A542" s="14" t="s">
        <v>2965</v>
      </c>
      <c r="B542" s="14">
        <v>2768.778286</v>
      </c>
      <c r="C542" s="14">
        <v>3841.11462</v>
      </c>
      <c r="D542" s="14">
        <v>1696.441952</v>
      </c>
      <c r="E542" s="14">
        <v>0.441663283</v>
      </c>
      <c r="F542" s="14">
        <v>-1.178981193</v>
      </c>
      <c r="G542" s="51" t="s">
        <v>2966</v>
      </c>
      <c r="H542" s="51" t="s">
        <v>2967</v>
      </c>
      <c r="I542" s="14" t="s">
        <v>147</v>
      </c>
      <c r="J542" s="14">
        <v>15.68820145</v>
      </c>
      <c r="K542" s="14">
        <v>15.62303318</v>
      </c>
      <c r="L542" s="14">
        <v>13.68766467</v>
      </c>
      <c r="M542" s="14">
        <v>28.77265986</v>
      </c>
      <c r="N542" s="14">
        <v>28.90609231</v>
      </c>
      <c r="O542" s="14">
        <v>25.88366632</v>
      </c>
      <c r="P542" s="14" t="s">
        <v>2968</v>
      </c>
      <c r="Q542" s="14" t="s">
        <v>2969</v>
      </c>
    </row>
    <row r="543" spans="1:21">
      <c r="A543" s="14" t="s">
        <v>2970</v>
      </c>
      <c r="B543" s="14">
        <v>3423.655048</v>
      </c>
      <c r="C543" s="14">
        <v>5382.169186</v>
      </c>
      <c r="D543" s="14">
        <v>1465.14091</v>
      </c>
      <c r="E543" s="14">
        <v>0.272203589</v>
      </c>
      <c r="F543" s="14">
        <v>-1.877242006</v>
      </c>
      <c r="G543" s="51" t="s">
        <v>2971</v>
      </c>
      <c r="H543" s="51" t="s">
        <v>2972</v>
      </c>
      <c r="I543" s="14" t="s">
        <v>147</v>
      </c>
      <c r="J543" s="14">
        <v>21.41863108</v>
      </c>
      <c r="K543" s="14">
        <v>23.24488561</v>
      </c>
      <c r="L543" s="14">
        <v>22.30879311</v>
      </c>
      <c r="M543" s="14">
        <v>62.6740403</v>
      </c>
      <c r="N543" s="14">
        <v>52.75629629</v>
      </c>
      <c r="O543" s="14">
        <v>89.21802729</v>
      </c>
      <c r="P543" s="14" t="s">
        <v>2973</v>
      </c>
      <c r="Q543" s="14" t="s">
        <v>2974</v>
      </c>
      <c r="T543" s="14" t="s">
        <v>2975</v>
      </c>
      <c r="U543" s="14" t="s">
        <v>2976</v>
      </c>
    </row>
    <row r="544" spans="1:21">
      <c r="A544" s="14" t="s">
        <v>2977</v>
      </c>
      <c r="B544" s="14">
        <v>118.1429816</v>
      </c>
      <c r="C544" s="14">
        <v>197.2443583</v>
      </c>
      <c r="D544" s="14">
        <v>39.04160496</v>
      </c>
      <c r="E544" s="14">
        <v>0.197888234</v>
      </c>
      <c r="F544" s="14">
        <v>-2.337242258</v>
      </c>
      <c r="G544" s="14">
        <v>0.008335516</v>
      </c>
      <c r="H544" s="14">
        <v>0.023063149</v>
      </c>
      <c r="I544" s="14" t="s">
        <v>147</v>
      </c>
      <c r="J544" s="14">
        <v>0.260739661</v>
      </c>
      <c r="K544" s="14">
        <v>0.924796524</v>
      </c>
      <c r="L544" s="14">
        <v>0.274962849</v>
      </c>
      <c r="M544" s="14">
        <v>2.793905009</v>
      </c>
      <c r="N544" s="14">
        <v>2.761953859</v>
      </c>
      <c r="O544" s="14">
        <v>0.342987925</v>
      </c>
      <c r="P544" s="14" t="s">
        <v>2978</v>
      </c>
      <c r="Q544" s="14" t="s">
        <v>2979</v>
      </c>
      <c r="T544" s="14" t="s">
        <v>2980</v>
      </c>
      <c r="U544" s="14" t="s">
        <v>2981</v>
      </c>
    </row>
    <row r="545" spans="1:21">
      <c r="A545" s="14" t="s">
        <v>2982</v>
      </c>
      <c r="B545" s="14">
        <v>937.7532882</v>
      </c>
      <c r="C545" s="14">
        <v>1318.595071</v>
      </c>
      <c r="D545" s="14">
        <v>556.9115054</v>
      </c>
      <c r="E545" s="14">
        <v>0.422384573</v>
      </c>
      <c r="F545" s="14">
        <v>-1.243370951</v>
      </c>
      <c r="G545" s="51" t="s">
        <v>2983</v>
      </c>
      <c r="H545" s="51" t="s">
        <v>2984</v>
      </c>
      <c r="I545" s="14" t="s">
        <v>147</v>
      </c>
      <c r="J545" s="14">
        <v>2.090003316</v>
      </c>
      <c r="K545" s="14">
        <v>3.13726272</v>
      </c>
      <c r="L545" s="14">
        <v>2.3956649</v>
      </c>
      <c r="M545" s="14">
        <v>5.279435106</v>
      </c>
      <c r="N545" s="14">
        <v>5.644271733</v>
      </c>
      <c r="O545" s="14">
        <v>3.79445853</v>
      </c>
      <c r="P545" s="14" t="s">
        <v>2985</v>
      </c>
      <c r="Q545" s="14" t="s">
        <v>2986</v>
      </c>
      <c r="T545" s="14" t="s">
        <v>2987</v>
      </c>
      <c r="U545" s="14" t="s">
        <v>2988</v>
      </c>
    </row>
    <row r="546" spans="1:21">
      <c r="A546" s="14" t="s">
        <v>2989</v>
      </c>
      <c r="B546" s="14">
        <v>2566.306202</v>
      </c>
      <c r="C546" s="14">
        <v>3696.378413</v>
      </c>
      <c r="D546" s="14">
        <v>1436.23399</v>
      </c>
      <c r="E546" s="14">
        <v>0.388567174</v>
      </c>
      <c r="F546" s="14">
        <v>-1.363764068</v>
      </c>
      <c r="G546" s="51" t="s">
        <v>1990</v>
      </c>
      <c r="H546" s="51" t="s">
        <v>2990</v>
      </c>
      <c r="I546" s="14" t="s">
        <v>147</v>
      </c>
      <c r="J546" s="14">
        <v>13.3494435</v>
      </c>
      <c r="K546" s="14">
        <v>18.0768224</v>
      </c>
      <c r="L546" s="14">
        <v>14.00095872</v>
      </c>
      <c r="M546" s="14">
        <v>37.63709381</v>
      </c>
      <c r="N546" s="14">
        <v>35.92812488</v>
      </c>
      <c r="O546" s="14">
        <v>21.35203046</v>
      </c>
      <c r="P546" s="14" t="s">
        <v>2991</v>
      </c>
      <c r="Q546" s="14" t="s">
        <v>2992</v>
      </c>
      <c r="R546" s="14" t="s">
        <v>2993</v>
      </c>
      <c r="S546" s="14" t="s">
        <v>2994</v>
      </c>
      <c r="T546" s="14" t="s">
        <v>2995</v>
      </c>
      <c r="U546" s="14" t="s">
        <v>2996</v>
      </c>
    </row>
    <row r="547" spans="1:21">
      <c r="A547" s="14" t="s">
        <v>2997</v>
      </c>
      <c r="B547" s="14">
        <v>57.99281414</v>
      </c>
      <c r="C547" s="14">
        <v>5.080935361</v>
      </c>
      <c r="D547" s="14">
        <v>110.9046929</v>
      </c>
      <c r="E547" s="14">
        <v>21.39471708</v>
      </c>
      <c r="F547" s="14">
        <v>4.419182696</v>
      </c>
      <c r="G547" s="51" t="s">
        <v>2998</v>
      </c>
      <c r="H547" s="51" t="s">
        <v>2999</v>
      </c>
      <c r="I547" s="14" t="s">
        <v>164</v>
      </c>
      <c r="J547" s="14">
        <v>2.682646151</v>
      </c>
      <c r="K547" s="14">
        <v>2.394927609</v>
      </c>
      <c r="L547" s="14">
        <v>2.762670203</v>
      </c>
      <c r="M547" s="14">
        <v>0.039917527</v>
      </c>
      <c r="N547" s="14">
        <v>0.019148064</v>
      </c>
      <c r="O547" s="14">
        <v>0.253855159</v>
      </c>
      <c r="P547" s="14" t="s">
        <v>3000</v>
      </c>
      <c r="Q547" s="14" t="s">
        <v>3001</v>
      </c>
      <c r="T547" s="14" t="s">
        <v>3002</v>
      </c>
      <c r="U547" s="14" t="s">
        <v>3003</v>
      </c>
    </row>
    <row r="548" spans="1:21">
      <c r="A548" s="14" t="s">
        <v>3004</v>
      </c>
      <c r="B548" s="14">
        <v>3.750184197</v>
      </c>
      <c r="C548" s="14">
        <v>0</v>
      </c>
      <c r="D548" s="14">
        <v>7.500368394</v>
      </c>
      <c r="E548" s="14">
        <v>40.45985561</v>
      </c>
      <c r="F548" s="14">
        <v>5.338419266</v>
      </c>
      <c r="G548" s="14">
        <v>0.018990823</v>
      </c>
      <c r="H548" s="14">
        <v>0.046544239</v>
      </c>
      <c r="I548" s="14" t="s">
        <v>164</v>
      </c>
      <c r="J548" s="14">
        <v>0.274385159</v>
      </c>
      <c r="K548" s="14">
        <v>0.018411791</v>
      </c>
      <c r="L548" s="14">
        <v>0.123289412</v>
      </c>
      <c r="M548" s="14">
        <v>0</v>
      </c>
      <c r="N548" s="14">
        <v>0</v>
      </c>
      <c r="O548" s="14">
        <v>0</v>
      </c>
      <c r="P548" s="14" t="s">
        <v>3005</v>
      </c>
      <c r="Q548" s="14" t="s">
        <v>3006</v>
      </c>
      <c r="T548" s="14" t="s">
        <v>3007</v>
      </c>
      <c r="U548" s="14" t="s">
        <v>3008</v>
      </c>
    </row>
    <row r="549" spans="1:21">
      <c r="A549" s="14" t="s">
        <v>3009</v>
      </c>
      <c r="B549" s="14">
        <v>228.2164399</v>
      </c>
      <c r="C549" s="14">
        <v>29.27915581</v>
      </c>
      <c r="D549" s="14">
        <v>427.1537241</v>
      </c>
      <c r="E549" s="14">
        <v>14.53280251</v>
      </c>
      <c r="F549" s="14">
        <v>3.861241035</v>
      </c>
      <c r="G549" s="51" t="s">
        <v>3010</v>
      </c>
      <c r="H549" s="51" t="s">
        <v>3011</v>
      </c>
      <c r="I549" s="14" t="s">
        <v>164</v>
      </c>
      <c r="J549" s="14">
        <v>4.369297679</v>
      </c>
      <c r="K549" s="14">
        <v>2.219388374</v>
      </c>
      <c r="L549" s="14">
        <v>3.95628079</v>
      </c>
      <c r="M549" s="14">
        <v>0.083538501</v>
      </c>
      <c r="N549" s="14">
        <v>0.04675141</v>
      </c>
      <c r="O549" s="14">
        <v>0.497207073</v>
      </c>
      <c r="P549" s="14" t="s">
        <v>3012</v>
      </c>
      <c r="Q549" s="14" t="s">
        <v>3013</v>
      </c>
      <c r="T549" s="14" t="s">
        <v>3014</v>
      </c>
      <c r="U549" s="14" t="s">
        <v>3015</v>
      </c>
    </row>
    <row r="550" spans="1:21">
      <c r="A550" s="14" t="s">
        <v>3016</v>
      </c>
      <c r="B550" s="14">
        <v>248.2973059</v>
      </c>
      <c r="C550" s="14">
        <v>97.78617218</v>
      </c>
      <c r="D550" s="14">
        <v>398.8084396</v>
      </c>
      <c r="E550" s="14">
        <v>4.073364144</v>
      </c>
      <c r="F550" s="14">
        <v>2.026220792</v>
      </c>
      <c r="G550" s="14">
        <v>0.010073692</v>
      </c>
      <c r="H550" s="14">
        <v>0.027184166</v>
      </c>
      <c r="I550" s="14" t="s">
        <v>164</v>
      </c>
      <c r="J550" s="14">
        <v>3.910947532</v>
      </c>
      <c r="K550" s="14">
        <v>1.942490045</v>
      </c>
      <c r="L550" s="14">
        <v>2.984368484</v>
      </c>
      <c r="M550" s="14">
        <v>0.200145704</v>
      </c>
      <c r="N550" s="14">
        <v>0.180015039</v>
      </c>
      <c r="O550" s="14">
        <v>1.505360112</v>
      </c>
      <c r="P550" s="14" t="s">
        <v>3017</v>
      </c>
      <c r="Q550" s="14" t="s">
        <v>3018</v>
      </c>
      <c r="T550" s="14" t="s">
        <v>3019</v>
      </c>
      <c r="U550" s="14" t="s">
        <v>3020</v>
      </c>
    </row>
    <row r="551" spans="1:21">
      <c r="A551" s="14" t="s">
        <v>3021</v>
      </c>
      <c r="B551" s="14">
        <v>9.541469607</v>
      </c>
      <c r="C551" s="14">
        <v>0.309088846</v>
      </c>
      <c r="D551" s="14">
        <v>18.77385037</v>
      </c>
      <c r="E551" s="14">
        <v>51.95113245</v>
      </c>
      <c r="F551" s="14">
        <v>5.699083293</v>
      </c>
      <c r="G551" s="51" t="s">
        <v>3022</v>
      </c>
      <c r="H551" s="14">
        <v>0.000435951</v>
      </c>
      <c r="I551" s="14" t="s">
        <v>164</v>
      </c>
      <c r="J551" s="14">
        <v>1.103868178</v>
      </c>
      <c r="K551" s="14">
        <v>1.461942491</v>
      </c>
      <c r="L551" s="14">
        <v>0.727219216</v>
      </c>
      <c r="M551" s="14">
        <v>0</v>
      </c>
      <c r="N551" s="14">
        <v>0</v>
      </c>
      <c r="O551" s="14">
        <v>0.04863408</v>
      </c>
      <c r="P551" s="14" t="s">
        <v>3023</v>
      </c>
      <c r="Q551" s="14" t="s">
        <v>3024</v>
      </c>
      <c r="T551" s="14" t="s">
        <v>3025</v>
      </c>
      <c r="U551" s="14" t="s">
        <v>3026</v>
      </c>
    </row>
    <row r="552" spans="1:21">
      <c r="A552" s="14" t="s">
        <v>3027</v>
      </c>
      <c r="B552" s="14">
        <v>1520.824817</v>
      </c>
      <c r="C552" s="14">
        <v>815.2054124</v>
      </c>
      <c r="D552" s="14">
        <v>2226.444222</v>
      </c>
      <c r="E552" s="14">
        <v>2.730555351</v>
      </c>
      <c r="F552" s="14">
        <v>1.449194402</v>
      </c>
      <c r="G552" s="51" t="s">
        <v>3028</v>
      </c>
      <c r="H552" s="51" t="s">
        <v>3029</v>
      </c>
      <c r="I552" s="14" t="s">
        <v>164</v>
      </c>
      <c r="J552" s="14">
        <v>34.29189877</v>
      </c>
      <c r="K552" s="14">
        <v>56.17325041</v>
      </c>
      <c r="L552" s="14">
        <v>61.65372699</v>
      </c>
      <c r="M552" s="14">
        <v>12.14466434</v>
      </c>
      <c r="N552" s="14">
        <v>11.81781168</v>
      </c>
      <c r="O552" s="14">
        <v>22.61377951</v>
      </c>
      <c r="P552" s="14" t="s">
        <v>3030</v>
      </c>
      <c r="Q552" s="14" t="s">
        <v>3031</v>
      </c>
      <c r="T552" s="14" t="s">
        <v>3032</v>
      </c>
      <c r="U552" s="14" t="s">
        <v>3033</v>
      </c>
    </row>
    <row r="553" spans="1:21">
      <c r="A553" s="14" t="s">
        <v>3034</v>
      </c>
      <c r="B553" s="14">
        <v>30.23501519</v>
      </c>
      <c r="C553" s="14">
        <v>17.99002065</v>
      </c>
      <c r="D553" s="14">
        <v>42.48000973</v>
      </c>
      <c r="E553" s="14">
        <v>2.370694797</v>
      </c>
      <c r="F553" s="14">
        <v>1.245309942</v>
      </c>
      <c r="G553" s="14">
        <v>0.006043432</v>
      </c>
      <c r="H553" s="14">
        <v>0.017464578</v>
      </c>
      <c r="I553" s="14" t="s">
        <v>164</v>
      </c>
      <c r="J553" s="14">
        <v>0.743707798</v>
      </c>
      <c r="K553" s="14">
        <v>0.925855613</v>
      </c>
      <c r="L553" s="14">
        <v>0.847987857</v>
      </c>
      <c r="M553" s="14">
        <v>0.301411161</v>
      </c>
      <c r="N553" s="14">
        <v>0.353427831</v>
      </c>
      <c r="O553" s="14">
        <v>0.212980176</v>
      </c>
      <c r="P553" s="14" t="s">
        <v>3035</v>
      </c>
      <c r="Q553" s="14" t="s">
        <v>3036</v>
      </c>
      <c r="R553" s="14" t="s">
        <v>341</v>
      </c>
      <c r="S553" s="14" t="s">
        <v>342</v>
      </c>
      <c r="T553" s="14" t="s">
        <v>3037</v>
      </c>
      <c r="U553" s="14" t="s">
        <v>3038</v>
      </c>
    </row>
    <row r="554" spans="1:21">
      <c r="A554" s="14" t="s">
        <v>3039</v>
      </c>
      <c r="B554" s="14">
        <v>2234.783366</v>
      </c>
      <c r="C554" s="14">
        <v>3295.475985</v>
      </c>
      <c r="D554" s="14">
        <v>1174.090747</v>
      </c>
      <c r="E554" s="14">
        <v>0.356262238</v>
      </c>
      <c r="F554" s="14">
        <v>-1.48898852</v>
      </c>
      <c r="G554" s="51" t="s">
        <v>3040</v>
      </c>
      <c r="H554" s="51" t="s">
        <v>3041</v>
      </c>
      <c r="I554" s="14" t="s">
        <v>147</v>
      </c>
      <c r="J554" s="14">
        <v>16.54863386</v>
      </c>
      <c r="K554" s="14">
        <v>15.66782345</v>
      </c>
      <c r="L554" s="14">
        <v>13.10825772</v>
      </c>
      <c r="M554" s="14">
        <v>36.66910086</v>
      </c>
      <c r="N554" s="14">
        <v>34.54078066</v>
      </c>
      <c r="O554" s="14">
        <v>33.2383035</v>
      </c>
      <c r="P554" s="14" t="s">
        <v>3042</v>
      </c>
      <c r="Q554" s="14" t="s">
        <v>3043</v>
      </c>
      <c r="T554" s="14" t="s">
        <v>3044</v>
      </c>
      <c r="U554" s="14" t="s">
        <v>3045</v>
      </c>
    </row>
    <row r="555" spans="1:15">
      <c r="A555" s="14" t="s">
        <v>3046</v>
      </c>
      <c r="B555" s="14">
        <v>34.41011246</v>
      </c>
      <c r="C555" s="14">
        <v>51.5571876</v>
      </c>
      <c r="D555" s="14">
        <v>17.26303732</v>
      </c>
      <c r="E555" s="14">
        <v>0.334327653</v>
      </c>
      <c r="F555" s="14">
        <v>-1.580665405</v>
      </c>
      <c r="G555" s="14">
        <v>0.002785935</v>
      </c>
      <c r="H555" s="14">
        <v>0.008922305</v>
      </c>
      <c r="I555" s="14" t="s">
        <v>147</v>
      </c>
      <c r="J555" s="14">
        <v>0.283819031</v>
      </c>
      <c r="K555" s="14">
        <v>0.367292999</v>
      </c>
      <c r="L555" s="14">
        <v>0.409912492</v>
      </c>
      <c r="M555" s="14">
        <v>0.641775727</v>
      </c>
      <c r="N555" s="14">
        <v>0.599066873</v>
      </c>
      <c r="O555" s="14">
        <v>1.425508637</v>
      </c>
    </row>
    <row r="556" spans="1:21">
      <c r="A556" s="14" t="s">
        <v>3047</v>
      </c>
      <c r="B556" s="14">
        <v>8380.918591</v>
      </c>
      <c r="C556" s="14">
        <v>11527.56732</v>
      </c>
      <c r="D556" s="14">
        <v>5234.269867</v>
      </c>
      <c r="E556" s="14">
        <v>0.454066574</v>
      </c>
      <c r="F556" s="14">
        <v>-1.139024259</v>
      </c>
      <c r="G556" s="51" t="s">
        <v>3048</v>
      </c>
      <c r="H556" s="14">
        <v>0.000454781</v>
      </c>
      <c r="I556" s="14" t="s">
        <v>147</v>
      </c>
      <c r="J556" s="14">
        <v>69.07268757</v>
      </c>
      <c r="K556" s="14">
        <v>119.0678134</v>
      </c>
      <c r="L556" s="14">
        <v>77.17671037</v>
      </c>
      <c r="M556" s="14">
        <v>174.2823882</v>
      </c>
      <c r="N556" s="14">
        <v>173.9189144</v>
      </c>
      <c r="O556" s="14">
        <v>129.2405213</v>
      </c>
      <c r="P556" s="14" t="s">
        <v>3049</v>
      </c>
      <c r="Q556" s="14" t="s">
        <v>3050</v>
      </c>
      <c r="T556" s="14" t="s">
        <v>3051</v>
      </c>
      <c r="U556" s="14" t="s">
        <v>3052</v>
      </c>
    </row>
    <row r="557" spans="1:15">
      <c r="A557" s="14" t="s">
        <v>3053</v>
      </c>
      <c r="B557" s="14">
        <v>79.9474218</v>
      </c>
      <c r="C557" s="14">
        <v>37.21405367</v>
      </c>
      <c r="D557" s="14">
        <v>122.6807899</v>
      </c>
      <c r="E557" s="14">
        <v>3.305265843</v>
      </c>
      <c r="F557" s="14">
        <v>1.724766313</v>
      </c>
      <c r="G557" s="14">
        <v>0.003739584</v>
      </c>
      <c r="H557" s="14">
        <v>0.011528767</v>
      </c>
      <c r="I557" s="14" t="s">
        <v>164</v>
      </c>
      <c r="J557" s="14">
        <v>4.824513148</v>
      </c>
      <c r="K557" s="14">
        <v>4.743085971</v>
      </c>
      <c r="L557" s="14">
        <v>4.321190483</v>
      </c>
      <c r="M557" s="14">
        <v>1.343943962</v>
      </c>
      <c r="N557" s="14">
        <v>1.657741731</v>
      </c>
      <c r="O557" s="14">
        <v>0.375683499</v>
      </c>
    </row>
    <row r="558" spans="1:15">
      <c r="A558" s="14" t="s">
        <v>3054</v>
      </c>
      <c r="B558" s="14">
        <v>2064.650265</v>
      </c>
      <c r="C558" s="14">
        <v>897.6368328</v>
      </c>
      <c r="D558" s="14">
        <v>3231.663697</v>
      </c>
      <c r="E558" s="14">
        <v>3.59889214</v>
      </c>
      <c r="F558" s="14">
        <v>1.847552865</v>
      </c>
      <c r="G558" s="51" t="s">
        <v>3055</v>
      </c>
      <c r="H558" s="51" t="s">
        <v>3056</v>
      </c>
      <c r="I558" s="14" t="s">
        <v>164</v>
      </c>
      <c r="J558" s="14">
        <v>69.92062583</v>
      </c>
      <c r="K558" s="14">
        <v>86.98248796</v>
      </c>
      <c r="L558" s="14">
        <v>88.22137806</v>
      </c>
      <c r="M558" s="14">
        <v>15.05767025</v>
      </c>
      <c r="N558" s="14">
        <v>16.15162577</v>
      </c>
      <c r="O558" s="14">
        <v>25.54554464</v>
      </c>
    </row>
    <row r="559" spans="1:15">
      <c r="A559" s="14" t="s">
        <v>3057</v>
      </c>
      <c r="B559" s="14">
        <v>3.644006991</v>
      </c>
      <c r="C559" s="14">
        <v>0.361896244</v>
      </c>
      <c r="D559" s="14">
        <v>6.926117739</v>
      </c>
      <c r="E559" s="14">
        <v>19.15922218</v>
      </c>
      <c r="F559" s="14">
        <v>4.259967087</v>
      </c>
      <c r="G559" s="14">
        <v>0.013175956</v>
      </c>
      <c r="H559" s="14">
        <v>0.034138663</v>
      </c>
      <c r="I559" s="14" t="s">
        <v>164</v>
      </c>
      <c r="J559" s="14">
        <v>1.22262799</v>
      </c>
      <c r="K559" s="14">
        <v>1.09387697</v>
      </c>
      <c r="L559" s="14">
        <v>0.523202965</v>
      </c>
      <c r="M559" s="14">
        <v>0.116230448</v>
      </c>
      <c r="N559" s="14">
        <v>0</v>
      </c>
      <c r="O559" s="14">
        <v>0</v>
      </c>
    </row>
    <row r="560" spans="1:21">
      <c r="A560" s="14" t="s">
        <v>3058</v>
      </c>
      <c r="B560" s="14">
        <v>21.32464187</v>
      </c>
      <c r="C560" s="14">
        <v>8.985313397</v>
      </c>
      <c r="D560" s="14">
        <v>33.66397035</v>
      </c>
      <c r="E560" s="14">
        <v>3.708140269</v>
      </c>
      <c r="F560" s="14">
        <v>1.890695818</v>
      </c>
      <c r="G560" s="14">
        <v>0.014325229</v>
      </c>
      <c r="H560" s="14">
        <v>0.036673835</v>
      </c>
      <c r="I560" s="14" t="s">
        <v>164</v>
      </c>
      <c r="J560" s="14">
        <v>1.136939533</v>
      </c>
      <c r="K560" s="14">
        <v>1.287409049</v>
      </c>
      <c r="L560" s="14">
        <v>1.197329863</v>
      </c>
      <c r="M560" s="14">
        <v>0.12159493</v>
      </c>
      <c r="N560" s="14">
        <v>0.1166559</v>
      </c>
      <c r="O560" s="14">
        <v>0.594832206</v>
      </c>
      <c r="P560" s="14" t="s">
        <v>3059</v>
      </c>
      <c r="Q560" s="14" t="s">
        <v>3060</v>
      </c>
      <c r="T560" s="14" t="s">
        <v>3061</v>
      </c>
      <c r="U560" s="14" t="s">
        <v>3062</v>
      </c>
    </row>
    <row r="561" spans="1:21">
      <c r="A561" s="14" t="s">
        <v>3063</v>
      </c>
      <c r="B561" s="14">
        <v>507.9991172</v>
      </c>
      <c r="C561" s="14">
        <v>303.1839372</v>
      </c>
      <c r="D561" s="14">
        <v>712.8142972</v>
      </c>
      <c r="E561" s="14">
        <v>2.350165836</v>
      </c>
      <c r="F561" s="14">
        <v>1.232762562</v>
      </c>
      <c r="G561" s="14">
        <v>0.019845242</v>
      </c>
      <c r="H561" s="14">
        <v>0.048253249</v>
      </c>
      <c r="I561" s="14" t="s">
        <v>164</v>
      </c>
      <c r="J561" s="14">
        <v>5.174921561</v>
      </c>
      <c r="K561" s="14">
        <v>8.174257821</v>
      </c>
      <c r="L561" s="14">
        <v>13.94177825</v>
      </c>
      <c r="M561" s="14">
        <v>2.036065944</v>
      </c>
      <c r="N561" s="14">
        <v>1.881016754</v>
      </c>
      <c r="O561" s="14">
        <v>5.902378638</v>
      </c>
      <c r="P561" s="14" t="s">
        <v>3064</v>
      </c>
      <c r="Q561" s="14" t="s">
        <v>3065</v>
      </c>
      <c r="R561" s="14" t="s">
        <v>3066</v>
      </c>
      <c r="S561" s="14" t="s">
        <v>3067</v>
      </c>
      <c r="T561" s="14" t="s">
        <v>3068</v>
      </c>
      <c r="U561" s="14" t="s">
        <v>3069</v>
      </c>
    </row>
    <row r="562" spans="1:21">
      <c r="A562" s="14" t="s">
        <v>21</v>
      </c>
      <c r="B562" s="14">
        <v>1224.651978</v>
      </c>
      <c r="C562" s="14">
        <v>579.7187951</v>
      </c>
      <c r="D562" s="14">
        <v>1869.58516</v>
      </c>
      <c r="E562" s="14">
        <v>3.224025704</v>
      </c>
      <c r="F562" s="14">
        <v>1.688863246</v>
      </c>
      <c r="G562" s="14">
        <v>0.001721398</v>
      </c>
      <c r="H562" s="14">
        <v>0.005888855</v>
      </c>
      <c r="I562" s="14" t="s">
        <v>164</v>
      </c>
      <c r="J562" s="14">
        <v>21.75723423</v>
      </c>
      <c r="K562" s="14">
        <v>14.61299321</v>
      </c>
      <c r="L562" s="14">
        <v>20.46624624</v>
      </c>
      <c r="M562" s="14">
        <v>2.753702836</v>
      </c>
      <c r="N562" s="14">
        <v>2.189197363</v>
      </c>
      <c r="O562" s="14">
        <v>10.13883318</v>
      </c>
      <c r="P562" s="14" t="s">
        <v>22</v>
      </c>
      <c r="Q562" s="14" t="s">
        <v>3070</v>
      </c>
      <c r="R562" s="14" t="s">
        <v>341</v>
      </c>
      <c r="S562" s="14" t="s">
        <v>342</v>
      </c>
      <c r="T562" s="14" t="s">
        <v>3071</v>
      </c>
      <c r="U562" s="14" t="s">
        <v>3072</v>
      </c>
    </row>
    <row r="563" spans="1:21">
      <c r="A563" s="14" t="s">
        <v>3073</v>
      </c>
      <c r="B563" s="14">
        <v>653.7904475</v>
      </c>
      <c r="C563" s="14">
        <v>376.6886991</v>
      </c>
      <c r="D563" s="14">
        <v>930.892196</v>
      </c>
      <c r="E563" s="14">
        <v>2.470036651</v>
      </c>
      <c r="F563" s="14">
        <v>1.304532449</v>
      </c>
      <c r="G563" s="14">
        <v>0.000798198</v>
      </c>
      <c r="H563" s="14">
        <v>0.003003445</v>
      </c>
      <c r="I563" s="14" t="s">
        <v>164</v>
      </c>
      <c r="J563" s="14">
        <v>12.21995108</v>
      </c>
      <c r="K563" s="14">
        <v>7.329690944</v>
      </c>
      <c r="L563" s="14">
        <v>12.44205303</v>
      </c>
      <c r="M563" s="14">
        <v>2.461216542</v>
      </c>
      <c r="N563" s="14">
        <v>2.528577407</v>
      </c>
      <c r="O563" s="14">
        <v>5.90626813</v>
      </c>
      <c r="P563" s="14" t="s">
        <v>3074</v>
      </c>
      <c r="Q563" s="14" t="s">
        <v>3075</v>
      </c>
      <c r="T563" s="14" t="s">
        <v>879</v>
      </c>
      <c r="U563" s="14" t="s">
        <v>880</v>
      </c>
    </row>
    <row r="564" spans="1:15">
      <c r="A564" s="14" t="s">
        <v>3076</v>
      </c>
      <c r="B564" s="14">
        <v>6109.379502</v>
      </c>
      <c r="C564" s="14">
        <v>8453.062375</v>
      </c>
      <c r="D564" s="14">
        <v>3765.696628</v>
      </c>
      <c r="E564" s="14">
        <v>0.445487834</v>
      </c>
      <c r="F564" s="14">
        <v>-1.16654206</v>
      </c>
      <c r="G564" s="51" t="s">
        <v>3077</v>
      </c>
      <c r="H564" s="51" t="s">
        <v>3078</v>
      </c>
      <c r="I564" s="14" t="s">
        <v>147</v>
      </c>
      <c r="J564" s="14">
        <v>42.56729139</v>
      </c>
      <c r="K564" s="14">
        <v>46.7591656</v>
      </c>
      <c r="L564" s="14">
        <v>41.4276699</v>
      </c>
      <c r="M564" s="14">
        <v>82.9296547</v>
      </c>
      <c r="N564" s="14">
        <v>78.51603543</v>
      </c>
      <c r="O564" s="14">
        <v>79.78310068</v>
      </c>
    </row>
    <row r="565" spans="1:21">
      <c r="A565" s="14" t="s">
        <v>3079</v>
      </c>
      <c r="B565" s="14">
        <v>1439.229846</v>
      </c>
      <c r="C565" s="14">
        <v>2128.261579</v>
      </c>
      <c r="D565" s="14">
        <v>750.1981125</v>
      </c>
      <c r="E565" s="14">
        <v>0.35240988</v>
      </c>
      <c r="F565" s="14">
        <v>-1.504673724</v>
      </c>
      <c r="G565" s="51" t="s">
        <v>3080</v>
      </c>
      <c r="H565" s="51" t="s">
        <v>3081</v>
      </c>
      <c r="I565" s="14" t="s">
        <v>147</v>
      </c>
      <c r="J565" s="14">
        <v>8.528853838</v>
      </c>
      <c r="K565" s="14">
        <v>10.3582127</v>
      </c>
      <c r="L565" s="14">
        <v>7.770861508</v>
      </c>
      <c r="M565" s="14">
        <v>19.32864552</v>
      </c>
      <c r="N565" s="14">
        <v>16.95244126</v>
      </c>
      <c r="O565" s="14">
        <v>26.6108614</v>
      </c>
      <c r="P565" s="14" t="s">
        <v>3082</v>
      </c>
      <c r="Q565" s="14" t="s">
        <v>3083</v>
      </c>
      <c r="T565" s="14" t="s">
        <v>3084</v>
      </c>
      <c r="U565" s="14" t="s">
        <v>3085</v>
      </c>
    </row>
    <row r="566" spans="1:21">
      <c r="A566" s="14" t="s">
        <v>3086</v>
      </c>
      <c r="B566" s="14">
        <v>380.7510951</v>
      </c>
      <c r="C566" s="14">
        <v>623.5474325</v>
      </c>
      <c r="D566" s="14">
        <v>137.9547577</v>
      </c>
      <c r="E566" s="14">
        <v>0.221263288</v>
      </c>
      <c r="F566" s="14">
        <v>-2.176163997</v>
      </c>
      <c r="G566" s="14">
        <v>0.011284751</v>
      </c>
      <c r="H566" s="14">
        <v>0.029970966</v>
      </c>
      <c r="I566" s="14" t="s">
        <v>147</v>
      </c>
      <c r="J566" s="14">
        <v>0.843069569</v>
      </c>
      <c r="K566" s="14">
        <v>2.40025416</v>
      </c>
      <c r="L566" s="14">
        <v>1.785847931</v>
      </c>
      <c r="M566" s="14">
        <v>8.233419406</v>
      </c>
      <c r="N566" s="14">
        <v>9.184180569</v>
      </c>
      <c r="O566" s="14">
        <v>0.635159813</v>
      </c>
      <c r="P566" s="14" t="s">
        <v>3087</v>
      </c>
      <c r="Q566" s="14" t="s">
        <v>3088</v>
      </c>
      <c r="T566" s="14" t="s">
        <v>3089</v>
      </c>
      <c r="U566" s="14" t="s">
        <v>3090</v>
      </c>
    </row>
    <row r="567" spans="1:21">
      <c r="A567" s="14" t="s">
        <v>3091</v>
      </c>
      <c r="B567" s="14">
        <v>16.17695727</v>
      </c>
      <c r="C567" s="14">
        <v>2.834607011</v>
      </c>
      <c r="D567" s="14">
        <v>29.51930752</v>
      </c>
      <c r="E567" s="14">
        <v>10.21049008</v>
      </c>
      <c r="F567" s="14">
        <v>3.351980208</v>
      </c>
      <c r="G567" s="14">
        <v>0.00308474</v>
      </c>
      <c r="H567" s="14">
        <v>0.009735734</v>
      </c>
      <c r="I567" s="14" t="s">
        <v>164</v>
      </c>
      <c r="J567" s="14">
        <v>1.86242615</v>
      </c>
      <c r="K567" s="14">
        <v>1.874587549</v>
      </c>
      <c r="L567" s="14">
        <v>2.940906991</v>
      </c>
      <c r="M567" s="14">
        <v>0.063739278</v>
      </c>
      <c r="N567" s="14">
        <v>0</v>
      </c>
      <c r="O567" s="14">
        <v>0.498891528</v>
      </c>
      <c r="P567" s="14" t="s">
        <v>3092</v>
      </c>
      <c r="Q567" s="14" t="s">
        <v>3093</v>
      </c>
      <c r="T567" s="14" t="s">
        <v>3094</v>
      </c>
      <c r="U567" s="14" t="s">
        <v>3095</v>
      </c>
    </row>
    <row r="568" spans="1:15">
      <c r="A568" s="14" t="s">
        <v>3096</v>
      </c>
      <c r="B568" s="14">
        <v>4587.171956</v>
      </c>
      <c r="C568" s="14">
        <v>6642.296318</v>
      </c>
      <c r="D568" s="14">
        <v>2532.047594</v>
      </c>
      <c r="E568" s="14">
        <v>0.381177037</v>
      </c>
      <c r="F568" s="14">
        <v>-1.391466884</v>
      </c>
      <c r="G568" s="51" t="s">
        <v>3097</v>
      </c>
      <c r="H568" s="51" t="s">
        <v>3098</v>
      </c>
      <c r="I568" s="14" t="s">
        <v>147</v>
      </c>
      <c r="J568" s="14">
        <v>25.42029803</v>
      </c>
      <c r="K568" s="14">
        <v>29.19721442</v>
      </c>
      <c r="L568" s="14">
        <v>26.75488837</v>
      </c>
      <c r="M568" s="14">
        <v>55.95834999</v>
      </c>
      <c r="N568" s="14">
        <v>55.31459968</v>
      </c>
      <c r="O568" s="14">
        <v>64.96633879</v>
      </c>
    </row>
    <row r="569" spans="1:21">
      <c r="A569" s="14" t="s">
        <v>3099</v>
      </c>
      <c r="B569" s="14">
        <v>4518.557092</v>
      </c>
      <c r="C569" s="14">
        <v>6968.696443</v>
      </c>
      <c r="D569" s="14">
        <v>2068.41774</v>
      </c>
      <c r="E569" s="14">
        <v>0.296828088</v>
      </c>
      <c r="F569" s="14">
        <v>-1.752300479</v>
      </c>
      <c r="G569" s="51" t="s">
        <v>3100</v>
      </c>
      <c r="H569" s="51" t="s">
        <v>3101</v>
      </c>
      <c r="I569" s="14" t="s">
        <v>147</v>
      </c>
      <c r="J569" s="14">
        <v>30.96530756</v>
      </c>
      <c r="K569" s="14">
        <v>32.28386493</v>
      </c>
      <c r="L569" s="14">
        <v>30.62307805</v>
      </c>
      <c r="M569" s="14">
        <v>94.61321883</v>
      </c>
      <c r="N569" s="14">
        <v>88.44491948</v>
      </c>
      <c r="O569" s="14">
        <v>75.56749634</v>
      </c>
      <c r="P569" s="14" t="s">
        <v>3102</v>
      </c>
      <c r="Q569" s="14" t="s">
        <v>3103</v>
      </c>
      <c r="T569" s="14" t="s">
        <v>3104</v>
      </c>
      <c r="U569" s="14" t="s">
        <v>3105</v>
      </c>
    </row>
    <row r="570" spans="1:21">
      <c r="A570" s="14" t="s">
        <v>3106</v>
      </c>
      <c r="B570" s="14">
        <v>816.7414553</v>
      </c>
      <c r="C570" s="14">
        <v>1537.064961</v>
      </c>
      <c r="D570" s="14">
        <v>96.4179494</v>
      </c>
      <c r="E570" s="14">
        <v>0.062659614</v>
      </c>
      <c r="F570" s="14">
        <v>-3.996320311</v>
      </c>
      <c r="G570" s="51" t="s">
        <v>3107</v>
      </c>
      <c r="H570" s="51" t="s">
        <v>3108</v>
      </c>
      <c r="I570" s="14" t="s">
        <v>147</v>
      </c>
      <c r="J570" s="14">
        <v>1.350808417</v>
      </c>
      <c r="K570" s="14">
        <v>1.817609321</v>
      </c>
      <c r="L570" s="14">
        <v>0.972046145</v>
      </c>
      <c r="M570" s="14">
        <v>19.16102763</v>
      </c>
      <c r="N570" s="14">
        <v>18.91962369</v>
      </c>
      <c r="O570" s="14">
        <v>16.08061268</v>
      </c>
      <c r="P570" s="14" t="s">
        <v>3109</v>
      </c>
      <c r="Q570" s="14" t="s">
        <v>3110</v>
      </c>
      <c r="R570" s="14" t="s">
        <v>798</v>
      </c>
      <c r="S570" s="14" t="s">
        <v>799</v>
      </c>
      <c r="T570" s="14" t="s">
        <v>3111</v>
      </c>
      <c r="U570" s="14" t="s">
        <v>3112</v>
      </c>
    </row>
    <row r="571" spans="1:21">
      <c r="A571" s="14" t="s">
        <v>3113</v>
      </c>
      <c r="B571" s="14">
        <v>2130.590668</v>
      </c>
      <c r="C571" s="14">
        <v>2972.760458</v>
      </c>
      <c r="D571" s="14">
        <v>1288.420879</v>
      </c>
      <c r="E571" s="14">
        <v>0.433437355</v>
      </c>
      <c r="F571" s="14">
        <v>-1.206104599</v>
      </c>
      <c r="G571" s="51" t="s">
        <v>3114</v>
      </c>
      <c r="H571" s="51" t="s">
        <v>3115</v>
      </c>
      <c r="I571" s="14" t="s">
        <v>147</v>
      </c>
      <c r="J571" s="14">
        <v>27.58740872</v>
      </c>
      <c r="K571" s="14">
        <v>27.9991226</v>
      </c>
      <c r="L571" s="14">
        <v>25.99864637</v>
      </c>
      <c r="M571" s="14">
        <v>52.09264452</v>
      </c>
      <c r="N571" s="14">
        <v>55.81390511</v>
      </c>
      <c r="O571" s="14">
        <v>46.29186247</v>
      </c>
      <c r="P571" s="14" t="s">
        <v>3116</v>
      </c>
      <c r="Q571" s="14" t="s">
        <v>3117</v>
      </c>
      <c r="T571" s="14" t="s">
        <v>3118</v>
      </c>
      <c r="U571" s="14" t="s">
        <v>3119</v>
      </c>
    </row>
    <row r="572" spans="1:21">
      <c r="A572" s="14" t="s">
        <v>3120</v>
      </c>
      <c r="B572" s="14">
        <v>4324.461803</v>
      </c>
      <c r="C572" s="14">
        <v>2520.775564</v>
      </c>
      <c r="D572" s="14">
        <v>6128.148042</v>
      </c>
      <c r="E572" s="14">
        <v>2.430913351</v>
      </c>
      <c r="F572" s="14">
        <v>1.28149847</v>
      </c>
      <c r="G572" s="14">
        <v>0.000178663</v>
      </c>
      <c r="H572" s="14">
        <v>0.00079603</v>
      </c>
      <c r="I572" s="14" t="s">
        <v>164</v>
      </c>
      <c r="J572" s="14">
        <v>59.20705808</v>
      </c>
      <c r="K572" s="14">
        <v>26.91599466</v>
      </c>
      <c r="L572" s="14">
        <v>43.7297393</v>
      </c>
      <c r="M572" s="14">
        <v>11.57145194</v>
      </c>
      <c r="N572" s="14">
        <v>12.09396572</v>
      </c>
      <c r="O572" s="14">
        <v>20.93419312</v>
      </c>
      <c r="P572" s="14" t="s">
        <v>3121</v>
      </c>
      <c r="Q572" s="14" t="s">
        <v>3122</v>
      </c>
      <c r="R572" s="14" t="s">
        <v>3123</v>
      </c>
      <c r="S572" s="14" t="s">
        <v>3124</v>
      </c>
      <c r="T572" s="14" t="s">
        <v>3125</v>
      </c>
      <c r="U572" s="14" t="s">
        <v>3126</v>
      </c>
    </row>
    <row r="573" spans="1:21">
      <c r="A573" s="14" t="s">
        <v>3127</v>
      </c>
      <c r="B573" s="14">
        <v>3935.169259</v>
      </c>
      <c r="C573" s="14">
        <v>5417.387338</v>
      </c>
      <c r="D573" s="14">
        <v>2452.95118</v>
      </c>
      <c r="E573" s="14">
        <v>0.452802449</v>
      </c>
      <c r="F573" s="14">
        <v>-1.143046334</v>
      </c>
      <c r="G573" s="51" t="s">
        <v>3128</v>
      </c>
      <c r="H573" s="51" t="s">
        <v>3129</v>
      </c>
      <c r="I573" s="14" t="s">
        <v>147</v>
      </c>
      <c r="J573" s="14">
        <v>17.23648691</v>
      </c>
      <c r="K573" s="14">
        <v>17.82088901</v>
      </c>
      <c r="L573" s="14">
        <v>15.3793966</v>
      </c>
      <c r="M573" s="14">
        <v>32.7733959</v>
      </c>
      <c r="N573" s="14">
        <v>29.8472084</v>
      </c>
      <c r="O573" s="14">
        <v>28.7549384</v>
      </c>
      <c r="P573" s="14" t="s">
        <v>3130</v>
      </c>
      <c r="Q573" s="14" t="s">
        <v>3131</v>
      </c>
      <c r="T573" s="14" t="s">
        <v>3132</v>
      </c>
      <c r="U573" s="14" t="s">
        <v>3133</v>
      </c>
    </row>
    <row r="574" spans="1:21">
      <c r="A574" s="14" t="s">
        <v>3134</v>
      </c>
      <c r="B574" s="14">
        <v>331.7087978</v>
      </c>
      <c r="C574" s="14">
        <v>463.8419079</v>
      </c>
      <c r="D574" s="14">
        <v>199.5756877</v>
      </c>
      <c r="E574" s="14">
        <v>0.430231675</v>
      </c>
      <c r="F574" s="14">
        <v>-1.216814349</v>
      </c>
      <c r="G574" s="51" t="s">
        <v>3135</v>
      </c>
      <c r="H574" s="14">
        <v>0.000357812</v>
      </c>
      <c r="I574" s="14" t="s">
        <v>147</v>
      </c>
      <c r="J574" s="14">
        <v>14.59028127</v>
      </c>
      <c r="K574" s="14">
        <v>23.02764369</v>
      </c>
      <c r="L574" s="14">
        <v>14.46387263</v>
      </c>
      <c r="M574" s="14">
        <v>39.73995046</v>
      </c>
      <c r="N574" s="14">
        <v>26.92897869</v>
      </c>
      <c r="O574" s="14">
        <v>32.81027739</v>
      </c>
      <c r="Q574" s="14" t="s">
        <v>3136</v>
      </c>
      <c r="T574" s="14" t="s">
        <v>3137</v>
      </c>
      <c r="U574" s="14" t="s">
        <v>3138</v>
      </c>
    </row>
    <row r="575" spans="1:15">
      <c r="A575" s="14" t="s">
        <v>3139</v>
      </c>
      <c r="B575" s="14">
        <v>1449.380771</v>
      </c>
      <c r="C575" s="14">
        <v>2058.111173</v>
      </c>
      <c r="D575" s="14">
        <v>840.6503691</v>
      </c>
      <c r="E575" s="14">
        <v>0.408472951</v>
      </c>
      <c r="F575" s="14">
        <v>-1.291687547</v>
      </c>
      <c r="G575" s="14">
        <v>0.007066028</v>
      </c>
      <c r="H575" s="14">
        <v>0.019991605</v>
      </c>
      <c r="I575" s="14" t="s">
        <v>147</v>
      </c>
      <c r="J575" s="14">
        <v>28.15885584</v>
      </c>
      <c r="K575" s="14">
        <v>31.77335399</v>
      </c>
      <c r="L575" s="14">
        <v>21.00930528</v>
      </c>
      <c r="M575" s="14">
        <v>67.53550124</v>
      </c>
      <c r="N575" s="14">
        <v>69.81252198</v>
      </c>
      <c r="O575" s="14">
        <v>22.10519547</v>
      </c>
    </row>
    <row r="576" spans="1:21">
      <c r="A576" s="14" t="s">
        <v>3140</v>
      </c>
      <c r="B576" s="14">
        <v>1487.117274</v>
      </c>
      <c r="C576" s="14">
        <v>2445.163184</v>
      </c>
      <c r="D576" s="14">
        <v>529.0713651</v>
      </c>
      <c r="E576" s="14">
        <v>0.216364181</v>
      </c>
      <c r="F576" s="14">
        <v>-2.208466414</v>
      </c>
      <c r="G576" s="51" t="s">
        <v>3141</v>
      </c>
      <c r="H576" s="51" t="s">
        <v>3142</v>
      </c>
      <c r="I576" s="14" t="s">
        <v>147</v>
      </c>
      <c r="J576" s="14">
        <v>5.966044198</v>
      </c>
      <c r="K576" s="14">
        <v>6.855360319</v>
      </c>
      <c r="L576" s="14">
        <v>3.846339301</v>
      </c>
      <c r="M576" s="14">
        <v>24.84435662</v>
      </c>
      <c r="N576" s="14">
        <v>25.33347284</v>
      </c>
      <c r="O576" s="14">
        <v>12.27588603</v>
      </c>
      <c r="P576" s="14" t="s">
        <v>3143</v>
      </c>
      <c r="Q576" s="14" t="s">
        <v>3144</v>
      </c>
      <c r="T576" s="14" t="s">
        <v>3145</v>
      </c>
      <c r="U576" s="14" t="s">
        <v>3146</v>
      </c>
    </row>
    <row r="577" spans="1:21">
      <c r="A577" s="14" t="s">
        <v>3147</v>
      </c>
      <c r="B577" s="14">
        <v>80.22740193</v>
      </c>
      <c r="C577" s="14">
        <v>32.18010655</v>
      </c>
      <c r="D577" s="14">
        <v>128.2746973</v>
      </c>
      <c r="E577" s="14">
        <v>3.997122726</v>
      </c>
      <c r="F577" s="14">
        <v>1.99896187</v>
      </c>
      <c r="G577" s="14">
        <v>0.00266332</v>
      </c>
      <c r="H577" s="14">
        <v>0.00857587</v>
      </c>
      <c r="I577" s="14" t="s">
        <v>164</v>
      </c>
      <c r="J577" s="14">
        <v>0.762337869</v>
      </c>
      <c r="K577" s="14">
        <v>0.789396867</v>
      </c>
      <c r="L577" s="14">
        <v>0.575595742</v>
      </c>
      <c r="M577" s="14">
        <v>0.183006025</v>
      </c>
      <c r="N577" s="14">
        <v>0.207085577</v>
      </c>
      <c r="O577" s="14">
        <v>0.036728211</v>
      </c>
      <c r="P577" s="14" t="s">
        <v>3148</v>
      </c>
      <c r="Q577" s="14" t="s">
        <v>3149</v>
      </c>
      <c r="T577" s="14" t="s">
        <v>3150</v>
      </c>
      <c r="U577" s="14" t="s">
        <v>3151</v>
      </c>
    </row>
    <row r="578" spans="1:15">
      <c r="A578" s="14" t="s">
        <v>3152</v>
      </c>
      <c r="B578" s="14">
        <v>82.15679639</v>
      </c>
      <c r="C578" s="14">
        <v>49.46693844</v>
      </c>
      <c r="D578" s="14">
        <v>114.8466543</v>
      </c>
      <c r="E578" s="14">
        <v>2.318657266</v>
      </c>
      <c r="F578" s="14">
        <v>1.213289582</v>
      </c>
      <c r="G578" s="51" t="s">
        <v>3153</v>
      </c>
      <c r="H578" s="51" t="s">
        <v>3154</v>
      </c>
      <c r="I578" s="14" t="s">
        <v>164</v>
      </c>
      <c r="J578" s="14">
        <v>1.669001685</v>
      </c>
      <c r="K578" s="14">
        <v>1.353949292</v>
      </c>
      <c r="L578" s="14">
        <v>1.307184397</v>
      </c>
      <c r="M578" s="14">
        <v>0.479548544</v>
      </c>
      <c r="N578" s="14">
        <v>0.460069896</v>
      </c>
      <c r="O578" s="14">
        <v>0.604723798</v>
      </c>
    </row>
    <row r="579" spans="1:15">
      <c r="A579" s="14" t="s">
        <v>3155</v>
      </c>
      <c r="B579" s="14">
        <v>2546.502591</v>
      </c>
      <c r="C579" s="14">
        <v>3589.756519</v>
      </c>
      <c r="D579" s="14">
        <v>1503.248662</v>
      </c>
      <c r="E579" s="14">
        <v>0.418734676</v>
      </c>
      <c r="F579" s="14">
        <v>-1.255891702</v>
      </c>
      <c r="G579" s="51" t="s">
        <v>3156</v>
      </c>
      <c r="H579" s="51" t="s">
        <v>3157</v>
      </c>
      <c r="I579" s="14" t="s">
        <v>147</v>
      </c>
      <c r="J579" s="14">
        <v>16.81414178</v>
      </c>
      <c r="K579" s="14">
        <v>12.31962984</v>
      </c>
      <c r="L579" s="14">
        <v>14.17495803</v>
      </c>
      <c r="M579" s="14">
        <v>25.54182037</v>
      </c>
      <c r="N579" s="14">
        <v>25.80020964</v>
      </c>
      <c r="O579" s="14">
        <v>34.34390507</v>
      </c>
    </row>
    <row r="580" spans="1:15">
      <c r="A580" s="14" t="s">
        <v>3158</v>
      </c>
      <c r="B580" s="14">
        <v>148.0903071</v>
      </c>
      <c r="C580" s="14">
        <v>86.10010072</v>
      </c>
      <c r="D580" s="14">
        <v>210.0805135</v>
      </c>
      <c r="E580" s="14">
        <v>2.43892357</v>
      </c>
      <c r="F580" s="14">
        <v>1.286244548</v>
      </c>
      <c r="G580" s="51" t="s">
        <v>3159</v>
      </c>
      <c r="H580" s="51" t="s">
        <v>638</v>
      </c>
      <c r="I580" s="14" t="s">
        <v>164</v>
      </c>
      <c r="J580" s="14">
        <v>5.759936308</v>
      </c>
      <c r="K580" s="14">
        <v>6.153057957</v>
      </c>
      <c r="L580" s="14">
        <v>5.362830395</v>
      </c>
      <c r="M580" s="14">
        <v>1.999163701</v>
      </c>
      <c r="N580" s="14">
        <v>1.583432284</v>
      </c>
      <c r="O580" s="14">
        <v>2.274358435</v>
      </c>
    </row>
    <row r="581" spans="1:21">
      <c r="A581" s="14" t="s">
        <v>3160</v>
      </c>
      <c r="B581" s="14">
        <v>120.9324698</v>
      </c>
      <c r="C581" s="14">
        <v>24.57404964</v>
      </c>
      <c r="D581" s="14">
        <v>217.2908899</v>
      </c>
      <c r="E581" s="14">
        <v>8.886058616</v>
      </c>
      <c r="F581" s="14">
        <v>3.151543658</v>
      </c>
      <c r="G581" s="51" t="s">
        <v>3161</v>
      </c>
      <c r="H581" s="51" t="s">
        <v>3162</v>
      </c>
      <c r="I581" s="14" t="s">
        <v>164</v>
      </c>
      <c r="J581" s="14">
        <v>8.639244474</v>
      </c>
      <c r="K581" s="14">
        <v>8.921518851</v>
      </c>
      <c r="L581" s="14">
        <v>7.021934535</v>
      </c>
      <c r="M581" s="14">
        <v>1.151951968</v>
      </c>
      <c r="N581" s="14">
        <v>0.429784893</v>
      </c>
      <c r="O581" s="14">
        <v>0.688753081</v>
      </c>
      <c r="P581" s="14" t="s">
        <v>3163</v>
      </c>
      <c r="Q581" s="14" t="s">
        <v>3164</v>
      </c>
      <c r="T581" s="14" t="s">
        <v>3165</v>
      </c>
      <c r="U581" s="14" t="s">
        <v>3166</v>
      </c>
    </row>
    <row r="582" spans="1:21">
      <c r="A582" s="14" t="s">
        <v>3167</v>
      </c>
      <c r="B582" s="14">
        <v>2976.229559</v>
      </c>
      <c r="C582" s="14">
        <v>1898.754484</v>
      </c>
      <c r="D582" s="14">
        <v>4053.704634</v>
      </c>
      <c r="E582" s="14">
        <v>2.135241963</v>
      </c>
      <c r="F582" s="14">
        <v>1.094399564</v>
      </c>
      <c r="G582" s="51" t="s">
        <v>3168</v>
      </c>
      <c r="H582" s="51" t="s">
        <v>3169</v>
      </c>
      <c r="I582" s="14" t="s">
        <v>164</v>
      </c>
      <c r="J582" s="14">
        <v>35.30207779</v>
      </c>
      <c r="K582" s="14">
        <v>37.03106198</v>
      </c>
      <c r="L582" s="14">
        <v>32.64776812</v>
      </c>
      <c r="M582" s="14">
        <v>13.98210301</v>
      </c>
      <c r="N582" s="14">
        <v>15.15590278</v>
      </c>
      <c r="O582" s="14">
        <v>11.02983091</v>
      </c>
      <c r="P582" s="14" t="s">
        <v>3170</v>
      </c>
      <c r="Q582" s="14" t="s">
        <v>3171</v>
      </c>
      <c r="T582" s="14" t="s">
        <v>3172</v>
      </c>
      <c r="U582" s="14" t="s">
        <v>3173</v>
      </c>
    </row>
    <row r="583" spans="1:21">
      <c r="A583" s="14" t="s">
        <v>3174</v>
      </c>
      <c r="B583" s="14">
        <v>333.989085</v>
      </c>
      <c r="C583" s="14">
        <v>134.2648334</v>
      </c>
      <c r="D583" s="14">
        <v>533.7133366</v>
      </c>
      <c r="E583" s="14">
        <v>3.971579155</v>
      </c>
      <c r="F583" s="14">
        <v>1.989712757</v>
      </c>
      <c r="G583" s="14">
        <v>0.009700156</v>
      </c>
      <c r="H583" s="14">
        <v>0.026283674</v>
      </c>
      <c r="I583" s="14" t="s">
        <v>164</v>
      </c>
      <c r="J583" s="14">
        <v>7.579904897</v>
      </c>
      <c r="K583" s="14">
        <v>3.929564538</v>
      </c>
      <c r="L583" s="14">
        <v>7.957583723</v>
      </c>
      <c r="M583" s="14">
        <v>0.524170602</v>
      </c>
      <c r="N583" s="14">
        <v>0.374694502</v>
      </c>
      <c r="O583" s="14">
        <v>3.348541769</v>
      </c>
      <c r="P583" s="14" t="s">
        <v>3175</v>
      </c>
      <c r="Q583" s="14" t="s">
        <v>3176</v>
      </c>
      <c r="T583" s="14" t="s">
        <v>3177</v>
      </c>
      <c r="U583" s="14" t="s">
        <v>3178</v>
      </c>
    </row>
    <row r="584" spans="1:21">
      <c r="A584" s="14" t="s">
        <v>3179</v>
      </c>
      <c r="B584" s="14">
        <v>26.49177398</v>
      </c>
      <c r="C584" s="14">
        <v>7.659260924</v>
      </c>
      <c r="D584" s="14">
        <v>45.32428703</v>
      </c>
      <c r="E584" s="14">
        <v>5.863163811</v>
      </c>
      <c r="F584" s="14">
        <v>2.551679365</v>
      </c>
      <c r="G584" s="14">
        <v>0.006226246</v>
      </c>
      <c r="H584" s="14">
        <v>0.017904125</v>
      </c>
      <c r="I584" s="14" t="s">
        <v>164</v>
      </c>
      <c r="J584" s="14">
        <v>1.305317806</v>
      </c>
      <c r="K584" s="14">
        <v>0.934848661</v>
      </c>
      <c r="L584" s="14">
        <v>1.20848511</v>
      </c>
      <c r="M584" s="14">
        <v>0.085909461</v>
      </c>
      <c r="N584" s="14">
        <v>0.020604982</v>
      </c>
      <c r="O584" s="14">
        <v>0.399248791</v>
      </c>
      <c r="P584" s="14" t="s">
        <v>3180</v>
      </c>
      <c r="Q584" s="14" t="s">
        <v>3181</v>
      </c>
      <c r="T584" s="14" t="s">
        <v>3182</v>
      </c>
      <c r="U584" s="14" t="s">
        <v>3183</v>
      </c>
    </row>
    <row r="585" spans="1:21">
      <c r="A585" s="14" t="s">
        <v>3184</v>
      </c>
      <c r="B585" s="14">
        <v>3785.05623</v>
      </c>
      <c r="C585" s="14">
        <v>2111.13101</v>
      </c>
      <c r="D585" s="14">
        <v>5458.981451</v>
      </c>
      <c r="E585" s="14">
        <v>2.586018962</v>
      </c>
      <c r="F585" s="14">
        <v>1.370732854</v>
      </c>
      <c r="G585" s="51" t="s">
        <v>3185</v>
      </c>
      <c r="H585" s="51" t="s">
        <v>2150</v>
      </c>
      <c r="I585" s="14" t="s">
        <v>164</v>
      </c>
      <c r="J585" s="14">
        <v>107.3274205</v>
      </c>
      <c r="K585" s="14">
        <v>97.81662848</v>
      </c>
      <c r="L585" s="14">
        <v>88.94450411</v>
      </c>
      <c r="M585" s="14">
        <v>29.33038396</v>
      </c>
      <c r="N585" s="14">
        <v>37.02195226</v>
      </c>
      <c r="O585" s="14">
        <v>26.75942649</v>
      </c>
      <c r="P585" s="14" t="s">
        <v>3186</v>
      </c>
      <c r="Q585" s="14" t="s">
        <v>3187</v>
      </c>
      <c r="R585" s="14" t="s">
        <v>3188</v>
      </c>
      <c r="S585" s="14" t="s">
        <v>3189</v>
      </c>
      <c r="T585" s="14" t="s">
        <v>3190</v>
      </c>
      <c r="U585" s="14" t="s">
        <v>3191</v>
      </c>
    </row>
    <row r="586" spans="1:15">
      <c r="A586" s="14" t="s">
        <v>3192</v>
      </c>
      <c r="B586" s="14">
        <v>153.1058313</v>
      </c>
      <c r="C586" s="14">
        <v>215.954772</v>
      </c>
      <c r="D586" s="14">
        <v>90.25689051</v>
      </c>
      <c r="E586" s="14">
        <v>0.417963678</v>
      </c>
      <c r="F586" s="14">
        <v>-1.258550521</v>
      </c>
      <c r="G586" s="51" t="s">
        <v>3193</v>
      </c>
      <c r="H586" s="14">
        <v>0.000114727</v>
      </c>
      <c r="I586" s="14" t="s">
        <v>147</v>
      </c>
      <c r="J586" s="14">
        <v>1.493874757</v>
      </c>
      <c r="K586" s="14">
        <v>1.5650022</v>
      </c>
      <c r="L586" s="14">
        <v>1.100798318</v>
      </c>
      <c r="M586" s="14">
        <v>3.143208873</v>
      </c>
      <c r="N586" s="14">
        <v>2.652670456</v>
      </c>
      <c r="O586" s="14">
        <v>2.347918543</v>
      </c>
    </row>
    <row r="587" spans="1:15">
      <c r="A587" s="14" t="s">
        <v>3194</v>
      </c>
      <c r="B587" s="14">
        <v>613.1866102</v>
      </c>
      <c r="C587" s="14">
        <v>950.9951389</v>
      </c>
      <c r="D587" s="14">
        <v>275.3780814</v>
      </c>
      <c r="E587" s="14">
        <v>0.289618286</v>
      </c>
      <c r="F587" s="14">
        <v>-1.787775401</v>
      </c>
      <c r="G587" s="51" t="s">
        <v>3195</v>
      </c>
      <c r="H587" s="51" t="s">
        <v>3196</v>
      </c>
      <c r="I587" s="14" t="s">
        <v>147</v>
      </c>
      <c r="J587" s="14">
        <v>38.00292346</v>
      </c>
      <c r="K587" s="14">
        <v>29.54160146</v>
      </c>
      <c r="L587" s="14">
        <v>29.94840265</v>
      </c>
      <c r="M587" s="14">
        <v>104.748645</v>
      </c>
      <c r="N587" s="14">
        <v>103.0854222</v>
      </c>
      <c r="O587" s="14">
        <v>65.87578445</v>
      </c>
    </row>
    <row r="588" spans="1:21">
      <c r="A588" s="14" t="s">
        <v>3197</v>
      </c>
      <c r="B588" s="14">
        <v>152.9659233</v>
      </c>
      <c r="C588" s="14">
        <v>298.0780916</v>
      </c>
      <c r="D588" s="14">
        <v>7.853754907</v>
      </c>
      <c r="E588" s="14">
        <v>0.026343464</v>
      </c>
      <c r="F588" s="14">
        <v>-5.246411107</v>
      </c>
      <c r="G588" s="51" t="s">
        <v>2999</v>
      </c>
      <c r="H588" s="51" t="s">
        <v>3198</v>
      </c>
      <c r="I588" s="14" t="s">
        <v>147</v>
      </c>
      <c r="J588" s="14">
        <v>0.016755079</v>
      </c>
      <c r="K588" s="14">
        <v>0.236102828</v>
      </c>
      <c r="L588" s="14">
        <v>0.145193568</v>
      </c>
      <c r="M588" s="14">
        <v>5.863242826</v>
      </c>
      <c r="N588" s="14">
        <v>5.473799496</v>
      </c>
      <c r="O588" s="14">
        <v>0.687257767</v>
      </c>
      <c r="P588" s="14" t="s">
        <v>3199</v>
      </c>
      <c r="Q588" s="14" t="s">
        <v>3200</v>
      </c>
      <c r="R588" s="14" t="s">
        <v>3201</v>
      </c>
      <c r="S588" s="14" t="s">
        <v>3202</v>
      </c>
      <c r="T588" s="14" t="s">
        <v>3203</v>
      </c>
      <c r="U588" s="14" t="s">
        <v>3204</v>
      </c>
    </row>
    <row r="589" spans="1:15">
      <c r="A589" s="14" t="s">
        <v>3205</v>
      </c>
      <c r="B589" s="14">
        <v>1504.099419</v>
      </c>
      <c r="C589" s="14">
        <v>931.1417136</v>
      </c>
      <c r="D589" s="14">
        <v>2077.057125</v>
      </c>
      <c r="E589" s="14">
        <v>2.229832555</v>
      </c>
      <c r="F589" s="14">
        <v>1.156935378</v>
      </c>
      <c r="G589" s="51" t="s">
        <v>3206</v>
      </c>
      <c r="H589" s="51" t="s">
        <v>3207</v>
      </c>
      <c r="I589" s="14" t="s">
        <v>164</v>
      </c>
      <c r="J589" s="14">
        <v>18.64236453</v>
      </c>
      <c r="K589" s="14">
        <v>19.79226643</v>
      </c>
      <c r="L589" s="14">
        <v>21.0916865</v>
      </c>
      <c r="M589" s="14">
        <v>6.546828726</v>
      </c>
      <c r="N589" s="14">
        <v>6.366306602</v>
      </c>
      <c r="O589" s="14">
        <v>9.231877046</v>
      </c>
    </row>
    <row r="590" spans="1:21">
      <c r="A590" s="14" t="s">
        <v>3208</v>
      </c>
      <c r="B590" s="14">
        <v>72.94245253</v>
      </c>
      <c r="C590" s="14">
        <v>99.65807599</v>
      </c>
      <c r="D590" s="14">
        <v>46.22682908</v>
      </c>
      <c r="E590" s="14">
        <v>0.462815091</v>
      </c>
      <c r="F590" s="14">
        <v>-1.111492189</v>
      </c>
      <c r="G590" s="14">
        <v>0.000726703</v>
      </c>
      <c r="H590" s="14">
        <v>0.002764791</v>
      </c>
      <c r="I590" s="14" t="s">
        <v>147</v>
      </c>
      <c r="J590" s="14">
        <v>0.95946437</v>
      </c>
      <c r="K590" s="14">
        <v>1.257694294</v>
      </c>
      <c r="L590" s="14">
        <v>0.902335549</v>
      </c>
      <c r="M590" s="14">
        <v>1.565461296</v>
      </c>
      <c r="N590" s="14">
        <v>1.593451962</v>
      </c>
      <c r="O590" s="14">
        <v>2.446858085</v>
      </c>
      <c r="P590" s="14" t="s">
        <v>3209</v>
      </c>
      <c r="Q590" s="14" t="s">
        <v>3210</v>
      </c>
      <c r="R590" s="14" t="s">
        <v>387</v>
      </c>
      <c r="S590" s="14" t="s">
        <v>388</v>
      </c>
      <c r="T590" s="14" t="s">
        <v>3211</v>
      </c>
      <c r="U590" s="14" t="s">
        <v>3212</v>
      </c>
    </row>
    <row r="591" spans="1:21">
      <c r="A591" s="14" t="s">
        <v>3213</v>
      </c>
      <c r="B591" s="14">
        <v>68.93994629</v>
      </c>
      <c r="C591" s="14">
        <v>42.62698625</v>
      </c>
      <c r="D591" s="14">
        <v>95.25290633</v>
      </c>
      <c r="E591" s="14">
        <v>2.241359221</v>
      </c>
      <c r="F591" s="14">
        <v>1.164373887</v>
      </c>
      <c r="G591" s="14">
        <v>0.005212547</v>
      </c>
      <c r="H591" s="14">
        <v>0.015357442</v>
      </c>
      <c r="I591" s="14" t="s">
        <v>164</v>
      </c>
      <c r="J591" s="14">
        <v>1.470254013</v>
      </c>
      <c r="K591" s="14">
        <v>1.144793165</v>
      </c>
      <c r="L591" s="14">
        <v>1.388923187</v>
      </c>
      <c r="M591" s="14">
        <v>0.534031787</v>
      </c>
      <c r="N591" s="14">
        <v>0.614808119</v>
      </c>
      <c r="O591" s="14">
        <v>0.30188181</v>
      </c>
      <c r="P591" s="14" t="s">
        <v>3214</v>
      </c>
      <c r="Q591" s="14" t="s">
        <v>3215</v>
      </c>
      <c r="T591" s="14" t="s">
        <v>3216</v>
      </c>
      <c r="U591" s="14" t="s">
        <v>3217</v>
      </c>
    </row>
    <row r="592" spans="1:21">
      <c r="A592" s="14" t="s">
        <v>3218</v>
      </c>
      <c r="B592" s="14">
        <v>398.1106117</v>
      </c>
      <c r="C592" s="14">
        <v>183.8830783</v>
      </c>
      <c r="D592" s="14">
        <v>612.3381451</v>
      </c>
      <c r="E592" s="14">
        <v>3.326121069</v>
      </c>
      <c r="F592" s="14">
        <v>1.733840683</v>
      </c>
      <c r="G592" s="51" t="s">
        <v>3219</v>
      </c>
      <c r="H592" s="51" t="s">
        <v>3220</v>
      </c>
      <c r="I592" s="14" t="s">
        <v>164</v>
      </c>
      <c r="J592" s="14">
        <v>5.989332834</v>
      </c>
      <c r="K592" s="14">
        <v>4.917704124</v>
      </c>
      <c r="L592" s="14">
        <v>5.604017889</v>
      </c>
      <c r="M592" s="14">
        <v>1.225906495</v>
      </c>
      <c r="N592" s="14">
        <v>1.08845124</v>
      </c>
      <c r="O592" s="14">
        <v>1.810284142</v>
      </c>
      <c r="P592" s="14" t="s">
        <v>986</v>
      </c>
      <c r="Q592" s="14" t="s">
        <v>987</v>
      </c>
      <c r="T592" s="14" t="s">
        <v>988</v>
      </c>
      <c r="U592" s="14" t="s">
        <v>989</v>
      </c>
    </row>
    <row r="593" spans="1:21">
      <c r="A593" s="14" t="s">
        <v>3221</v>
      </c>
      <c r="B593" s="14">
        <v>39.1909794</v>
      </c>
      <c r="C593" s="14">
        <v>16.80805079</v>
      </c>
      <c r="D593" s="14">
        <v>61.57390801</v>
      </c>
      <c r="E593" s="14">
        <v>3.637573236</v>
      </c>
      <c r="F593" s="14">
        <v>1.862976295</v>
      </c>
      <c r="G593" s="14">
        <v>0.002821455</v>
      </c>
      <c r="H593" s="14">
        <v>0.009010142</v>
      </c>
      <c r="I593" s="14" t="s">
        <v>164</v>
      </c>
      <c r="J593" s="14">
        <v>4.358601817</v>
      </c>
      <c r="K593" s="14">
        <v>3.339406102</v>
      </c>
      <c r="L593" s="14">
        <v>4.447225205</v>
      </c>
      <c r="M593" s="14">
        <v>0.333957906</v>
      </c>
      <c r="N593" s="14">
        <v>0.747583582</v>
      </c>
      <c r="O593" s="14">
        <v>1.742607027</v>
      </c>
      <c r="P593" s="14" t="s">
        <v>3222</v>
      </c>
      <c r="Q593" s="14" t="s">
        <v>3223</v>
      </c>
      <c r="T593" s="14" t="s">
        <v>3224</v>
      </c>
      <c r="U593" s="14" t="s">
        <v>3225</v>
      </c>
    </row>
    <row r="594" spans="1:21">
      <c r="A594" s="14" t="s">
        <v>3226</v>
      </c>
      <c r="B594" s="14">
        <v>5241.90062</v>
      </c>
      <c r="C594" s="14">
        <v>7245.71223</v>
      </c>
      <c r="D594" s="14">
        <v>3238.089009</v>
      </c>
      <c r="E594" s="14">
        <v>0.446879022</v>
      </c>
      <c r="F594" s="14">
        <v>-1.162043773</v>
      </c>
      <c r="G594" s="51" t="s">
        <v>2538</v>
      </c>
      <c r="H594" s="51" t="s">
        <v>2539</v>
      </c>
      <c r="I594" s="14" t="s">
        <v>147</v>
      </c>
      <c r="J594" s="14">
        <v>41.05189085</v>
      </c>
      <c r="K594" s="14">
        <v>28.43399286</v>
      </c>
      <c r="L594" s="14">
        <v>24.36747255</v>
      </c>
      <c r="M594" s="14">
        <v>54.57140091</v>
      </c>
      <c r="N594" s="14">
        <v>49.3579098</v>
      </c>
      <c r="O594" s="14">
        <v>70.32533337</v>
      </c>
      <c r="P594" s="14" t="s">
        <v>3227</v>
      </c>
      <c r="Q594" s="14" t="s">
        <v>3228</v>
      </c>
      <c r="R594" s="14" t="s">
        <v>3229</v>
      </c>
      <c r="S594" s="14" t="s">
        <v>3230</v>
      </c>
      <c r="T594" s="14" t="s">
        <v>3231</v>
      </c>
      <c r="U594" s="14" t="s">
        <v>3232</v>
      </c>
    </row>
    <row r="595" spans="1:21">
      <c r="A595" s="14" t="s">
        <v>3233</v>
      </c>
      <c r="B595" s="14">
        <v>33.5553854</v>
      </c>
      <c r="C595" s="14">
        <v>49.76591873</v>
      </c>
      <c r="D595" s="14">
        <v>17.34485208</v>
      </c>
      <c r="E595" s="14">
        <v>0.348308487</v>
      </c>
      <c r="F595" s="14">
        <v>-1.52156247</v>
      </c>
      <c r="G595" s="14">
        <v>0.012457612</v>
      </c>
      <c r="H595" s="14">
        <v>0.032552067</v>
      </c>
      <c r="I595" s="14" t="s">
        <v>147</v>
      </c>
      <c r="J595" s="14">
        <v>0.307794459</v>
      </c>
      <c r="K595" s="14">
        <v>0.126216573</v>
      </c>
      <c r="L595" s="14">
        <v>0.16464429</v>
      </c>
      <c r="M595" s="14">
        <v>0.53644822</v>
      </c>
      <c r="N595" s="14">
        <v>0.252650478</v>
      </c>
      <c r="O595" s="14">
        <v>0.639365099</v>
      </c>
      <c r="P595" s="14" t="s">
        <v>3234</v>
      </c>
      <c r="Q595" s="14" t="s">
        <v>3235</v>
      </c>
      <c r="T595" s="14" t="s">
        <v>399</v>
      </c>
      <c r="U595" s="14" t="s">
        <v>400</v>
      </c>
    </row>
    <row r="596" spans="1:21">
      <c r="A596" s="14" t="s">
        <v>3236</v>
      </c>
      <c r="B596" s="14">
        <v>493.6256679</v>
      </c>
      <c r="C596" s="14">
        <v>309.8597177</v>
      </c>
      <c r="D596" s="14">
        <v>677.3916181</v>
      </c>
      <c r="E596" s="14">
        <v>2.187885562</v>
      </c>
      <c r="F596" s="14">
        <v>1.129537279</v>
      </c>
      <c r="G596" s="51" t="s">
        <v>3153</v>
      </c>
      <c r="H596" s="51" t="s">
        <v>3237</v>
      </c>
      <c r="I596" s="14" t="s">
        <v>164</v>
      </c>
      <c r="J596" s="14">
        <v>6.623602068</v>
      </c>
      <c r="K596" s="14">
        <v>8.019092444</v>
      </c>
      <c r="L596" s="14">
        <v>6.708441178</v>
      </c>
      <c r="M596" s="14">
        <v>3.029591827</v>
      </c>
      <c r="N596" s="14">
        <v>2.863790545</v>
      </c>
      <c r="O596" s="14">
        <v>2.066153356</v>
      </c>
      <c r="P596" s="14" t="s">
        <v>3238</v>
      </c>
      <c r="Q596" s="14" t="s">
        <v>3239</v>
      </c>
      <c r="T596" s="14" t="s">
        <v>3240</v>
      </c>
      <c r="U596" s="14" t="s">
        <v>3241</v>
      </c>
    </row>
    <row r="597" spans="1:15">
      <c r="A597" s="14" t="s">
        <v>3242</v>
      </c>
      <c r="B597" s="14">
        <v>194.8509534</v>
      </c>
      <c r="C597" s="14">
        <v>269.0262466</v>
      </c>
      <c r="D597" s="14">
        <v>120.6756601</v>
      </c>
      <c r="E597" s="14">
        <v>0.448868351</v>
      </c>
      <c r="F597" s="14">
        <v>-1.155635718</v>
      </c>
      <c r="G597" s="14">
        <v>0.001131934</v>
      </c>
      <c r="H597" s="14">
        <v>0.004086572</v>
      </c>
      <c r="I597" s="14" t="s">
        <v>147</v>
      </c>
      <c r="J597" s="14">
        <v>2.658971487</v>
      </c>
      <c r="K597" s="14">
        <v>3.022411926</v>
      </c>
      <c r="L597" s="14">
        <v>2.692612779</v>
      </c>
      <c r="M597" s="14">
        <v>6.373927777</v>
      </c>
      <c r="N597" s="14">
        <v>5.418854691</v>
      </c>
      <c r="O597" s="14">
        <v>3.338735609</v>
      </c>
    </row>
    <row r="598" spans="1:15">
      <c r="A598" s="14" t="s">
        <v>3243</v>
      </c>
      <c r="B598" s="14">
        <v>2054.40553</v>
      </c>
      <c r="C598" s="14">
        <v>3841.643787</v>
      </c>
      <c r="D598" s="14">
        <v>267.1672738</v>
      </c>
      <c r="E598" s="14">
        <v>0.069536344</v>
      </c>
      <c r="F598" s="14">
        <v>-3.846088967</v>
      </c>
      <c r="G598" s="51" t="s">
        <v>3244</v>
      </c>
      <c r="H598" s="51" t="s">
        <v>3245</v>
      </c>
      <c r="I598" s="14" t="s">
        <v>147</v>
      </c>
      <c r="J598" s="14">
        <v>1.957066657</v>
      </c>
      <c r="K598" s="14">
        <v>4.476922833</v>
      </c>
      <c r="L598" s="14">
        <v>2.00528206</v>
      </c>
      <c r="M598" s="14">
        <v>41.67335602</v>
      </c>
      <c r="N598" s="14">
        <v>41.27781779</v>
      </c>
      <c r="O598" s="14">
        <v>14.98087607</v>
      </c>
    </row>
    <row r="599" spans="1:21">
      <c r="A599" s="14" t="s">
        <v>3246</v>
      </c>
      <c r="B599" s="14">
        <v>54.21974913</v>
      </c>
      <c r="C599" s="14">
        <v>107.790532</v>
      </c>
      <c r="D599" s="14">
        <v>0.648966256</v>
      </c>
      <c r="E599" s="14">
        <v>0.006048455</v>
      </c>
      <c r="F599" s="14">
        <v>-7.369217697</v>
      </c>
      <c r="G599" s="51" t="s">
        <v>3247</v>
      </c>
      <c r="H599" s="51" t="s">
        <v>3248</v>
      </c>
      <c r="I599" s="14" t="s">
        <v>147</v>
      </c>
      <c r="J599" s="14">
        <v>0</v>
      </c>
      <c r="K599" s="14">
        <v>0.025358057</v>
      </c>
      <c r="L599" s="14">
        <v>0.024257592</v>
      </c>
      <c r="M599" s="14">
        <v>3.491985305</v>
      </c>
      <c r="N599" s="14">
        <v>2.791787779</v>
      </c>
      <c r="O599" s="14">
        <v>0.23198456</v>
      </c>
      <c r="P599" s="14" t="s">
        <v>3249</v>
      </c>
      <c r="Q599" s="14" t="s">
        <v>3250</v>
      </c>
      <c r="T599" s="14" t="s">
        <v>1190</v>
      </c>
      <c r="U599" s="14" t="s">
        <v>1191</v>
      </c>
    </row>
    <row r="600" spans="1:15">
      <c r="A600" s="14" t="s">
        <v>3251</v>
      </c>
      <c r="B600" s="14">
        <v>405.6024694</v>
      </c>
      <c r="C600" s="14">
        <v>545.2224182</v>
      </c>
      <c r="D600" s="14">
        <v>265.9825206</v>
      </c>
      <c r="E600" s="14">
        <v>0.487576133</v>
      </c>
      <c r="F600" s="14">
        <v>-1.036300587</v>
      </c>
      <c r="G600" s="14">
        <v>0.000618539</v>
      </c>
      <c r="H600" s="14">
        <v>0.002398353</v>
      </c>
      <c r="I600" s="14" t="s">
        <v>147</v>
      </c>
      <c r="J600" s="14">
        <v>4.200445759</v>
      </c>
      <c r="K600" s="14">
        <v>6.114415564</v>
      </c>
      <c r="L600" s="14">
        <v>3.125948152</v>
      </c>
      <c r="M600" s="14">
        <v>6.987302856</v>
      </c>
      <c r="N600" s="14">
        <v>6.758434183</v>
      </c>
      <c r="O600" s="14">
        <v>9.147700359</v>
      </c>
    </row>
    <row r="601" spans="1:15">
      <c r="A601" s="14" t="s">
        <v>3252</v>
      </c>
      <c r="B601" s="14">
        <v>198.5400188</v>
      </c>
      <c r="C601" s="14">
        <v>37.00594198</v>
      </c>
      <c r="D601" s="14">
        <v>360.0740956</v>
      </c>
      <c r="E601" s="14">
        <v>9.742137318</v>
      </c>
      <c r="F601" s="14">
        <v>3.284238318</v>
      </c>
      <c r="G601" s="51" t="s">
        <v>527</v>
      </c>
      <c r="H601" s="51" t="s">
        <v>3253</v>
      </c>
      <c r="I601" s="14" t="s">
        <v>164</v>
      </c>
      <c r="J601" s="14">
        <v>7.459308747</v>
      </c>
      <c r="K601" s="14">
        <v>13.77684684</v>
      </c>
      <c r="L601" s="14">
        <v>4.974074184</v>
      </c>
      <c r="M601" s="14">
        <v>0.598971541</v>
      </c>
      <c r="N601" s="14">
        <v>1.387067099</v>
      </c>
      <c r="O601" s="14">
        <v>0.181869429</v>
      </c>
    </row>
    <row r="602" spans="1:15">
      <c r="A602" s="14" t="s">
        <v>3254</v>
      </c>
      <c r="B602" s="14">
        <v>5.246461198</v>
      </c>
      <c r="C602" s="14">
        <v>0.957165568</v>
      </c>
      <c r="D602" s="14">
        <v>9.535756829</v>
      </c>
      <c r="E602" s="14">
        <v>9.667230107</v>
      </c>
      <c r="F602" s="14">
        <v>3.273102582</v>
      </c>
      <c r="G602" s="14">
        <v>0.01429202</v>
      </c>
      <c r="H602" s="14">
        <v>0.036599159</v>
      </c>
      <c r="I602" s="14" t="s">
        <v>164</v>
      </c>
      <c r="J602" s="14">
        <v>0.209417389</v>
      </c>
      <c r="K602" s="14">
        <v>0.526962142</v>
      </c>
      <c r="L602" s="14">
        <v>0.268849886</v>
      </c>
      <c r="M602" s="14">
        <v>0</v>
      </c>
      <c r="N602" s="14">
        <v>0.028649749</v>
      </c>
      <c r="O602" s="14">
        <v>0.058434398</v>
      </c>
    </row>
    <row r="603" spans="1:21">
      <c r="A603" s="14" t="s">
        <v>3255</v>
      </c>
      <c r="B603" s="14">
        <v>13.88473915</v>
      </c>
      <c r="C603" s="14">
        <v>3.677995618</v>
      </c>
      <c r="D603" s="14">
        <v>24.09148267</v>
      </c>
      <c r="E603" s="14">
        <v>6.543876357</v>
      </c>
      <c r="F603" s="14">
        <v>2.71014549</v>
      </c>
      <c r="G603" s="14">
        <v>0.00053357</v>
      </c>
      <c r="H603" s="14">
        <v>0.002101367</v>
      </c>
      <c r="I603" s="14" t="s">
        <v>164</v>
      </c>
      <c r="J603" s="14">
        <v>0.448898827</v>
      </c>
      <c r="K603" s="14">
        <v>0.172758559</v>
      </c>
      <c r="L603" s="14">
        <v>0.343235104</v>
      </c>
      <c r="M603" s="14">
        <v>0.033889011</v>
      </c>
      <c r="N603" s="14">
        <v>0.043349977</v>
      </c>
      <c r="O603" s="14">
        <v>0.044208587</v>
      </c>
      <c r="P603" s="14" t="s">
        <v>3256</v>
      </c>
      <c r="Q603" s="14" t="s">
        <v>3257</v>
      </c>
      <c r="R603" s="14" t="s">
        <v>3258</v>
      </c>
      <c r="S603" s="14" t="s">
        <v>3259</v>
      </c>
      <c r="T603" s="14" t="s">
        <v>3260</v>
      </c>
      <c r="U603" s="14" t="s">
        <v>3261</v>
      </c>
    </row>
    <row r="604" spans="1:21">
      <c r="A604" s="14" t="s">
        <v>3262</v>
      </c>
      <c r="B604" s="14">
        <v>1729.864606</v>
      </c>
      <c r="C604" s="14">
        <v>839.8962134</v>
      </c>
      <c r="D604" s="14">
        <v>2619.832999</v>
      </c>
      <c r="E604" s="14">
        <v>3.119052875</v>
      </c>
      <c r="F604" s="14">
        <v>1.64110801</v>
      </c>
      <c r="G604" s="51" t="s">
        <v>3263</v>
      </c>
      <c r="H604" s="51" t="s">
        <v>3264</v>
      </c>
      <c r="I604" s="14" t="s">
        <v>164</v>
      </c>
      <c r="J604" s="14">
        <v>40.63670595</v>
      </c>
      <c r="K604" s="14">
        <v>17.48954134</v>
      </c>
      <c r="L604" s="14">
        <v>30.07222236</v>
      </c>
      <c r="M604" s="14">
        <v>6.77321758</v>
      </c>
      <c r="N604" s="14">
        <v>7.491496052</v>
      </c>
      <c r="O604" s="14">
        <v>9.11766241</v>
      </c>
      <c r="P604" s="14" t="s">
        <v>3265</v>
      </c>
      <c r="Q604" s="14" t="s">
        <v>3266</v>
      </c>
      <c r="R604" s="14" t="s">
        <v>1239</v>
      </c>
      <c r="S604" s="14" t="s">
        <v>1240</v>
      </c>
      <c r="T604" s="14" t="s">
        <v>3267</v>
      </c>
      <c r="U604" s="14" t="s">
        <v>3268</v>
      </c>
    </row>
    <row r="605" spans="1:15">
      <c r="A605" s="14" t="s">
        <v>3269</v>
      </c>
      <c r="B605" s="14">
        <v>283.8077326</v>
      </c>
      <c r="C605" s="14">
        <v>112.9147563</v>
      </c>
      <c r="D605" s="14">
        <v>454.7007089</v>
      </c>
      <c r="E605" s="14">
        <v>4.019873725</v>
      </c>
      <c r="F605" s="14">
        <v>2.007150183</v>
      </c>
      <c r="G605" s="51" t="s">
        <v>3270</v>
      </c>
      <c r="H605" s="51" t="s">
        <v>3271</v>
      </c>
      <c r="I605" s="14" t="s">
        <v>164</v>
      </c>
      <c r="J605" s="14">
        <v>13.85645055</v>
      </c>
      <c r="K605" s="14">
        <v>18.03663305</v>
      </c>
      <c r="L605" s="14">
        <v>15.91638495</v>
      </c>
      <c r="M605" s="14">
        <v>1.990774134</v>
      </c>
      <c r="N605" s="14">
        <v>2.023936002</v>
      </c>
      <c r="O605" s="14">
        <v>6.075786106</v>
      </c>
    </row>
    <row r="606" spans="1:21">
      <c r="A606" s="14" t="s">
        <v>3272</v>
      </c>
      <c r="B606" s="14">
        <v>31.85570356</v>
      </c>
      <c r="C606" s="14">
        <v>59.51347408</v>
      </c>
      <c r="D606" s="14">
        <v>4.197933036</v>
      </c>
      <c r="E606" s="14">
        <v>0.070734466</v>
      </c>
      <c r="F606" s="14">
        <v>-3.821442841</v>
      </c>
      <c r="G606" s="14">
        <v>0.000995201</v>
      </c>
      <c r="H606" s="14">
        <v>0.003653651</v>
      </c>
      <c r="I606" s="14" t="s">
        <v>147</v>
      </c>
      <c r="J606" s="14">
        <v>0.128640788</v>
      </c>
      <c r="K606" s="14">
        <v>0</v>
      </c>
      <c r="L606" s="14">
        <v>0.10616718</v>
      </c>
      <c r="M606" s="14">
        <v>0.691833222</v>
      </c>
      <c r="N606" s="14">
        <v>1.719668865</v>
      </c>
      <c r="O606" s="14">
        <v>0.246137465</v>
      </c>
      <c r="P606" s="14" t="s">
        <v>3273</v>
      </c>
      <c r="Q606" s="14" t="s">
        <v>3274</v>
      </c>
      <c r="R606" s="14" t="s">
        <v>3188</v>
      </c>
      <c r="S606" s="14" t="s">
        <v>3189</v>
      </c>
      <c r="T606" s="14" t="s">
        <v>3275</v>
      </c>
      <c r="U606" s="14" t="s">
        <v>3276</v>
      </c>
    </row>
    <row r="607" spans="1:21">
      <c r="A607" s="14" t="s">
        <v>3277</v>
      </c>
      <c r="B607" s="14">
        <v>1499.955709</v>
      </c>
      <c r="C607" s="14">
        <v>937.1635215</v>
      </c>
      <c r="D607" s="14">
        <v>2062.747897</v>
      </c>
      <c r="E607" s="14">
        <v>2.201748347</v>
      </c>
      <c r="F607" s="14">
        <v>1.138649583</v>
      </c>
      <c r="G607" s="51" t="s">
        <v>3278</v>
      </c>
      <c r="H607" s="51" t="s">
        <v>3279</v>
      </c>
      <c r="I607" s="14" t="s">
        <v>164</v>
      </c>
      <c r="J607" s="14">
        <v>15.97296789</v>
      </c>
      <c r="K607" s="14">
        <v>13.57990686</v>
      </c>
      <c r="L607" s="14">
        <v>20.06594119</v>
      </c>
      <c r="M607" s="14">
        <v>6.728067289</v>
      </c>
      <c r="N607" s="14">
        <v>6.695534763</v>
      </c>
      <c r="O607" s="14">
        <v>4.923699766</v>
      </c>
      <c r="P607" s="14" t="s">
        <v>3280</v>
      </c>
      <c r="Q607" s="14" t="s">
        <v>3281</v>
      </c>
      <c r="R607" s="14" t="s">
        <v>3282</v>
      </c>
      <c r="S607" s="14" t="s">
        <v>3283</v>
      </c>
      <c r="T607" s="14" t="s">
        <v>3284</v>
      </c>
      <c r="U607" s="14" t="s">
        <v>3285</v>
      </c>
    </row>
    <row r="608" spans="1:21">
      <c r="A608" s="14" t="s">
        <v>3286</v>
      </c>
      <c r="B608" s="14">
        <v>3026.620091</v>
      </c>
      <c r="C608" s="14">
        <v>4844.93832</v>
      </c>
      <c r="D608" s="14">
        <v>1208.301861</v>
      </c>
      <c r="E608" s="14">
        <v>0.249391328</v>
      </c>
      <c r="F608" s="14">
        <v>-2.003516793</v>
      </c>
      <c r="G608" s="51" t="s">
        <v>3287</v>
      </c>
      <c r="H608" s="51" t="s">
        <v>3288</v>
      </c>
      <c r="I608" s="14" t="s">
        <v>147</v>
      </c>
      <c r="J608" s="14">
        <v>5.878494174</v>
      </c>
      <c r="K608" s="14">
        <v>6.787156488</v>
      </c>
      <c r="L608" s="14">
        <v>5.502215155</v>
      </c>
      <c r="M608" s="14">
        <v>21.85732639</v>
      </c>
      <c r="N608" s="14">
        <v>19.88452834</v>
      </c>
      <c r="O608" s="14">
        <v>17.92399983</v>
      </c>
      <c r="P608" s="14" t="s">
        <v>3289</v>
      </c>
      <c r="Q608" s="14" t="s">
        <v>3290</v>
      </c>
      <c r="T608" s="14" t="s">
        <v>3291</v>
      </c>
      <c r="U608" s="14" t="s">
        <v>3292</v>
      </c>
    </row>
    <row r="609" spans="1:21">
      <c r="A609" s="14" t="s">
        <v>3293</v>
      </c>
      <c r="B609" s="14">
        <v>34.1163027</v>
      </c>
      <c r="C609" s="14">
        <v>63.95014711</v>
      </c>
      <c r="D609" s="14">
        <v>4.2824583</v>
      </c>
      <c r="E609" s="14">
        <v>0.066848885</v>
      </c>
      <c r="F609" s="14">
        <v>-3.902952684</v>
      </c>
      <c r="G609" s="51" t="s">
        <v>299</v>
      </c>
      <c r="H609" s="51" t="s">
        <v>3294</v>
      </c>
      <c r="I609" s="14" t="s">
        <v>147</v>
      </c>
      <c r="J609" s="14">
        <v>0.047596223</v>
      </c>
      <c r="K609" s="14">
        <v>0.071860531</v>
      </c>
      <c r="L609" s="14">
        <v>0.034370998</v>
      </c>
      <c r="M609" s="14">
        <v>0.926449992</v>
      </c>
      <c r="N609" s="14">
        <v>0.74231019</v>
      </c>
      <c r="O609" s="14">
        <v>0.169331796</v>
      </c>
      <c r="P609" s="14" t="s">
        <v>3289</v>
      </c>
      <c r="Q609" s="14" t="s">
        <v>3290</v>
      </c>
      <c r="T609" s="14" t="s">
        <v>3291</v>
      </c>
      <c r="U609" s="14" t="s">
        <v>3292</v>
      </c>
    </row>
    <row r="610" spans="1:21">
      <c r="A610" s="14" t="s">
        <v>3295</v>
      </c>
      <c r="B610" s="14">
        <v>3186.857697</v>
      </c>
      <c r="C610" s="14">
        <v>2042.435953</v>
      </c>
      <c r="D610" s="14">
        <v>4331.279441</v>
      </c>
      <c r="E610" s="14">
        <v>2.120450263</v>
      </c>
      <c r="F610" s="14">
        <v>1.084370644</v>
      </c>
      <c r="G610" s="51" t="s">
        <v>1378</v>
      </c>
      <c r="H610" s="14">
        <v>0.000196052</v>
      </c>
      <c r="I610" s="14" t="s">
        <v>164</v>
      </c>
      <c r="J610" s="14">
        <v>68.90818431</v>
      </c>
      <c r="K610" s="14">
        <v>54.31372469</v>
      </c>
      <c r="L610" s="14">
        <v>86.04269605</v>
      </c>
      <c r="M610" s="14">
        <v>22.51252253</v>
      </c>
      <c r="N610" s="14">
        <v>21.54582871</v>
      </c>
      <c r="O610" s="14">
        <v>38.16219305</v>
      </c>
      <c r="P610" s="14" t="s">
        <v>3296</v>
      </c>
      <c r="Q610" s="14" t="s">
        <v>3297</v>
      </c>
      <c r="T610" s="14" t="s">
        <v>3298</v>
      </c>
      <c r="U610" s="14" t="s">
        <v>3299</v>
      </c>
    </row>
    <row r="611" spans="1:21">
      <c r="A611" s="14" t="s">
        <v>3300</v>
      </c>
      <c r="B611" s="14">
        <v>33155.74464</v>
      </c>
      <c r="C611" s="14">
        <v>47511.517</v>
      </c>
      <c r="D611" s="14">
        <v>18799.97228</v>
      </c>
      <c r="E611" s="14">
        <v>0.395694893</v>
      </c>
      <c r="F611" s="14">
        <v>-1.337539649</v>
      </c>
      <c r="G611" s="14">
        <v>0.005019513</v>
      </c>
      <c r="H611" s="14">
        <v>0.014876091</v>
      </c>
      <c r="I611" s="14" t="s">
        <v>147</v>
      </c>
      <c r="J611" s="14">
        <v>273.0165351</v>
      </c>
      <c r="K611" s="14">
        <v>398.99784</v>
      </c>
      <c r="L611" s="14">
        <v>383.073753</v>
      </c>
      <c r="M611" s="14">
        <v>881.0796256</v>
      </c>
      <c r="N611" s="14">
        <v>974.1757943</v>
      </c>
      <c r="O611" s="14">
        <v>284.7703521</v>
      </c>
      <c r="P611" s="14" t="s">
        <v>3301</v>
      </c>
      <c r="Q611" s="14" t="s">
        <v>3302</v>
      </c>
      <c r="R611" s="14" t="s">
        <v>3303</v>
      </c>
      <c r="S611" s="14" t="s">
        <v>3304</v>
      </c>
      <c r="T611" s="14" t="s">
        <v>3305</v>
      </c>
      <c r="U611" s="14" t="s">
        <v>3306</v>
      </c>
    </row>
    <row r="612" spans="1:21">
      <c r="A612" s="14" t="s">
        <v>3307</v>
      </c>
      <c r="B612" s="14">
        <v>12224.166</v>
      </c>
      <c r="C612" s="14">
        <v>6284.897349</v>
      </c>
      <c r="D612" s="14">
        <v>18163.43464</v>
      </c>
      <c r="E612" s="14">
        <v>2.890118065</v>
      </c>
      <c r="F612" s="14">
        <v>1.53112843</v>
      </c>
      <c r="G612" s="51" t="s">
        <v>3308</v>
      </c>
      <c r="H612" s="51" t="s">
        <v>3309</v>
      </c>
      <c r="I612" s="14" t="s">
        <v>164</v>
      </c>
      <c r="J612" s="14">
        <v>501.2774759</v>
      </c>
      <c r="K612" s="14">
        <v>760.6249731</v>
      </c>
      <c r="L612" s="14">
        <v>687.5910623</v>
      </c>
      <c r="M612" s="14">
        <v>200.3307569</v>
      </c>
      <c r="N612" s="14">
        <v>209.8508358</v>
      </c>
      <c r="O612" s="14">
        <v>139.012743</v>
      </c>
      <c r="P612" s="14" t="s">
        <v>3310</v>
      </c>
      <c r="Q612" s="14" t="s">
        <v>3311</v>
      </c>
      <c r="R612" s="14" t="s">
        <v>3312</v>
      </c>
      <c r="S612" s="14" t="s">
        <v>3313</v>
      </c>
      <c r="T612" s="14" t="s">
        <v>3314</v>
      </c>
      <c r="U612" s="14" t="s">
        <v>3315</v>
      </c>
    </row>
    <row r="613" spans="1:15">
      <c r="A613" s="14" t="s">
        <v>3316</v>
      </c>
      <c r="B613" s="14">
        <v>9.615878758</v>
      </c>
      <c r="C613" s="14">
        <v>17.62113374</v>
      </c>
      <c r="D613" s="14">
        <v>1.610623773</v>
      </c>
      <c r="E613" s="14">
        <v>0.092233305</v>
      </c>
      <c r="F613" s="14">
        <v>-3.438568398</v>
      </c>
      <c r="G613" s="14">
        <v>0.000860447</v>
      </c>
      <c r="H613" s="14">
        <v>0.0032092</v>
      </c>
      <c r="I613" s="14" t="s">
        <v>147</v>
      </c>
      <c r="J613" s="14">
        <v>0</v>
      </c>
      <c r="K613" s="14">
        <v>0.413242411</v>
      </c>
      <c r="L613" s="14">
        <v>0.592963361</v>
      </c>
      <c r="M613" s="14">
        <v>3.161468178</v>
      </c>
      <c r="N613" s="14">
        <v>3.370059321</v>
      </c>
      <c r="O613" s="14">
        <v>2.405765812</v>
      </c>
    </row>
    <row r="614" spans="1:21">
      <c r="A614" s="14" t="s">
        <v>3317</v>
      </c>
      <c r="B614" s="14">
        <v>4372.662096</v>
      </c>
      <c r="C614" s="14">
        <v>7922.770333</v>
      </c>
      <c r="D614" s="14">
        <v>822.5538585</v>
      </c>
      <c r="E614" s="14">
        <v>0.103820502</v>
      </c>
      <c r="F614" s="14">
        <v>-3.267836729</v>
      </c>
      <c r="G614" s="51" t="s">
        <v>3318</v>
      </c>
      <c r="H614" s="51" t="s">
        <v>3319</v>
      </c>
      <c r="I614" s="14" t="s">
        <v>147</v>
      </c>
      <c r="J614" s="14">
        <v>8.787801104</v>
      </c>
      <c r="K614" s="14">
        <v>18.72527133</v>
      </c>
      <c r="L614" s="14">
        <v>12.45223058</v>
      </c>
      <c r="M614" s="14">
        <v>121.4828511</v>
      </c>
      <c r="N614" s="14">
        <v>135.6038609</v>
      </c>
      <c r="O614" s="14">
        <v>53.88765992</v>
      </c>
      <c r="P614" s="14" t="s">
        <v>3320</v>
      </c>
      <c r="Q614" s="14" t="s">
        <v>3321</v>
      </c>
      <c r="T614" s="14" t="s">
        <v>3322</v>
      </c>
      <c r="U614" s="14" t="s">
        <v>3323</v>
      </c>
    </row>
    <row r="615" spans="1:21">
      <c r="A615" s="14" t="s">
        <v>3324</v>
      </c>
      <c r="B615" s="14">
        <v>24.77504551</v>
      </c>
      <c r="C615" s="14">
        <v>49.23739976</v>
      </c>
      <c r="D615" s="14">
        <v>0.312691262</v>
      </c>
      <c r="E615" s="14">
        <v>0.007138204</v>
      </c>
      <c r="F615" s="14">
        <v>-7.130223244</v>
      </c>
      <c r="G615" s="51" t="s">
        <v>3325</v>
      </c>
      <c r="H615" s="51" t="s">
        <v>3326</v>
      </c>
      <c r="I615" s="14" t="s">
        <v>147</v>
      </c>
      <c r="J615" s="14">
        <v>0</v>
      </c>
      <c r="K615" s="14">
        <v>0</v>
      </c>
      <c r="L615" s="14">
        <v>0.017028303</v>
      </c>
      <c r="M615" s="14">
        <v>1.089465741</v>
      </c>
      <c r="N615" s="14">
        <v>0.90004456</v>
      </c>
      <c r="O615" s="14">
        <v>0.103630627</v>
      </c>
      <c r="P615" s="14" t="s">
        <v>3320</v>
      </c>
      <c r="Q615" s="14" t="s">
        <v>3321</v>
      </c>
      <c r="T615" s="14" t="s">
        <v>3322</v>
      </c>
      <c r="U615" s="14" t="s">
        <v>3323</v>
      </c>
    </row>
    <row r="616" spans="1:21">
      <c r="A616" s="14" t="s">
        <v>3327</v>
      </c>
      <c r="B616" s="14">
        <v>235.8821714</v>
      </c>
      <c r="C616" s="14">
        <v>76.72615832</v>
      </c>
      <c r="D616" s="14">
        <v>395.0381844</v>
      </c>
      <c r="E616" s="14">
        <v>5.13512625</v>
      </c>
      <c r="F616" s="14">
        <v>2.360399746</v>
      </c>
      <c r="G616" s="51" t="s">
        <v>3328</v>
      </c>
      <c r="H616" s="51" t="s">
        <v>3329</v>
      </c>
      <c r="I616" s="14" t="s">
        <v>164</v>
      </c>
      <c r="J616" s="14">
        <v>2.951408168</v>
      </c>
      <c r="K616" s="14">
        <v>2.022861653</v>
      </c>
      <c r="L616" s="14">
        <v>2.592270838</v>
      </c>
      <c r="M616" s="14">
        <v>0.243328509</v>
      </c>
      <c r="N616" s="14">
        <v>0.404637681</v>
      </c>
      <c r="O616" s="14">
        <v>0.581945305</v>
      </c>
      <c r="P616" s="14" t="s">
        <v>3330</v>
      </c>
      <c r="Q616" s="14" t="s">
        <v>3331</v>
      </c>
      <c r="R616" s="14" t="s">
        <v>341</v>
      </c>
      <c r="S616" s="14" t="s">
        <v>342</v>
      </c>
      <c r="T616" s="14" t="s">
        <v>3332</v>
      </c>
      <c r="U616" s="14" t="s">
        <v>3333</v>
      </c>
    </row>
    <row r="617" spans="1:21">
      <c r="A617" s="14" t="s">
        <v>9</v>
      </c>
      <c r="B617" s="14">
        <v>360.4228073</v>
      </c>
      <c r="C617" s="14">
        <v>148.5270639</v>
      </c>
      <c r="D617" s="14">
        <v>572.3185507</v>
      </c>
      <c r="E617" s="14">
        <v>3.851002852</v>
      </c>
      <c r="F617" s="14">
        <v>1.945234192</v>
      </c>
      <c r="G617" s="51" t="s">
        <v>3334</v>
      </c>
      <c r="H617" s="51" t="s">
        <v>3335</v>
      </c>
      <c r="I617" s="14" t="s">
        <v>164</v>
      </c>
      <c r="J617" s="14">
        <v>47.58252831</v>
      </c>
      <c r="K617" s="14">
        <v>59.47182055</v>
      </c>
      <c r="L617" s="14">
        <v>43.80097278</v>
      </c>
      <c r="M617" s="14">
        <v>7.232604086</v>
      </c>
      <c r="N617" s="14">
        <v>14.0207185</v>
      </c>
      <c r="O617" s="14">
        <v>11.08857018</v>
      </c>
      <c r="P617" s="14" t="s">
        <v>10</v>
      </c>
      <c r="Q617" s="14" t="s">
        <v>3336</v>
      </c>
      <c r="R617" s="14" t="s">
        <v>341</v>
      </c>
      <c r="S617" s="14" t="s">
        <v>342</v>
      </c>
      <c r="T617" s="14" t="s">
        <v>3337</v>
      </c>
      <c r="U617" s="14" t="s">
        <v>3338</v>
      </c>
    </row>
    <row r="618" spans="1:21">
      <c r="A618" s="14" t="s">
        <v>3339</v>
      </c>
      <c r="B618" s="14">
        <v>7125.499233</v>
      </c>
      <c r="C618" s="14">
        <v>10144.83794</v>
      </c>
      <c r="D618" s="14">
        <v>4106.160524</v>
      </c>
      <c r="E618" s="14">
        <v>0.40473514</v>
      </c>
      <c r="F618" s="14">
        <v>-1.304949984</v>
      </c>
      <c r="G618" s="51" t="s">
        <v>3340</v>
      </c>
      <c r="H618" s="51" t="s">
        <v>3341</v>
      </c>
      <c r="I618" s="14" t="s">
        <v>147</v>
      </c>
      <c r="J618" s="14">
        <v>46.32455417</v>
      </c>
      <c r="K618" s="14">
        <v>39.38488865</v>
      </c>
      <c r="L618" s="14">
        <v>38.34830924</v>
      </c>
      <c r="M618" s="14">
        <v>68.36660703</v>
      </c>
      <c r="N618" s="14">
        <v>71.28276178</v>
      </c>
      <c r="O618" s="14">
        <v>116.1426483</v>
      </c>
      <c r="P618" s="14" t="s">
        <v>3342</v>
      </c>
      <c r="Q618" s="14" t="s">
        <v>3343</v>
      </c>
      <c r="R618" s="14" t="s">
        <v>3344</v>
      </c>
      <c r="S618" s="14" t="s">
        <v>3345</v>
      </c>
      <c r="T618" s="14" t="s">
        <v>3346</v>
      </c>
      <c r="U618" s="14" t="s">
        <v>3347</v>
      </c>
    </row>
    <row r="619" spans="1:21">
      <c r="A619" s="14" t="s">
        <v>3348</v>
      </c>
      <c r="B619" s="14">
        <v>637.2026837</v>
      </c>
      <c r="C619" s="14">
        <v>923.6106589</v>
      </c>
      <c r="D619" s="14">
        <v>350.7947086</v>
      </c>
      <c r="E619" s="14">
        <v>0.379933691</v>
      </c>
      <c r="F619" s="14">
        <v>-1.396180446</v>
      </c>
      <c r="G619" s="51" t="s">
        <v>3349</v>
      </c>
      <c r="H619" s="51" t="s">
        <v>3350</v>
      </c>
      <c r="I619" s="14" t="s">
        <v>147</v>
      </c>
      <c r="J619" s="14">
        <v>5.301302971</v>
      </c>
      <c r="K619" s="14">
        <v>6.327853594</v>
      </c>
      <c r="L619" s="14">
        <v>6.429526079</v>
      </c>
      <c r="M619" s="14">
        <v>13.86897904</v>
      </c>
      <c r="N619" s="14">
        <v>14.58878224</v>
      </c>
      <c r="O619" s="14">
        <v>10.29778184</v>
      </c>
      <c r="P619" s="14" t="s">
        <v>3351</v>
      </c>
      <c r="Q619" s="14" t="s">
        <v>3352</v>
      </c>
      <c r="T619" s="14" t="s">
        <v>3353</v>
      </c>
      <c r="U619" s="14" t="s">
        <v>3354</v>
      </c>
    </row>
    <row r="620" spans="1:21">
      <c r="A620" s="14" t="s">
        <v>3355</v>
      </c>
      <c r="B620" s="14">
        <v>3008.816205</v>
      </c>
      <c r="C620" s="14">
        <v>4191.368093</v>
      </c>
      <c r="D620" s="14">
        <v>1826.264317</v>
      </c>
      <c r="E620" s="14">
        <v>0.435688979</v>
      </c>
      <c r="F620" s="14">
        <v>-1.198629477</v>
      </c>
      <c r="G620" s="51" t="s">
        <v>3356</v>
      </c>
      <c r="H620" s="51" t="s">
        <v>3357</v>
      </c>
      <c r="I620" s="14" t="s">
        <v>147</v>
      </c>
      <c r="J620" s="14">
        <v>66.35700209</v>
      </c>
      <c r="K620" s="14">
        <v>49.96100748</v>
      </c>
      <c r="L620" s="14">
        <v>53.98931399</v>
      </c>
      <c r="M620" s="14">
        <v>93.68484033</v>
      </c>
      <c r="N620" s="14">
        <v>84.62218956</v>
      </c>
      <c r="O620" s="14">
        <v>147.5679565</v>
      </c>
      <c r="P620" s="14" t="s">
        <v>3358</v>
      </c>
      <c r="Q620" s="14" t="s">
        <v>3359</v>
      </c>
      <c r="T620" s="14" t="s">
        <v>3360</v>
      </c>
      <c r="U620" s="14" t="s">
        <v>3361</v>
      </c>
    </row>
    <row r="621" spans="1:15">
      <c r="A621" s="14" t="s">
        <v>3362</v>
      </c>
      <c r="B621" s="14">
        <v>10.316206</v>
      </c>
      <c r="C621" s="14">
        <v>2.668022652</v>
      </c>
      <c r="D621" s="14">
        <v>17.96438934</v>
      </c>
      <c r="E621" s="14">
        <v>6.710546353</v>
      </c>
      <c r="F621" s="14">
        <v>2.746430231</v>
      </c>
      <c r="G621" s="14">
        <v>0.000444418</v>
      </c>
      <c r="H621" s="14">
        <v>0.001792261</v>
      </c>
      <c r="I621" s="14" t="s">
        <v>164</v>
      </c>
      <c r="J621" s="14">
        <v>1.756451479</v>
      </c>
      <c r="K621" s="14">
        <v>1.767920878</v>
      </c>
      <c r="L621" s="14">
        <v>1.78515378</v>
      </c>
      <c r="M621" s="14">
        <v>0.166978953</v>
      </c>
      <c r="N621" s="14">
        <v>0.240294723</v>
      </c>
      <c r="O621" s="14">
        <v>0.245054113</v>
      </c>
    </row>
    <row r="622" spans="1:15">
      <c r="A622" s="14" t="s">
        <v>3363</v>
      </c>
      <c r="B622" s="14">
        <v>40.46643356</v>
      </c>
      <c r="C622" s="14">
        <v>19.96842923</v>
      </c>
      <c r="D622" s="14">
        <v>60.96443789</v>
      </c>
      <c r="E622" s="14">
        <v>3.042983388</v>
      </c>
      <c r="F622" s="14">
        <v>1.605486458</v>
      </c>
      <c r="G622" s="14">
        <v>0.012219113</v>
      </c>
      <c r="H622" s="14">
        <v>0.032008686</v>
      </c>
      <c r="I622" s="14" t="s">
        <v>164</v>
      </c>
      <c r="J622" s="14">
        <v>1.084350518</v>
      </c>
      <c r="K622" s="14">
        <v>0.561307467</v>
      </c>
      <c r="L622" s="14">
        <v>1.223049078</v>
      </c>
      <c r="M622" s="14">
        <v>0.21206047</v>
      </c>
      <c r="N622" s="14">
        <v>0.114438851</v>
      </c>
      <c r="O622" s="14">
        <v>0.466821921</v>
      </c>
    </row>
    <row r="623" spans="1:15">
      <c r="A623" s="14" t="s">
        <v>3364</v>
      </c>
      <c r="B623" s="14">
        <v>181.1740975</v>
      </c>
      <c r="C623" s="14">
        <v>260.4867657</v>
      </c>
      <c r="D623" s="14">
        <v>101.8614292</v>
      </c>
      <c r="E623" s="14">
        <v>0.391052461</v>
      </c>
      <c r="F623" s="14">
        <v>-1.354565932</v>
      </c>
      <c r="G623" s="14">
        <v>0.000323657</v>
      </c>
      <c r="H623" s="14">
        <v>0.001352407</v>
      </c>
      <c r="I623" s="14" t="s">
        <v>147</v>
      </c>
      <c r="J623" s="14">
        <v>4.029472268</v>
      </c>
      <c r="K623" s="14">
        <v>5.380121893</v>
      </c>
      <c r="L623" s="14">
        <v>3.246342435</v>
      </c>
      <c r="M623" s="14">
        <v>9.955810396</v>
      </c>
      <c r="N623" s="14">
        <v>10.2601806</v>
      </c>
      <c r="O623" s="14">
        <v>6.126595215</v>
      </c>
    </row>
    <row r="624" spans="1:21">
      <c r="A624" s="14" t="s">
        <v>3365</v>
      </c>
      <c r="B624" s="14">
        <v>45957.98613</v>
      </c>
      <c r="C624" s="14">
        <v>72988.63495</v>
      </c>
      <c r="D624" s="14">
        <v>18927.3373</v>
      </c>
      <c r="E624" s="14">
        <v>0.259319072</v>
      </c>
      <c r="F624" s="14">
        <v>-1.947199781</v>
      </c>
      <c r="G624" s="51" t="s">
        <v>3366</v>
      </c>
      <c r="H624" s="51" t="s">
        <v>3367</v>
      </c>
      <c r="I624" s="14" t="s">
        <v>147</v>
      </c>
      <c r="J624" s="14">
        <v>97.67184433</v>
      </c>
      <c r="K624" s="14">
        <v>128.6060537</v>
      </c>
      <c r="L624" s="14">
        <v>100.7567301</v>
      </c>
      <c r="M624" s="14">
        <v>377.3583269</v>
      </c>
      <c r="N624" s="14">
        <v>363.9992184</v>
      </c>
      <c r="O624" s="14">
        <v>289.4142433</v>
      </c>
      <c r="P624" s="14" t="s">
        <v>3368</v>
      </c>
      <c r="Q624" s="14" t="s">
        <v>3369</v>
      </c>
      <c r="R624" s="14" t="s">
        <v>2754</v>
      </c>
      <c r="S624" s="14" t="s">
        <v>2755</v>
      </c>
      <c r="T624" s="14" t="s">
        <v>3370</v>
      </c>
      <c r="U624" s="14" t="s">
        <v>3371</v>
      </c>
    </row>
    <row r="625" spans="1:21">
      <c r="A625" s="14" t="s">
        <v>3372</v>
      </c>
      <c r="B625" s="14">
        <v>1152.075171</v>
      </c>
      <c r="C625" s="14">
        <v>433.3172666</v>
      </c>
      <c r="D625" s="14">
        <v>1870.833076</v>
      </c>
      <c r="E625" s="14">
        <v>4.317432349</v>
      </c>
      <c r="F625" s="14">
        <v>2.110173572</v>
      </c>
      <c r="G625" s="51" t="s">
        <v>3373</v>
      </c>
      <c r="H625" s="51" t="s">
        <v>3374</v>
      </c>
      <c r="I625" s="14" t="s">
        <v>164</v>
      </c>
      <c r="J625" s="14">
        <v>38.83897781</v>
      </c>
      <c r="K625" s="14">
        <v>21.65298714</v>
      </c>
      <c r="L625" s="14">
        <v>28.71377092</v>
      </c>
      <c r="M625" s="14">
        <v>5.587773823</v>
      </c>
      <c r="N625" s="14">
        <v>5.076618322</v>
      </c>
      <c r="O625" s="14">
        <v>6.389126167</v>
      </c>
      <c r="P625" s="14" t="s">
        <v>3375</v>
      </c>
      <c r="Q625" s="14" t="s">
        <v>3376</v>
      </c>
      <c r="T625" s="14" t="s">
        <v>3377</v>
      </c>
      <c r="U625" s="14" t="s">
        <v>3378</v>
      </c>
    </row>
    <row r="626" spans="1:21">
      <c r="A626" s="14" t="s">
        <v>3379</v>
      </c>
      <c r="B626" s="14">
        <v>16550.11884</v>
      </c>
      <c r="C626" s="14">
        <v>9714.783153</v>
      </c>
      <c r="D626" s="14">
        <v>23385.45453</v>
      </c>
      <c r="E626" s="14">
        <v>2.407130338</v>
      </c>
      <c r="F626" s="14">
        <v>1.267314261</v>
      </c>
      <c r="G626" s="51" t="s">
        <v>3380</v>
      </c>
      <c r="H626" s="51" t="s">
        <v>3381</v>
      </c>
      <c r="I626" s="14" t="s">
        <v>164</v>
      </c>
      <c r="J626" s="14">
        <v>256.3558401</v>
      </c>
      <c r="K626" s="14">
        <v>180.3049653</v>
      </c>
      <c r="L626" s="14">
        <v>215.4518881</v>
      </c>
      <c r="M626" s="14">
        <v>54.97395221</v>
      </c>
      <c r="N626" s="14">
        <v>61.28560884</v>
      </c>
      <c r="O626" s="14">
        <v>110.637605</v>
      </c>
      <c r="P626" s="14" t="s">
        <v>3382</v>
      </c>
      <c r="Q626" s="14" t="s">
        <v>3383</v>
      </c>
      <c r="R626" s="14" t="s">
        <v>3384</v>
      </c>
      <c r="S626" s="14" t="s">
        <v>3385</v>
      </c>
      <c r="T626" s="14" t="s">
        <v>3386</v>
      </c>
      <c r="U626" s="14" t="s">
        <v>3387</v>
      </c>
    </row>
    <row r="627" spans="1:21">
      <c r="A627" s="14" t="s">
        <v>3388</v>
      </c>
      <c r="B627" s="14">
        <v>1379.509277</v>
      </c>
      <c r="C627" s="14">
        <v>918.275735</v>
      </c>
      <c r="D627" s="14">
        <v>1840.74282</v>
      </c>
      <c r="E627" s="14">
        <v>2.005200541</v>
      </c>
      <c r="F627" s="14">
        <v>1.003746529</v>
      </c>
      <c r="G627" s="51" t="s">
        <v>3389</v>
      </c>
      <c r="H627" s="51" t="s">
        <v>3390</v>
      </c>
      <c r="I627" s="14" t="s">
        <v>164</v>
      </c>
      <c r="J627" s="14">
        <v>16.98962196</v>
      </c>
      <c r="K627" s="14">
        <v>12.75643581</v>
      </c>
      <c r="L627" s="14">
        <v>13.92240429</v>
      </c>
      <c r="M627" s="14">
        <v>6.681706698</v>
      </c>
      <c r="N627" s="14">
        <v>5.754485833</v>
      </c>
      <c r="O627" s="14">
        <v>5.389805219</v>
      </c>
      <c r="P627" s="14" t="s">
        <v>3391</v>
      </c>
      <c r="Q627" s="14" t="s">
        <v>3392</v>
      </c>
      <c r="T627" s="14" t="s">
        <v>3393</v>
      </c>
      <c r="U627" s="14" t="s">
        <v>3394</v>
      </c>
    </row>
    <row r="628" spans="1:15">
      <c r="A628" s="14" t="s">
        <v>3395</v>
      </c>
      <c r="B628" s="14">
        <v>1496.533934</v>
      </c>
      <c r="C628" s="14">
        <v>884.3213808</v>
      </c>
      <c r="D628" s="14">
        <v>2108.746487</v>
      </c>
      <c r="E628" s="14">
        <v>2.384458919</v>
      </c>
      <c r="F628" s="14">
        <v>1.253661927</v>
      </c>
      <c r="G628" s="51" t="s">
        <v>3396</v>
      </c>
      <c r="H628" s="51" t="s">
        <v>3397</v>
      </c>
      <c r="I628" s="14" t="s">
        <v>164</v>
      </c>
      <c r="J628" s="14">
        <v>59.03073244</v>
      </c>
      <c r="K628" s="14">
        <v>83.37921571</v>
      </c>
      <c r="L628" s="14">
        <v>97.76664191</v>
      </c>
      <c r="M628" s="14">
        <v>25.57447835</v>
      </c>
      <c r="N628" s="14">
        <v>24.87473664</v>
      </c>
      <c r="O628" s="14">
        <v>32.81732806</v>
      </c>
    </row>
    <row r="629" spans="1:21">
      <c r="A629" s="14" t="s">
        <v>3398</v>
      </c>
      <c r="B629" s="14">
        <v>10.46168903</v>
      </c>
      <c r="C629" s="14">
        <v>20.6106868</v>
      </c>
      <c r="D629" s="14">
        <v>0.312691262</v>
      </c>
      <c r="E629" s="14">
        <v>0.01701342</v>
      </c>
      <c r="F629" s="14">
        <v>-5.877182991</v>
      </c>
      <c r="G629" s="14">
        <v>0.000993437</v>
      </c>
      <c r="H629" s="14">
        <v>0.003648677</v>
      </c>
      <c r="I629" s="14" t="s">
        <v>147</v>
      </c>
      <c r="J629" s="14">
        <v>0</v>
      </c>
      <c r="K629" s="14">
        <v>0</v>
      </c>
      <c r="L629" s="14">
        <v>0.0336911</v>
      </c>
      <c r="M629" s="14">
        <v>0.419134039</v>
      </c>
      <c r="N629" s="14">
        <v>0.086166289</v>
      </c>
      <c r="O629" s="14">
        <v>1.376676053</v>
      </c>
      <c r="P629" s="14" t="s">
        <v>3399</v>
      </c>
      <c r="Q629" s="14" t="s">
        <v>3400</v>
      </c>
      <c r="T629" s="14" t="s">
        <v>3401</v>
      </c>
      <c r="U629" s="14" t="s">
        <v>3402</v>
      </c>
    </row>
    <row r="630" spans="1:21">
      <c r="A630" s="14" t="s">
        <v>3403</v>
      </c>
      <c r="B630" s="14">
        <v>9048.22044</v>
      </c>
      <c r="C630" s="14">
        <v>3047.442088</v>
      </c>
      <c r="D630" s="14">
        <v>15048.99879</v>
      </c>
      <c r="E630" s="14">
        <v>4.937673565</v>
      </c>
      <c r="F630" s="14">
        <v>2.303831462</v>
      </c>
      <c r="G630" s="51" t="s">
        <v>3404</v>
      </c>
      <c r="H630" s="51" t="s">
        <v>3405</v>
      </c>
      <c r="I630" s="14" t="s">
        <v>164</v>
      </c>
      <c r="J630" s="14">
        <v>354.7060383</v>
      </c>
      <c r="K630" s="14">
        <v>329.9452342</v>
      </c>
      <c r="L630" s="14">
        <v>404.4102052</v>
      </c>
      <c r="M630" s="14">
        <v>45.82903482</v>
      </c>
      <c r="N630" s="14">
        <v>51.25625108</v>
      </c>
      <c r="O630" s="14">
        <v>87.17903851</v>
      </c>
      <c r="P630" s="14" t="s">
        <v>3406</v>
      </c>
      <c r="Q630" s="14" t="s">
        <v>3407</v>
      </c>
      <c r="R630" s="14" t="s">
        <v>556</v>
      </c>
      <c r="S630" s="14" t="s">
        <v>557</v>
      </c>
      <c r="T630" s="14" t="s">
        <v>3408</v>
      </c>
      <c r="U630" s="14" t="s">
        <v>3409</v>
      </c>
    </row>
    <row r="631" spans="1:21">
      <c r="A631" s="14" t="s">
        <v>3410</v>
      </c>
      <c r="B631" s="14">
        <v>2159.941335</v>
      </c>
      <c r="C631" s="14">
        <v>1355.866381</v>
      </c>
      <c r="D631" s="14">
        <v>2964.016288</v>
      </c>
      <c r="E631" s="14">
        <v>2.185614136</v>
      </c>
      <c r="F631" s="14">
        <v>1.12803872</v>
      </c>
      <c r="G631" s="14">
        <v>0.000243377</v>
      </c>
      <c r="H631" s="14">
        <v>0.001044897</v>
      </c>
      <c r="I631" s="14" t="s">
        <v>164</v>
      </c>
      <c r="J631" s="14">
        <v>28.40170561</v>
      </c>
      <c r="K631" s="14">
        <v>41.33237241</v>
      </c>
      <c r="L631" s="14">
        <v>33.24917999</v>
      </c>
      <c r="M631" s="14">
        <v>9.174020126</v>
      </c>
      <c r="N631" s="14">
        <v>10.43161796</v>
      </c>
      <c r="O631" s="14">
        <v>19.97911769</v>
      </c>
      <c r="P631" s="14" t="s">
        <v>3411</v>
      </c>
      <c r="Q631" s="14" t="s">
        <v>3412</v>
      </c>
      <c r="R631" s="14" t="s">
        <v>3413</v>
      </c>
      <c r="S631" s="14" t="s">
        <v>3414</v>
      </c>
      <c r="T631" s="14" t="s">
        <v>3415</v>
      </c>
      <c r="U631" s="14" t="s">
        <v>3416</v>
      </c>
    </row>
    <row r="632" spans="1:15">
      <c r="A632" s="14" t="s">
        <v>3417</v>
      </c>
      <c r="B632" s="14">
        <v>531.2702807</v>
      </c>
      <c r="C632" s="14">
        <v>291.8238106</v>
      </c>
      <c r="D632" s="14">
        <v>770.7167507</v>
      </c>
      <c r="E632" s="14">
        <v>2.639692391</v>
      </c>
      <c r="F632" s="14">
        <v>1.400369819</v>
      </c>
      <c r="G632" s="14">
        <v>0.015981154</v>
      </c>
      <c r="H632" s="14">
        <v>0.040264824</v>
      </c>
      <c r="I632" s="14" t="s">
        <v>164</v>
      </c>
      <c r="J632" s="14">
        <v>11.20368813</v>
      </c>
      <c r="K632" s="14">
        <v>4.951965448</v>
      </c>
      <c r="L632" s="14">
        <v>5.787733007</v>
      </c>
      <c r="M632" s="14">
        <v>1.319961255</v>
      </c>
      <c r="N632" s="14">
        <v>1.127356912</v>
      </c>
      <c r="O632" s="14">
        <v>4.661739978</v>
      </c>
    </row>
    <row r="633" spans="1:15">
      <c r="A633" s="14" t="s">
        <v>3418</v>
      </c>
      <c r="B633" s="14">
        <v>2355.956573</v>
      </c>
      <c r="C633" s="14">
        <v>3242.366485</v>
      </c>
      <c r="D633" s="14">
        <v>1469.54666</v>
      </c>
      <c r="E633" s="14">
        <v>0.453249235</v>
      </c>
      <c r="F633" s="14">
        <v>-1.141623511</v>
      </c>
      <c r="G633" s="14">
        <v>0.000644275</v>
      </c>
      <c r="H633" s="14">
        <v>0.002486776</v>
      </c>
      <c r="I633" s="14" t="s">
        <v>147</v>
      </c>
      <c r="J633" s="14">
        <v>12.63382256</v>
      </c>
      <c r="K633" s="14">
        <v>18.36912912</v>
      </c>
      <c r="L633" s="14">
        <v>13.17897226</v>
      </c>
      <c r="M633" s="14">
        <v>30.69334286</v>
      </c>
      <c r="N633" s="14">
        <v>31.24980581</v>
      </c>
      <c r="O633" s="14">
        <v>17.17417979</v>
      </c>
    </row>
    <row r="634" spans="1:21">
      <c r="A634" s="14" t="s">
        <v>3419</v>
      </c>
      <c r="B634" s="14">
        <v>242.3395432</v>
      </c>
      <c r="C634" s="14">
        <v>66.40125612</v>
      </c>
      <c r="D634" s="14">
        <v>418.2778303</v>
      </c>
      <c r="E634" s="14">
        <v>6.287156612</v>
      </c>
      <c r="F634" s="14">
        <v>2.652407701</v>
      </c>
      <c r="G634" s="14">
        <v>0.000450861</v>
      </c>
      <c r="H634" s="14">
        <v>0.001811274</v>
      </c>
      <c r="I634" s="14" t="s">
        <v>164</v>
      </c>
      <c r="J634" s="14">
        <v>2.503231513</v>
      </c>
      <c r="K634" s="14">
        <v>1.397498334</v>
      </c>
      <c r="L634" s="14">
        <v>2.532210512</v>
      </c>
      <c r="M634" s="14">
        <v>0.069368473</v>
      </c>
      <c r="N634" s="14">
        <v>0.13310163</v>
      </c>
      <c r="O634" s="14">
        <v>0.682931326</v>
      </c>
      <c r="P634" s="14" t="s">
        <v>3420</v>
      </c>
      <c r="Q634" s="14" t="s">
        <v>3421</v>
      </c>
      <c r="T634" s="14" t="s">
        <v>3422</v>
      </c>
      <c r="U634" s="14" t="s">
        <v>3423</v>
      </c>
    </row>
    <row r="635" spans="1:21">
      <c r="A635" s="14" t="s">
        <v>3424</v>
      </c>
      <c r="B635" s="14">
        <v>448.8207157</v>
      </c>
      <c r="C635" s="14">
        <v>819.7422452</v>
      </c>
      <c r="D635" s="14">
        <v>77.89918621</v>
      </c>
      <c r="E635" s="14">
        <v>0.095017196</v>
      </c>
      <c r="F635" s="14">
        <v>-3.395667554</v>
      </c>
      <c r="G635" s="51" t="s">
        <v>3425</v>
      </c>
      <c r="H635" s="51" t="s">
        <v>3426</v>
      </c>
      <c r="I635" s="14" t="s">
        <v>147</v>
      </c>
      <c r="J635" s="14">
        <v>0.892271437</v>
      </c>
      <c r="K635" s="14">
        <v>1.399976065</v>
      </c>
      <c r="L635" s="14">
        <v>0.795952238</v>
      </c>
      <c r="M635" s="14">
        <v>11.83305206</v>
      </c>
      <c r="N635" s="14">
        <v>12.03096817</v>
      </c>
      <c r="O635" s="14">
        <v>2.119934667</v>
      </c>
      <c r="P635" s="14" t="s">
        <v>3427</v>
      </c>
      <c r="Q635" s="14" t="s">
        <v>3428</v>
      </c>
      <c r="T635" s="14" t="s">
        <v>3429</v>
      </c>
      <c r="U635" s="14" t="s">
        <v>3430</v>
      </c>
    </row>
    <row r="636" spans="1:21">
      <c r="A636" s="14" t="s">
        <v>3431</v>
      </c>
      <c r="B636" s="14">
        <v>943.9353931</v>
      </c>
      <c r="C636" s="14">
        <v>1596.541538</v>
      </c>
      <c r="D636" s="14">
        <v>291.3292477</v>
      </c>
      <c r="E636" s="14">
        <v>0.182470864</v>
      </c>
      <c r="F636" s="14">
        <v>-2.454261973</v>
      </c>
      <c r="G636" s="51" t="s">
        <v>3432</v>
      </c>
      <c r="H636" s="51" t="s">
        <v>3433</v>
      </c>
      <c r="I636" s="14" t="s">
        <v>147</v>
      </c>
      <c r="J636" s="14">
        <v>3.460797698</v>
      </c>
      <c r="K636" s="14">
        <v>4.924801603</v>
      </c>
      <c r="L636" s="14">
        <v>3.293925655</v>
      </c>
      <c r="M636" s="14">
        <v>20.53441651</v>
      </c>
      <c r="N636" s="14">
        <v>21.38738006</v>
      </c>
      <c r="O636" s="14">
        <v>9.889868102</v>
      </c>
      <c r="P636" s="14" t="s">
        <v>3434</v>
      </c>
      <c r="Q636" s="14" t="s">
        <v>3435</v>
      </c>
      <c r="R636" s="14" t="s">
        <v>3123</v>
      </c>
      <c r="S636" s="14" t="s">
        <v>3124</v>
      </c>
      <c r="T636" s="14" t="s">
        <v>3436</v>
      </c>
      <c r="U636" s="14" t="s">
        <v>3437</v>
      </c>
    </row>
    <row r="637" spans="1:21">
      <c r="A637" s="14" t="s">
        <v>3438</v>
      </c>
      <c r="B637" s="14">
        <v>12058.36199</v>
      </c>
      <c r="C637" s="14">
        <v>21099.20778</v>
      </c>
      <c r="D637" s="14">
        <v>3017.516204</v>
      </c>
      <c r="E637" s="14">
        <v>0.143016466</v>
      </c>
      <c r="F637" s="14">
        <v>-2.805746831</v>
      </c>
      <c r="G637" s="51" t="s">
        <v>3439</v>
      </c>
      <c r="H637" s="51" t="s">
        <v>3440</v>
      </c>
      <c r="I637" s="14" t="s">
        <v>147</v>
      </c>
      <c r="J637" s="14">
        <v>20.10131522</v>
      </c>
      <c r="K637" s="14">
        <v>23.37892289</v>
      </c>
      <c r="L637" s="14">
        <v>20.54226635</v>
      </c>
      <c r="M637" s="14">
        <v>143.1475851</v>
      </c>
      <c r="N637" s="14">
        <v>190.9293301</v>
      </c>
      <c r="O637" s="14">
        <v>22.97550679</v>
      </c>
      <c r="P637" s="14" t="s">
        <v>3441</v>
      </c>
      <c r="Q637" s="14" t="s">
        <v>3442</v>
      </c>
      <c r="R637" s="14" t="s">
        <v>3443</v>
      </c>
      <c r="S637" s="14" t="s">
        <v>3444</v>
      </c>
      <c r="T637" s="14" t="s">
        <v>3445</v>
      </c>
      <c r="U637" s="14" t="s">
        <v>3446</v>
      </c>
    </row>
    <row r="638" spans="1:21">
      <c r="A638" s="14" t="s">
        <v>3447</v>
      </c>
      <c r="B638" s="14">
        <v>45284.07446</v>
      </c>
      <c r="C638" s="14">
        <v>63388.85202</v>
      </c>
      <c r="D638" s="14">
        <v>27179.29691</v>
      </c>
      <c r="E638" s="14">
        <v>0.428772388</v>
      </c>
      <c r="F638" s="14">
        <v>-1.221716092</v>
      </c>
      <c r="G638" s="14">
        <v>0.000458847</v>
      </c>
      <c r="H638" s="14">
        <v>0.001840781</v>
      </c>
      <c r="I638" s="14" t="s">
        <v>147</v>
      </c>
      <c r="J638" s="14">
        <v>256.5245135</v>
      </c>
      <c r="K638" s="14">
        <v>306.5144981</v>
      </c>
      <c r="L638" s="14">
        <v>248.9432141</v>
      </c>
      <c r="M638" s="14">
        <v>626.8255457</v>
      </c>
      <c r="N638" s="14">
        <v>608.3017105</v>
      </c>
      <c r="O638" s="14">
        <v>296.49726</v>
      </c>
      <c r="P638" s="14" t="s">
        <v>3448</v>
      </c>
      <c r="Q638" s="14" t="s">
        <v>3449</v>
      </c>
      <c r="T638" s="14" t="s">
        <v>3450</v>
      </c>
      <c r="U638" s="14" t="s">
        <v>3451</v>
      </c>
    </row>
    <row r="639" spans="1:21">
      <c r="A639" s="14" t="s">
        <v>3452</v>
      </c>
      <c r="B639" s="14">
        <v>1791.914731</v>
      </c>
      <c r="C639" s="14">
        <v>2811.71576</v>
      </c>
      <c r="D639" s="14">
        <v>772.1137008</v>
      </c>
      <c r="E639" s="14">
        <v>0.274609225</v>
      </c>
      <c r="F639" s="14">
        <v>-1.864548002</v>
      </c>
      <c r="G639" s="51" t="s">
        <v>3453</v>
      </c>
      <c r="H639" s="51" t="s">
        <v>3454</v>
      </c>
      <c r="I639" s="14" t="s">
        <v>147</v>
      </c>
      <c r="J639" s="14">
        <v>5.651595774</v>
      </c>
      <c r="K639" s="14">
        <v>6.258793735</v>
      </c>
      <c r="L639" s="14">
        <v>4.84084607</v>
      </c>
      <c r="M639" s="14">
        <v>17.97348659</v>
      </c>
      <c r="N639" s="14">
        <v>20.41070672</v>
      </c>
      <c r="O639" s="14">
        <v>11.19697736</v>
      </c>
      <c r="P639" s="14" t="s">
        <v>3455</v>
      </c>
      <c r="Q639" s="14" t="s">
        <v>3456</v>
      </c>
      <c r="T639" s="14" t="s">
        <v>3457</v>
      </c>
      <c r="U639" s="14" t="s">
        <v>3458</v>
      </c>
    </row>
    <row r="640" spans="1:21">
      <c r="A640" s="14" t="s">
        <v>3459</v>
      </c>
      <c r="B640" s="14">
        <v>27.91488557</v>
      </c>
      <c r="C640" s="14">
        <v>43.60318742</v>
      </c>
      <c r="D640" s="14">
        <v>12.22658373</v>
      </c>
      <c r="E640" s="14">
        <v>0.280034147</v>
      </c>
      <c r="F640" s="14">
        <v>-1.836325339</v>
      </c>
      <c r="G640" s="14">
        <v>0.011536114</v>
      </c>
      <c r="H640" s="14">
        <v>0.030556549</v>
      </c>
      <c r="I640" s="14" t="s">
        <v>147</v>
      </c>
      <c r="J640" s="14">
        <v>0.154272223</v>
      </c>
      <c r="K640" s="14">
        <v>0.268210219</v>
      </c>
      <c r="L640" s="14">
        <v>0.094526042</v>
      </c>
      <c r="M640" s="14">
        <v>0.455980987</v>
      </c>
      <c r="N640" s="14">
        <v>0.782822484</v>
      </c>
      <c r="O640" s="14">
        <v>0.258282405</v>
      </c>
      <c r="P640" s="14" t="s">
        <v>3460</v>
      </c>
      <c r="Q640" s="14" t="s">
        <v>3461</v>
      </c>
      <c r="R640" s="14" t="s">
        <v>3462</v>
      </c>
      <c r="S640" s="14" t="s">
        <v>3463</v>
      </c>
      <c r="T640" s="14" t="s">
        <v>3464</v>
      </c>
      <c r="U640" s="14" t="s">
        <v>3465</v>
      </c>
    </row>
    <row r="641" spans="1:21">
      <c r="A641" s="14" t="s">
        <v>3466</v>
      </c>
      <c r="B641" s="14">
        <v>128.6977968</v>
      </c>
      <c r="C641" s="14">
        <v>51.76179479</v>
      </c>
      <c r="D641" s="14">
        <v>205.6337987</v>
      </c>
      <c r="E641" s="14">
        <v>3.981248776</v>
      </c>
      <c r="F641" s="14">
        <v>1.993221024</v>
      </c>
      <c r="G641" s="51" t="s">
        <v>3467</v>
      </c>
      <c r="H641" s="51" t="s">
        <v>3468</v>
      </c>
      <c r="I641" s="14" t="s">
        <v>164</v>
      </c>
      <c r="J641" s="14">
        <v>3.094752994</v>
      </c>
      <c r="K641" s="14">
        <v>4.170880422</v>
      </c>
      <c r="L641" s="14">
        <v>3.619508211</v>
      </c>
      <c r="M641" s="14">
        <v>0.733021801</v>
      </c>
      <c r="N641" s="14">
        <v>0.904175222</v>
      </c>
      <c r="O641" s="14">
        <v>0.600086245</v>
      </c>
      <c r="P641" s="14" t="s">
        <v>3469</v>
      </c>
      <c r="Q641" s="14" t="s">
        <v>3470</v>
      </c>
      <c r="T641" s="14" t="s">
        <v>3471</v>
      </c>
      <c r="U641" s="14" t="s">
        <v>3472</v>
      </c>
    </row>
    <row r="642" spans="1:15">
      <c r="A642" s="14" t="s">
        <v>3473</v>
      </c>
      <c r="B642" s="14">
        <v>847.2474158</v>
      </c>
      <c r="C642" s="14">
        <v>505.4261278</v>
      </c>
      <c r="D642" s="14">
        <v>1189.068704</v>
      </c>
      <c r="E642" s="14">
        <v>2.35169093</v>
      </c>
      <c r="F642" s="14">
        <v>1.233698467</v>
      </c>
      <c r="G642" s="51" t="s">
        <v>3474</v>
      </c>
      <c r="H642" s="51" t="s">
        <v>3475</v>
      </c>
      <c r="I642" s="14" t="s">
        <v>164</v>
      </c>
      <c r="J642" s="14">
        <v>24.28685564</v>
      </c>
      <c r="K642" s="14">
        <v>21.13113365</v>
      </c>
      <c r="L642" s="14">
        <v>23.14634108</v>
      </c>
      <c r="M642" s="14">
        <v>7.377120971</v>
      </c>
      <c r="N642" s="14">
        <v>7.561802063</v>
      </c>
      <c r="O642" s="14">
        <v>9.14554517</v>
      </c>
    </row>
    <row r="643" spans="1:21">
      <c r="A643" s="14" t="s">
        <v>3476</v>
      </c>
      <c r="B643" s="14">
        <v>2381.144505</v>
      </c>
      <c r="C643" s="14">
        <v>1518.195542</v>
      </c>
      <c r="D643" s="14">
        <v>3244.093468</v>
      </c>
      <c r="E643" s="14">
        <v>2.137488224</v>
      </c>
      <c r="F643" s="14">
        <v>1.095916472</v>
      </c>
      <c r="G643" s="51" t="s">
        <v>1533</v>
      </c>
      <c r="H643" s="51" t="s">
        <v>3477</v>
      </c>
      <c r="I643" s="14" t="s">
        <v>164</v>
      </c>
      <c r="J643" s="14">
        <v>34.28286493</v>
      </c>
      <c r="K643" s="14">
        <v>36.9033363</v>
      </c>
      <c r="L643" s="14">
        <v>37.13804533</v>
      </c>
      <c r="M643" s="14">
        <v>14.26056051</v>
      </c>
      <c r="N643" s="14">
        <v>13.51844202</v>
      </c>
      <c r="O643" s="14">
        <v>13.86924401</v>
      </c>
      <c r="P643" s="14" t="s">
        <v>3478</v>
      </c>
      <c r="Q643" s="14" t="s">
        <v>3479</v>
      </c>
      <c r="T643" s="14" t="s">
        <v>3480</v>
      </c>
      <c r="U643" s="14" t="s">
        <v>3481</v>
      </c>
    </row>
    <row r="644" spans="1:21">
      <c r="A644" s="14" t="s">
        <v>3482</v>
      </c>
      <c r="B644" s="14">
        <v>79620.38574</v>
      </c>
      <c r="C644" s="14">
        <v>120199.3301</v>
      </c>
      <c r="D644" s="14">
        <v>39041.44134</v>
      </c>
      <c r="E644" s="14">
        <v>0.32480599</v>
      </c>
      <c r="F644" s="14">
        <v>-1.622349858</v>
      </c>
      <c r="G644" s="51" t="s">
        <v>3483</v>
      </c>
      <c r="H644" s="51" t="s">
        <v>3484</v>
      </c>
      <c r="I644" s="14" t="s">
        <v>147</v>
      </c>
      <c r="J644" s="14">
        <v>537.1227818</v>
      </c>
      <c r="K644" s="14">
        <v>663.13928</v>
      </c>
      <c r="L644" s="14">
        <v>482.9906189</v>
      </c>
      <c r="M644" s="14">
        <v>1593.662932</v>
      </c>
      <c r="N644" s="14">
        <v>1515.695881</v>
      </c>
      <c r="O644" s="14">
        <v>1119.838639</v>
      </c>
      <c r="P644" s="14" t="s">
        <v>3485</v>
      </c>
      <c r="Q644" s="14" t="s">
        <v>3486</v>
      </c>
      <c r="R644" s="14" t="s">
        <v>3487</v>
      </c>
      <c r="S644" s="14" t="s">
        <v>3488</v>
      </c>
      <c r="T644" s="14" t="s">
        <v>3489</v>
      </c>
      <c r="U644" s="14" t="s">
        <v>3490</v>
      </c>
    </row>
    <row r="645" spans="1:21">
      <c r="A645" s="14" t="s">
        <v>3491</v>
      </c>
      <c r="B645" s="14">
        <v>4219.127026</v>
      </c>
      <c r="C645" s="14">
        <v>6332.809133</v>
      </c>
      <c r="D645" s="14">
        <v>2105.444918</v>
      </c>
      <c r="E645" s="14">
        <v>0.332488776</v>
      </c>
      <c r="F645" s="14">
        <v>-1.588622455</v>
      </c>
      <c r="G645" s="51" t="s">
        <v>3492</v>
      </c>
      <c r="H645" s="51" t="s">
        <v>3493</v>
      </c>
      <c r="I645" s="14" t="s">
        <v>147</v>
      </c>
      <c r="J645" s="14">
        <v>8.757192707</v>
      </c>
      <c r="K645" s="14">
        <v>9.013164745</v>
      </c>
      <c r="L645" s="14">
        <v>9.026619651</v>
      </c>
      <c r="M645" s="14">
        <v>23.51686507</v>
      </c>
      <c r="N645" s="14">
        <v>22.57543719</v>
      </c>
      <c r="O645" s="14">
        <v>19.88137582</v>
      </c>
      <c r="P645" s="14" t="s">
        <v>3494</v>
      </c>
      <c r="Q645" s="14" t="s">
        <v>3495</v>
      </c>
      <c r="T645" s="14" t="s">
        <v>3496</v>
      </c>
      <c r="U645" s="14" t="s">
        <v>3497</v>
      </c>
    </row>
    <row r="646" spans="1:21">
      <c r="A646" s="14" t="s">
        <v>3498</v>
      </c>
      <c r="B646" s="14">
        <v>6427.668756</v>
      </c>
      <c r="C646" s="14">
        <v>8991.051484</v>
      </c>
      <c r="D646" s="14">
        <v>3864.286028</v>
      </c>
      <c r="E646" s="14">
        <v>0.42980242</v>
      </c>
      <c r="F646" s="14">
        <v>-1.218254489</v>
      </c>
      <c r="G646" s="51" t="s">
        <v>1435</v>
      </c>
      <c r="H646" s="51" t="s">
        <v>1436</v>
      </c>
      <c r="I646" s="14" t="s">
        <v>147</v>
      </c>
      <c r="J646" s="14">
        <v>39.63862221</v>
      </c>
      <c r="K646" s="14">
        <v>45.75967782</v>
      </c>
      <c r="L646" s="14">
        <v>39.36770026</v>
      </c>
      <c r="M646" s="14">
        <v>91.75011429</v>
      </c>
      <c r="N646" s="14">
        <v>89.91462256</v>
      </c>
      <c r="O646" s="14">
        <v>54.07615465</v>
      </c>
      <c r="P646" s="14" t="s">
        <v>3499</v>
      </c>
      <c r="Q646" s="14" t="s">
        <v>3500</v>
      </c>
      <c r="T646" s="14" t="s">
        <v>3501</v>
      </c>
      <c r="U646" s="14" t="s">
        <v>3502</v>
      </c>
    </row>
    <row r="647" spans="1:21">
      <c r="A647" s="14" t="s">
        <v>3503</v>
      </c>
      <c r="B647" s="14">
        <v>63.45128102</v>
      </c>
      <c r="C647" s="14">
        <v>8.276267111</v>
      </c>
      <c r="D647" s="14">
        <v>118.6262949</v>
      </c>
      <c r="E647" s="14">
        <v>14.24606302</v>
      </c>
      <c r="F647" s="14">
        <v>3.832491372</v>
      </c>
      <c r="G647" s="51" t="s">
        <v>3504</v>
      </c>
      <c r="H647" s="51" t="s">
        <v>3505</v>
      </c>
      <c r="I647" s="14" t="s">
        <v>164</v>
      </c>
      <c r="J647" s="14">
        <v>2.24551175</v>
      </c>
      <c r="K647" s="14">
        <v>1.171431983</v>
      </c>
      <c r="L647" s="14">
        <v>1.502916028</v>
      </c>
      <c r="M647" s="14">
        <v>0.082004486</v>
      </c>
      <c r="N647" s="14">
        <v>0.067434487</v>
      </c>
      <c r="O647" s="14">
        <v>0.137540253</v>
      </c>
      <c r="P647" s="14" t="s">
        <v>3506</v>
      </c>
      <c r="Q647" s="14" t="s">
        <v>3507</v>
      </c>
      <c r="T647" s="14" t="s">
        <v>3508</v>
      </c>
      <c r="U647" s="14" t="s">
        <v>3509</v>
      </c>
    </row>
    <row r="648" spans="1:21">
      <c r="A648" s="14" t="s">
        <v>3510</v>
      </c>
      <c r="B648" s="14">
        <v>4381.924958</v>
      </c>
      <c r="C648" s="14">
        <v>5850.840953</v>
      </c>
      <c r="D648" s="14">
        <v>2913.008962</v>
      </c>
      <c r="E648" s="14">
        <v>0.49788459</v>
      </c>
      <c r="F648" s="14">
        <v>-1.006116731</v>
      </c>
      <c r="G648" s="51" t="s">
        <v>3511</v>
      </c>
      <c r="H648" s="51" t="s">
        <v>3512</v>
      </c>
      <c r="I648" s="14" t="s">
        <v>147</v>
      </c>
      <c r="J648" s="14">
        <v>48.54318464</v>
      </c>
      <c r="K648" s="14">
        <v>52.26552018</v>
      </c>
      <c r="L648" s="14">
        <v>45.41439312</v>
      </c>
      <c r="M648" s="14">
        <v>81.81788829</v>
      </c>
      <c r="N648" s="14">
        <v>81.23083292</v>
      </c>
      <c r="O648" s="14">
        <v>78.21669739</v>
      </c>
      <c r="P648" s="14" t="s">
        <v>3513</v>
      </c>
      <c r="Q648" s="14" t="s">
        <v>3514</v>
      </c>
      <c r="T648" s="14" t="s">
        <v>3515</v>
      </c>
      <c r="U648" s="14" t="s">
        <v>3516</v>
      </c>
    </row>
    <row r="649" spans="1:21">
      <c r="A649" s="14" t="s">
        <v>3517</v>
      </c>
      <c r="B649" s="14">
        <v>8923.137934</v>
      </c>
      <c r="C649" s="14">
        <v>3845.574958</v>
      </c>
      <c r="D649" s="14">
        <v>14000.70091</v>
      </c>
      <c r="E649" s="14">
        <v>3.64092471</v>
      </c>
      <c r="F649" s="14">
        <v>1.864304908</v>
      </c>
      <c r="G649" s="51" t="s">
        <v>3518</v>
      </c>
      <c r="H649" s="51" t="s">
        <v>3519</v>
      </c>
      <c r="I649" s="14" t="s">
        <v>164</v>
      </c>
      <c r="J649" s="14">
        <v>110.8125392</v>
      </c>
      <c r="K649" s="14">
        <v>87.83381813</v>
      </c>
      <c r="L649" s="14">
        <v>133.2963915</v>
      </c>
      <c r="M649" s="14">
        <v>24.4196009</v>
      </c>
      <c r="N649" s="14">
        <v>26.42270926</v>
      </c>
      <c r="O649" s="14">
        <v>23.84594607</v>
      </c>
      <c r="P649" s="14" t="s">
        <v>3520</v>
      </c>
      <c r="Q649" s="14" t="s">
        <v>3521</v>
      </c>
      <c r="T649" s="14" t="s">
        <v>3522</v>
      </c>
      <c r="U649" s="14" t="s">
        <v>3523</v>
      </c>
    </row>
    <row r="650" spans="1:21">
      <c r="A650" s="14" t="s">
        <v>3524</v>
      </c>
      <c r="B650" s="14">
        <v>4148.950548</v>
      </c>
      <c r="C650" s="14">
        <v>2492.279368</v>
      </c>
      <c r="D650" s="14">
        <v>5805.621729</v>
      </c>
      <c r="E650" s="14">
        <v>2.329193033</v>
      </c>
      <c r="F650" s="14">
        <v>1.219830208</v>
      </c>
      <c r="G650" s="51" t="s">
        <v>3525</v>
      </c>
      <c r="H650" s="51" t="s">
        <v>3526</v>
      </c>
      <c r="I650" s="14" t="s">
        <v>164</v>
      </c>
      <c r="J650" s="14">
        <v>70.79159586</v>
      </c>
      <c r="K650" s="14">
        <v>55.23944316</v>
      </c>
      <c r="L650" s="14">
        <v>73.74526514</v>
      </c>
      <c r="M650" s="14">
        <v>18.15708075</v>
      </c>
      <c r="N650" s="14">
        <v>17.89464239</v>
      </c>
      <c r="O650" s="14">
        <v>35.78566089</v>
      </c>
      <c r="P650" s="14" t="s">
        <v>3527</v>
      </c>
      <c r="Q650" s="14" t="s">
        <v>3528</v>
      </c>
      <c r="R650" s="14" t="s">
        <v>3529</v>
      </c>
      <c r="S650" s="14" t="s">
        <v>3530</v>
      </c>
      <c r="T650" s="14" t="s">
        <v>3531</v>
      </c>
      <c r="U650" s="14" t="s">
        <v>3532</v>
      </c>
    </row>
    <row r="651" spans="1:21">
      <c r="A651" s="14" t="s">
        <v>3533</v>
      </c>
      <c r="B651" s="14">
        <v>139.1379966</v>
      </c>
      <c r="C651" s="14">
        <v>62.59270421</v>
      </c>
      <c r="D651" s="14">
        <v>215.6832889</v>
      </c>
      <c r="E651" s="14">
        <v>3.440017061</v>
      </c>
      <c r="F651" s="14">
        <v>1.78241572</v>
      </c>
      <c r="G651" s="51" t="s">
        <v>767</v>
      </c>
      <c r="H651" s="51" t="s">
        <v>768</v>
      </c>
      <c r="I651" s="14" t="s">
        <v>164</v>
      </c>
      <c r="J651" s="14">
        <v>2.26010009</v>
      </c>
      <c r="K651" s="14">
        <v>2.021011406</v>
      </c>
      <c r="L651" s="14">
        <v>2.054720781</v>
      </c>
      <c r="M651" s="14">
        <v>0.497956136</v>
      </c>
      <c r="N651" s="14">
        <v>0.350335183</v>
      </c>
      <c r="O651" s="14">
        <v>0.682068711</v>
      </c>
      <c r="P651" s="14" t="s">
        <v>3534</v>
      </c>
      <c r="Q651" s="14" t="s">
        <v>3535</v>
      </c>
      <c r="R651" s="14" t="s">
        <v>3536</v>
      </c>
      <c r="S651" s="14" t="s">
        <v>3537</v>
      </c>
      <c r="T651" s="14" t="s">
        <v>3538</v>
      </c>
      <c r="U651" s="14" t="s">
        <v>3539</v>
      </c>
    </row>
    <row r="652" spans="1:21">
      <c r="A652" s="14" t="s">
        <v>3540</v>
      </c>
      <c r="B652" s="14">
        <v>593.6501362</v>
      </c>
      <c r="C652" s="14">
        <v>378.2352298</v>
      </c>
      <c r="D652" s="14">
        <v>809.0650426</v>
      </c>
      <c r="E652" s="14">
        <v>2.138065959</v>
      </c>
      <c r="F652" s="14">
        <v>1.096306361</v>
      </c>
      <c r="G652" s="51" t="s">
        <v>3541</v>
      </c>
      <c r="H652" s="51" t="s">
        <v>3542</v>
      </c>
      <c r="I652" s="14" t="s">
        <v>164</v>
      </c>
      <c r="J652" s="14">
        <v>58.59114523</v>
      </c>
      <c r="K652" s="14">
        <v>55.46262218</v>
      </c>
      <c r="L652" s="14">
        <v>44.03685938</v>
      </c>
      <c r="M652" s="14">
        <v>15.03355497</v>
      </c>
      <c r="N652" s="14">
        <v>23.70235778</v>
      </c>
      <c r="O652" s="14">
        <v>22.44139687</v>
      </c>
      <c r="P652" s="14" t="s">
        <v>3543</v>
      </c>
      <c r="Q652" s="14" t="s">
        <v>3544</v>
      </c>
      <c r="T652" s="14" t="s">
        <v>3545</v>
      </c>
      <c r="U652" s="14" t="s">
        <v>3546</v>
      </c>
    </row>
    <row r="653" spans="1:21">
      <c r="A653" s="14" t="s">
        <v>3547</v>
      </c>
      <c r="B653" s="14">
        <v>38.46180364</v>
      </c>
      <c r="C653" s="14">
        <v>59.08323934</v>
      </c>
      <c r="D653" s="14">
        <v>17.84036794</v>
      </c>
      <c r="E653" s="14">
        <v>0.300848275</v>
      </c>
      <c r="F653" s="14">
        <v>-1.732892009</v>
      </c>
      <c r="G653" s="14">
        <v>0.000489059</v>
      </c>
      <c r="H653" s="14">
        <v>0.001947162</v>
      </c>
      <c r="I653" s="14" t="s">
        <v>147</v>
      </c>
      <c r="J653" s="14">
        <v>0.342840014</v>
      </c>
      <c r="K653" s="14">
        <v>0.498447032</v>
      </c>
      <c r="L653" s="14">
        <v>0.18339073</v>
      </c>
      <c r="M653" s="14">
        <v>0.814811386</v>
      </c>
      <c r="N653" s="14">
        <v>0.906789158</v>
      </c>
      <c r="O653" s="14">
        <v>1.100132967</v>
      </c>
      <c r="P653" s="14" t="s">
        <v>3548</v>
      </c>
      <c r="Q653" s="14" t="s">
        <v>3549</v>
      </c>
      <c r="T653" s="14" t="s">
        <v>3550</v>
      </c>
      <c r="U653" s="14" t="s">
        <v>3551</v>
      </c>
    </row>
    <row r="654" spans="1:15">
      <c r="A654" s="14" t="s">
        <v>3552</v>
      </c>
      <c r="B654" s="14">
        <v>292.2968489</v>
      </c>
      <c r="C654" s="14">
        <v>102.9361242</v>
      </c>
      <c r="D654" s="14">
        <v>481.6575736</v>
      </c>
      <c r="E654" s="14">
        <v>4.678243713</v>
      </c>
      <c r="F654" s="14">
        <v>2.225967021</v>
      </c>
      <c r="G654" s="51" t="s">
        <v>3553</v>
      </c>
      <c r="H654" s="51" t="s">
        <v>3554</v>
      </c>
      <c r="I654" s="14" t="s">
        <v>164</v>
      </c>
      <c r="J654" s="14">
        <v>4.897149463</v>
      </c>
      <c r="K654" s="14">
        <v>4.065962076</v>
      </c>
      <c r="L654" s="14">
        <v>7.5508669</v>
      </c>
      <c r="M654" s="14">
        <v>0.753037005</v>
      </c>
      <c r="N654" s="14">
        <v>1.120723107</v>
      </c>
      <c r="O654" s="14">
        <v>1.029573171</v>
      </c>
    </row>
    <row r="655" spans="1:21">
      <c r="A655" s="14" t="s">
        <v>3555</v>
      </c>
      <c r="B655" s="14">
        <v>80.69740064</v>
      </c>
      <c r="C655" s="14">
        <v>31.20936629</v>
      </c>
      <c r="D655" s="14">
        <v>130.185435</v>
      </c>
      <c r="E655" s="14">
        <v>4.184085755</v>
      </c>
      <c r="F655" s="14">
        <v>2.064912421</v>
      </c>
      <c r="G655" s="51" t="s">
        <v>3556</v>
      </c>
      <c r="H655" s="51" t="s">
        <v>3557</v>
      </c>
      <c r="I655" s="14" t="s">
        <v>164</v>
      </c>
      <c r="J655" s="14">
        <v>7.5448736</v>
      </c>
      <c r="K655" s="14">
        <v>4.429915374</v>
      </c>
      <c r="L655" s="14">
        <v>7.124873889</v>
      </c>
      <c r="M655" s="14">
        <v>1.282794679</v>
      </c>
      <c r="N655" s="14">
        <v>1.508586764</v>
      </c>
      <c r="O655" s="14">
        <v>0.931177119</v>
      </c>
      <c r="P655" s="14" t="s">
        <v>3558</v>
      </c>
      <c r="Q655" s="14" t="s">
        <v>3559</v>
      </c>
      <c r="R655" s="14" t="s">
        <v>754</v>
      </c>
      <c r="S655" s="14" t="s">
        <v>755</v>
      </c>
      <c r="T655" s="14" t="s">
        <v>3560</v>
      </c>
      <c r="U655" s="14" t="s">
        <v>3561</v>
      </c>
    </row>
    <row r="656" spans="1:15">
      <c r="A656" s="14" t="s">
        <v>3562</v>
      </c>
      <c r="B656" s="14">
        <v>653.8170743</v>
      </c>
      <c r="C656" s="14">
        <v>925.6476256</v>
      </c>
      <c r="D656" s="14">
        <v>381.9865231</v>
      </c>
      <c r="E656" s="14">
        <v>0.412773839</v>
      </c>
      <c r="F656" s="14">
        <v>-1.276576557</v>
      </c>
      <c r="G656" s="51" t="s">
        <v>3563</v>
      </c>
      <c r="H656" s="51" t="s">
        <v>3564</v>
      </c>
      <c r="I656" s="14" t="s">
        <v>147</v>
      </c>
      <c r="J656" s="14">
        <v>13.9419842</v>
      </c>
      <c r="K656" s="14">
        <v>18.72504674</v>
      </c>
      <c r="L656" s="14">
        <v>16.80062855</v>
      </c>
      <c r="M656" s="14">
        <v>36.664249</v>
      </c>
      <c r="N656" s="14">
        <v>34.68352718</v>
      </c>
      <c r="O656" s="14">
        <v>26.42046382</v>
      </c>
    </row>
    <row r="657" spans="1:15">
      <c r="A657" s="14" t="s">
        <v>3565</v>
      </c>
      <c r="B657" s="14">
        <v>88.10236797</v>
      </c>
      <c r="C657" s="14">
        <v>154.4739079</v>
      </c>
      <c r="D657" s="14">
        <v>21.73082802</v>
      </c>
      <c r="E657" s="14">
        <v>0.140286979</v>
      </c>
      <c r="F657" s="14">
        <v>-2.833546981</v>
      </c>
      <c r="G657" s="51" t="s">
        <v>3566</v>
      </c>
      <c r="H657" s="51" t="s">
        <v>3567</v>
      </c>
      <c r="I657" s="14" t="s">
        <v>147</v>
      </c>
      <c r="J657" s="14">
        <v>0.612089971</v>
      </c>
      <c r="K657" s="14">
        <v>0.488620596</v>
      </c>
      <c r="L657" s="14">
        <v>0.284514027</v>
      </c>
      <c r="M657" s="14">
        <v>2.07674509</v>
      </c>
      <c r="N657" s="14">
        <v>1.992390364</v>
      </c>
      <c r="O657" s="14">
        <v>4.222719721</v>
      </c>
    </row>
    <row r="658" spans="1:21">
      <c r="A658" s="14" t="s">
        <v>3568</v>
      </c>
      <c r="B658" s="14">
        <v>216.3250367</v>
      </c>
      <c r="C658" s="14">
        <v>293.3724908</v>
      </c>
      <c r="D658" s="14">
        <v>139.2775827</v>
      </c>
      <c r="E658" s="14">
        <v>0.475034675</v>
      </c>
      <c r="F658" s="14">
        <v>-1.073895268</v>
      </c>
      <c r="G658" s="51" t="s">
        <v>3569</v>
      </c>
      <c r="H658" s="14">
        <v>0.000289302</v>
      </c>
      <c r="I658" s="14" t="s">
        <v>147</v>
      </c>
      <c r="J658" s="14">
        <v>1.223805373</v>
      </c>
      <c r="K658" s="14">
        <v>1.818914698</v>
      </c>
      <c r="L658" s="14">
        <v>1.784029261</v>
      </c>
      <c r="M658" s="14">
        <v>2.779169302</v>
      </c>
      <c r="N658" s="14">
        <v>3.069980783</v>
      </c>
      <c r="O658" s="14">
        <v>2.470161642</v>
      </c>
      <c r="P658" s="14" t="s">
        <v>3570</v>
      </c>
      <c r="Q658" s="14" t="s">
        <v>2146</v>
      </c>
      <c r="T658" s="14" t="s">
        <v>3571</v>
      </c>
      <c r="U658" s="14" t="s">
        <v>3572</v>
      </c>
    </row>
    <row r="659" spans="1:21">
      <c r="A659" s="14" t="s">
        <v>3573</v>
      </c>
      <c r="B659" s="14">
        <v>2151.890761</v>
      </c>
      <c r="C659" s="14">
        <v>2906.750102</v>
      </c>
      <c r="D659" s="14">
        <v>1397.031421</v>
      </c>
      <c r="E659" s="14">
        <v>0.480729863</v>
      </c>
      <c r="F659" s="14">
        <v>-1.056701669</v>
      </c>
      <c r="G659" s="51" t="s">
        <v>3574</v>
      </c>
      <c r="H659" s="51" t="s">
        <v>3575</v>
      </c>
      <c r="I659" s="14" t="s">
        <v>147</v>
      </c>
      <c r="J659" s="14">
        <v>13.91017666</v>
      </c>
      <c r="K659" s="14">
        <v>12.81131588</v>
      </c>
      <c r="L659" s="14">
        <v>14.63492933</v>
      </c>
      <c r="M659" s="14">
        <v>23.34326918</v>
      </c>
      <c r="N659" s="14">
        <v>23.13277854</v>
      </c>
      <c r="O659" s="14">
        <v>24.28601143</v>
      </c>
      <c r="P659" s="14" t="s">
        <v>3576</v>
      </c>
      <c r="Q659" s="14" t="s">
        <v>3577</v>
      </c>
      <c r="T659" s="14" t="s">
        <v>1429</v>
      </c>
      <c r="U659" s="14" t="s">
        <v>1430</v>
      </c>
    </row>
    <row r="660" spans="1:21">
      <c r="A660" s="14" t="s">
        <v>3578</v>
      </c>
      <c r="B660" s="14">
        <v>240.6362876</v>
      </c>
      <c r="C660" s="14">
        <v>50.84584668</v>
      </c>
      <c r="D660" s="14">
        <v>430.4267286</v>
      </c>
      <c r="E660" s="14">
        <v>8.443482188</v>
      </c>
      <c r="F660" s="14">
        <v>3.077838106</v>
      </c>
      <c r="G660" s="51" t="s">
        <v>3579</v>
      </c>
      <c r="H660" s="51" t="s">
        <v>3580</v>
      </c>
      <c r="I660" s="14" t="s">
        <v>164</v>
      </c>
      <c r="J660" s="14">
        <v>4.706360764</v>
      </c>
      <c r="K660" s="14">
        <v>10.91223137</v>
      </c>
      <c r="L660" s="14">
        <v>11.81431169</v>
      </c>
      <c r="M660" s="14">
        <v>0.341553613</v>
      </c>
      <c r="N660" s="14">
        <v>0.758838225</v>
      </c>
      <c r="O660" s="14">
        <v>1.653263736</v>
      </c>
      <c r="P660" s="14" t="s">
        <v>3581</v>
      </c>
      <c r="Q660" s="14" t="s">
        <v>3582</v>
      </c>
      <c r="T660" s="14" t="s">
        <v>3583</v>
      </c>
      <c r="U660" s="14" t="s">
        <v>3584</v>
      </c>
    </row>
    <row r="661" spans="1:21">
      <c r="A661" s="14" t="s">
        <v>3585</v>
      </c>
      <c r="B661" s="14">
        <v>365.0150761</v>
      </c>
      <c r="C661" s="14">
        <v>492.32693</v>
      </c>
      <c r="D661" s="14">
        <v>237.7032221</v>
      </c>
      <c r="E661" s="14">
        <v>0.482753438</v>
      </c>
      <c r="F661" s="14">
        <v>-1.050641562</v>
      </c>
      <c r="G661" s="14">
        <v>0.002338272</v>
      </c>
      <c r="H661" s="14">
        <v>0.007672065</v>
      </c>
      <c r="I661" s="14" t="s">
        <v>147</v>
      </c>
      <c r="J661" s="14">
        <v>3.757464148</v>
      </c>
      <c r="K661" s="14">
        <v>1.949085272</v>
      </c>
      <c r="L661" s="14">
        <v>3.543786119</v>
      </c>
      <c r="M661" s="14">
        <v>3.829311872</v>
      </c>
      <c r="N661" s="14">
        <v>4.810638821</v>
      </c>
      <c r="O661" s="14">
        <v>7.332043256</v>
      </c>
      <c r="P661" s="14" t="s">
        <v>3586</v>
      </c>
      <c r="Q661" s="14" t="s">
        <v>3587</v>
      </c>
      <c r="R661" s="14" t="s">
        <v>3588</v>
      </c>
      <c r="S661" s="14" t="s">
        <v>3589</v>
      </c>
      <c r="T661" s="14" t="s">
        <v>3590</v>
      </c>
      <c r="U661" s="14" t="s">
        <v>3591</v>
      </c>
    </row>
    <row r="662" spans="1:21">
      <c r="A662" s="14" t="s">
        <v>3592</v>
      </c>
      <c r="B662" s="14">
        <v>5311.831278</v>
      </c>
      <c r="C662" s="14">
        <v>7299.844437</v>
      </c>
      <c r="D662" s="14">
        <v>3323.818119</v>
      </c>
      <c r="E662" s="14">
        <v>0.455340774</v>
      </c>
      <c r="F662" s="14">
        <v>-1.134981443</v>
      </c>
      <c r="G662" s="14">
        <v>0.000583331</v>
      </c>
      <c r="H662" s="14">
        <v>0.002276705</v>
      </c>
      <c r="I662" s="14" t="s">
        <v>147</v>
      </c>
      <c r="J662" s="14">
        <v>14.23003133</v>
      </c>
      <c r="K662" s="14">
        <v>18.42499021</v>
      </c>
      <c r="L662" s="14">
        <v>16.16790592</v>
      </c>
      <c r="M662" s="14">
        <v>35.18046587</v>
      </c>
      <c r="N662" s="14">
        <v>33.69174327</v>
      </c>
      <c r="O662" s="14">
        <v>17.9349408</v>
      </c>
      <c r="P662" s="14" t="s">
        <v>3593</v>
      </c>
      <c r="Q662" s="14" t="s">
        <v>3594</v>
      </c>
      <c r="R662" s="14" t="s">
        <v>3595</v>
      </c>
      <c r="S662" s="14" t="s">
        <v>3596</v>
      </c>
      <c r="T662" s="14" t="s">
        <v>3597</v>
      </c>
      <c r="U662" s="14" t="s">
        <v>3598</v>
      </c>
    </row>
    <row r="663" spans="1:21">
      <c r="A663" s="14" t="s">
        <v>3599</v>
      </c>
      <c r="B663" s="14">
        <v>525.8329814</v>
      </c>
      <c r="C663" s="14">
        <v>261.5066325</v>
      </c>
      <c r="D663" s="14">
        <v>790.1593303</v>
      </c>
      <c r="E663" s="14">
        <v>3.019028036</v>
      </c>
      <c r="F663" s="14">
        <v>1.594084154</v>
      </c>
      <c r="G663" s="51" t="s">
        <v>3600</v>
      </c>
      <c r="H663" s="51" t="s">
        <v>3601</v>
      </c>
      <c r="I663" s="14" t="s">
        <v>164</v>
      </c>
      <c r="J663" s="14">
        <v>12.51457782</v>
      </c>
      <c r="K663" s="14">
        <v>11.10843109</v>
      </c>
      <c r="L663" s="14">
        <v>10.70926836</v>
      </c>
      <c r="M663" s="14">
        <v>2.443548035</v>
      </c>
      <c r="N663" s="14">
        <v>1.955541931</v>
      </c>
      <c r="O663" s="14">
        <v>5.177904999</v>
      </c>
      <c r="P663" s="14" t="s">
        <v>3602</v>
      </c>
      <c r="Q663" s="14" t="s">
        <v>3603</v>
      </c>
      <c r="T663" s="14" t="s">
        <v>1510</v>
      </c>
      <c r="U663" s="14" t="s">
        <v>1511</v>
      </c>
    </row>
    <row r="664" spans="1:21">
      <c r="A664" s="14" t="s">
        <v>3604</v>
      </c>
      <c r="B664" s="14">
        <v>1807.147914</v>
      </c>
      <c r="C664" s="14">
        <v>2500.151675</v>
      </c>
      <c r="D664" s="14">
        <v>1114.144153</v>
      </c>
      <c r="E664" s="14">
        <v>0.445600819</v>
      </c>
      <c r="F664" s="14">
        <v>-1.166176212</v>
      </c>
      <c r="G664" s="51" t="s">
        <v>3605</v>
      </c>
      <c r="H664" s="51" t="s">
        <v>3606</v>
      </c>
      <c r="I664" s="14" t="s">
        <v>147</v>
      </c>
      <c r="J664" s="14">
        <v>21.83440693</v>
      </c>
      <c r="K664" s="14">
        <v>24.85858015</v>
      </c>
      <c r="L664" s="14">
        <v>17.60513119</v>
      </c>
      <c r="M664" s="14">
        <v>41.29831106</v>
      </c>
      <c r="N664" s="14">
        <v>38.82183006</v>
      </c>
      <c r="O664" s="14">
        <v>38.50432442</v>
      </c>
      <c r="P664" s="14" t="s">
        <v>3607</v>
      </c>
      <c r="Q664" s="14" t="s">
        <v>3608</v>
      </c>
      <c r="T664" s="14" t="s">
        <v>3609</v>
      </c>
      <c r="U664" s="14" t="s">
        <v>3610</v>
      </c>
    </row>
    <row r="665" spans="1:21">
      <c r="A665" s="14" t="s">
        <v>3611</v>
      </c>
      <c r="B665" s="14">
        <v>496.83201</v>
      </c>
      <c r="C665" s="14">
        <v>201.8998033</v>
      </c>
      <c r="D665" s="14">
        <v>791.7642166</v>
      </c>
      <c r="E665" s="14">
        <v>3.925456487</v>
      </c>
      <c r="F665" s="14">
        <v>1.972860433</v>
      </c>
      <c r="G665" s="51" t="s">
        <v>3612</v>
      </c>
      <c r="H665" s="51" t="s">
        <v>3613</v>
      </c>
      <c r="I665" s="14" t="s">
        <v>164</v>
      </c>
      <c r="J665" s="14">
        <v>13.56497182</v>
      </c>
      <c r="K665" s="14">
        <v>21.3491862</v>
      </c>
      <c r="L665" s="14">
        <v>18.84673594</v>
      </c>
      <c r="M665" s="14">
        <v>4.25877388</v>
      </c>
      <c r="N665" s="14">
        <v>4.048979039</v>
      </c>
      <c r="O665" s="14">
        <v>2.852884562</v>
      </c>
      <c r="P665" s="14" t="s">
        <v>3614</v>
      </c>
      <c r="Q665" s="14" t="s">
        <v>3615</v>
      </c>
      <c r="R665" s="14" t="s">
        <v>3616</v>
      </c>
      <c r="S665" s="14" t="s">
        <v>3617</v>
      </c>
      <c r="T665" s="14" t="s">
        <v>3618</v>
      </c>
      <c r="U665" s="14" t="s">
        <v>3619</v>
      </c>
    </row>
    <row r="666" spans="1:21">
      <c r="A666" s="14" t="s">
        <v>3620</v>
      </c>
      <c r="B666" s="14">
        <v>2776.359751</v>
      </c>
      <c r="C666" s="14">
        <v>4458.017806</v>
      </c>
      <c r="D666" s="14">
        <v>1094.701695</v>
      </c>
      <c r="E666" s="14">
        <v>0.245543766</v>
      </c>
      <c r="F666" s="14">
        <v>-2.025947899</v>
      </c>
      <c r="G666" s="51" t="s">
        <v>3621</v>
      </c>
      <c r="H666" s="51" t="s">
        <v>3622</v>
      </c>
      <c r="I666" s="14" t="s">
        <v>147</v>
      </c>
      <c r="J666" s="14">
        <v>10.12981264</v>
      </c>
      <c r="K666" s="14">
        <v>12.63433684</v>
      </c>
      <c r="L666" s="14">
        <v>9.584185726</v>
      </c>
      <c r="M666" s="14">
        <v>37.2589667</v>
      </c>
      <c r="N666" s="14">
        <v>37.42137866</v>
      </c>
      <c r="O666" s="14">
        <v>33.40348711</v>
      </c>
      <c r="P666" s="14" t="s">
        <v>3623</v>
      </c>
      <c r="Q666" s="14" t="s">
        <v>3624</v>
      </c>
      <c r="T666" s="14" t="s">
        <v>3625</v>
      </c>
      <c r="U666" s="14" t="s">
        <v>3626</v>
      </c>
    </row>
    <row r="667" spans="1:21">
      <c r="A667" s="14" t="s">
        <v>3627</v>
      </c>
      <c r="B667" s="14">
        <v>257.5366577</v>
      </c>
      <c r="C667" s="14">
        <v>407.8493939</v>
      </c>
      <c r="D667" s="14">
        <v>107.2239214</v>
      </c>
      <c r="E667" s="14">
        <v>0.263189196</v>
      </c>
      <c r="F667" s="14">
        <v>-1.925827828</v>
      </c>
      <c r="G667" s="51" t="s">
        <v>3628</v>
      </c>
      <c r="H667" s="51" t="s">
        <v>3629</v>
      </c>
      <c r="I667" s="14" t="s">
        <v>147</v>
      </c>
      <c r="J667" s="14">
        <v>0.843561154</v>
      </c>
      <c r="K667" s="14">
        <v>0.839420982</v>
      </c>
      <c r="L667" s="14">
        <v>1.439848769</v>
      </c>
      <c r="M667" s="14">
        <v>2.788565843</v>
      </c>
      <c r="N667" s="14">
        <v>3.532966893</v>
      </c>
      <c r="O667" s="14">
        <v>3.442455082</v>
      </c>
      <c r="P667" s="14" t="s">
        <v>3630</v>
      </c>
      <c r="Q667" s="14" t="s">
        <v>3631</v>
      </c>
      <c r="T667" s="14" t="s">
        <v>3632</v>
      </c>
      <c r="U667" s="14" t="s">
        <v>3633</v>
      </c>
    </row>
    <row r="668" spans="1:21">
      <c r="A668" s="14" t="s">
        <v>3634</v>
      </c>
      <c r="B668" s="14">
        <v>4277.292441</v>
      </c>
      <c r="C668" s="14">
        <v>5859.585856</v>
      </c>
      <c r="D668" s="14">
        <v>2694.999025</v>
      </c>
      <c r="E668" s="14">
        <v>0.459949821</v>
      </c>
      <c r="F668" s="14">
        <v>-1.120451617</v>
      </c>
      <c r="G668" s="14">
        <v>0.000794528</v>
      </c>
      <c r="H668" s="14">
        <v>0.002992161</v>
      </c>
      <c r="I668" s="14" t="s">
        <v>147</v>
      </c>
      <c r="J668" s="14">
        <v>13.98029172</v>
      </c>
      <c r="K668" s="14">
        <v>15.38455945</v>
      </c>
      <c r="L668" s="14">
        <v>15.57014616</v>
      </c>
      <c r="M668" s="14">
        <v>31.81560925</v>
      </c>
      <c r="N668" s="14">
        <v>31.4494806</v>
      </c>
      <c r="O668" s="14">
        <v>15.72518977</v>
      </c>
      <c r="P668" s="14" t="s">
        <v>3635</v>
      </c>
      <c r="Q668" s="14" t="s">
        <v>3636</v>
      </c>
      <c r="T668" s="14" t="s">
        <v>3637</v>
      </c>
      <c r="U668" s="14" t="s">
        <v>3638</v>
      </c>
    </row>
    <row r="669" spans="1:15">
      <c r="A669" s="14" t="s">
        <v>3639</v>
      </c>
      <c r="B669" s="14">
        <v>1747.83057</v>
      </c>
      <c r="C669" s="14">
        <v>2381.393861</v>
      </c>
      <c r="D669" s="14">
        <v>1114.267278</v>
      </c>
      <c r="E669" s="14">
        <v>0.467963576</v>
      </c>
      <c r="F669" s="14">
        <v>-1.095531852</v>
      </c>
      <c r="G669" s="51" t="s">
        <v>3640</v>
      </c>
      <c r="H669" s="51" t="s">
        <v>3641</v>
      </c>
      <c r="I669" s="14" t="s">
        <v>147</v>
      </c>
      <c r="J669" s="14">
        <v>14.84619702</v>
      </c>
      <c r="K669" s="14">
        <v>19.02137292</v>
      </c>
      <c r="L669" s="14">
        <v>18.32991371</v>
      </c>
      <c r="M669" s="14">
        <v>34.15073675</v>
      </c>
      <c r="N669" s="14">
        <v>33.41097874</v>
      </c>
      <c r="O669" s="14">
        <v>23.25023831</v>
      </c>
    </row>
    <row r="670" spans="1:15">
      <c r="A670" s="14" t="s">
        <v>3642</v>
      </c>
      <c r="B670" s="14">
        <v>11.36894029</v>
      </c>
      <c r="C670" s="14">
        <v>3.096707617</v>
      </c>
      <c r="D670" s="14">
        <v>19.64117296</v>
      </c>
      <c r="E670" s="14">
        <v>6.389881969</v>
      </c>
      <c r="F670" s="14">
        <v>2.675789283</v>
      </c>
      <c r="G670" s="14">
        <v>0.016122656</v>
      </c>
      <c r="H670" s="14">
        <v>0.040569695</v>
      </c>
      <c r="I670" s="14" t="s">
        <v>164</v>
      </c>
      <c r="J670" s="14">
        <v>0.489354202</v>
      </c>
      <c r="K670" s="14">
        <v>0.570320614</v>
      </c>
      <c r="L670" s="14">
        <v>0.471174418</v>
      </c>
      <c r="M670" s="14">
        <v>0.044072512</v>
      </c>
      <c r="N670" s="14">
        <v>0.1479882</v>
      </c>
      <c r="O670" s="14">
        <v>0</v>
      </c>
    </row>
    <row r="671" spans="1:21">
      <c r="A671" s="14" t="s">
        <v>3643</v>
      </c>
      <c r="B671" s="14">
        <v>14136.32484</v>
      </c>
      <c r="C671" s="14">
        <v>18858.54594</v>
      </c>
      <c r="D671" s="14">
        <v>9414.103743</v>
      </c>
      <c r="E671" s="14">
        <v>0.499199936</v>
      </c>
      <c r="F671" s="14">
        <v>-1.002310347</v>
      </c>
      <c r="G671" s="14">
        <v>0.000387842</v>
      </c>
      <c r="H671" s="14">
        <v>0.001588923</v>
      </c>
      <c r="I671" s="14" t="s">
        <v>147</v>
      </c>
      <c r="J671" s="14">
        <v>156.2491385</v>
      </c>
      <c r="K671" s="14">
        <v>191.4477451</v>
      </c>
      <c r="L671" s="14">
        <v>149.0338214</v>
      </c>
      <c r="M671" s="14">
        <v>305.0796895</v>
      </c>
      <c r="N671" s="14">
        <v>313.9467943</v>
      </c>
      <c r="O671" s="14">
        <v>190.142663</v>
      </c>
      <c r="P671" s="14" t="s">
        <v>3644</v>
      </c>
      <c r="Q671" s="14" t="s">
        <v>3645</v>
      </c>
      <c r="R671" s="14" t="s">
        <v>3646</v>
      </c>
      <c r="S671" s="14" t="s">
        <v>3647</v>
      </c>
      <c r="T671" s="14" t="s">
        <v>3648</v>
      </c>
      <c r="U671" s="14" t="s">
        <v>3649</v>
      </c>
    </row>
    <row r="672" spans="1:15">
      <c r="A672" s="14" t="s">
        <v>3650</v>
      </c>
      <c r="B672" s="14">
        <v>737.8702921</v>
      </c>
      <c r="C672" s="14">
        <v>1088.863792</v>
      </c>
      <c r="D672" s="14">
        <v>386.8767922</v>
      </c>
      <c r="E672" s="14">
        <v>0.355361137</v>
      </c>
      <c r="F672" s="14">
        <v>-1.492642183</v>
      </c>
      <c r="G672" s="51" t="s">
        <v>3651</v>
      </c>
      <c r="H672" s="51" t="s">
        <v>3652</v>
      </c>
      <c r="I672" s="14" t="s">
        <v>147</v>
      </c>
      <c r="J672" s="14">
        <v>4.491799388</v>
      </c>
      <c r="K672" s="14">
        <v>4.71871178</v>
      </c>
      <c r="L672" s="14">
        <v>4.313808449</v>
      </c>
      <c r="M672" s="14">
        <v>10.89718562</v>
      </c>
      <c r="N672" s="14">
        <v>10.81473099</v>
      </c>
      <c r="O672" s="14">
        <v>9.472702883</v>
      </c>
    </row>
    <row r="673" spans="1:21">
      <c r="A673" s="14" t="s">
        <v>3653</v>
      </c>
      <c r="B673" s="14">
        <v>3279.351851</v>
      </c>
      <c r="C673" s="14">
        <v>4590.269486</v>
      </c>
      <c r="D673" s="14">
        <v>1968.434216</v>
      </c>
      <c r="E673" s="14">
        <v>0.428843019</v>
      </c>
      <c r="F673" s="14">
        <v>-1.221478458</v>
      </c>
      <c r="G673" s="51" t="s">
        <v>776</v>
      </c>
      <c r="H673" s="51" t="s">
        <v>777</v>
      </c>
      <c r="I673" s="14" t="s">
        <v>147</v>
      </c>
      <c r="J673" s="14">
        <v>11.15127978</v>
      </c>
      <c r="K673" s="14">
        <v>14.8140152</v>
      </c>
      <c r="L673" s="14">
        <v>11.90619824</v>
      </c>
      <c r="M673" s="14">
        <v>27.11073193</v>
      </c>
      <c r="N673" s="14">
        <v>27.21502654</v>
      </c>
      <c r="O673" s="14">
        <v>17.54120466</v>
      </c>
      <c r="P673" s="14" t="s">
        <v>3654</v>
      </c>
      <c r="Q673" s="14" t="s">
        <v>3655</v>
      </c>
      <c r="T673" s="14" t="s">
        <v>3656</v>
      </c>
      <c r="U673" s="14" t="s">
        <v>3657</v>
      </c>
    </row>
    <row r="674" spans="1:15">
      <c r="A674" s="14" t="s">
        <v>3658</v>
      </c>
      <c r="B674" s="14">
        <v>4.738710065</v>
      </c>
      <c r="C674" s="14">
        <v>0.618177692</v>
      </c>
      <c r="D674" s="14">
        <v>8.859242437</v>
      </c>
      <c r="E674" s="14">
        <v>13.60846818</v>
      </c>
      <c r="F674" s="14">
        <v>3.766432776</v>
      </c>
      <c r="G674" s="14">
        <v>0.015489715</v>
      </c>
      <c r="H674" s="14">
        <v>0.039148454</v>
      </c>
      <c r="I674" s="14" t="s">
        <v>164</v>
      </c>
      <c r="J674" s="14">
        <v>1.042491578</v>
      </c>
      <c r="K674" s="14">
        <v>0.699532608</v>
      </c>
      <c r="L674" s="14">
        <v>0.585528083</v>
      </c>
      <c r="M674" s="14">
        <v>0</v>
      </c>
      <c r="N674" s="14">
        <v>0</v>
      </c>
      <c r="O674" s="14">
        <v>0.145444865</v>
      </c>
    </row>
    <row r="675" spans="1:19">
      <c r="A675" s="14" t="s">
        <v>3659</v>
      </c>
      <c r="B675" s="14">
        <v>514.673738</v>
      </c>
      <c r="C675" s="14">
        <v>310.5381868</v>
      </c>
      <c r="D675" s="14">
        <v>718.8092892</v>
      </c>
      <c r="E675" s="14">
        <v>2.314634327</v>
      </c>
      <c r="F675" s="14">
        <v>1.21078429</v>
      </c>
      <c r="G675" s="51" t="s">
        <v>3660</v>
      </c>
      <c r="H675" s="51" t="s">
        <v>2646</v>
      </c>
      <c r="I675" s="14" t="s">
        <v>164</v>
      </c>
      <c r="J675" s="14">
        <v>10.54442091</v>
      </c>
      <c r="K675" s="14">
        <v>7.162104889</v>
      </c>
      <c r="L675" s="14">
        <v>9.064056339</v>
      </c>
      <c r="M675" s="14">
        <v>3.007250218</v>
      </c>
      <c r="N675" s="14">
        <v>3.006152694</v>
      </c>
      <c r="O675" s="14">
        <v>3.528634333</v>
      </c>
      <c r="R675" s="14" t="s">
        <v>3661</v>
      </c>
      <c r="S675" s="14" t="s">
        <v>3662</v>
      </c>
    </row>
    <row r="676" spans="1:21">
      <c r="A676" s="14" t="s">
        <v>3663</v>
      </c>
      <c r="B676" s="14">
        <v>886.6791289</v>
      </c>
      <c r="C676" s="14">
        <v>583.381429</v>
      </c>
      <c r="D676" s="14">
        <v>1189.976829</v>
      </c>
      <c r="E676" s="14">
        <v>2.040751087</v>
      </c>
      <c r="F676" s="14">
        <v>1.029100226</v>
      </c>
      <c r="G676" s="51" t="s">
        <v>3664</v>
      </c>
      <c r="H676" s="14">
        <v>0.000120609</v>
      </c>
      <c r="I676" s="14" t="s">
        <v>164</v>
      </c>
      <c r="J676" s="14">
        <v>20.14531991</v>
      </c>
      <c r="K676" s="14">
        <v>14.52648545</v>
      </c>
      <c r="L676" s="14">
        <v>19.28170928</v>
      </c>
      <c r="M676" s="14">
        <v>7.856751731</v>
      </c>
      <c r="N676" s="14">
        <v>7.807698147</v>
      </c>
      <c r="O676" s="14">
        <v>5.896639393</v>
      </c>
      <c r="P676" s="14" t="s">
        <v>3665</v>
      </c>
      <c r="Q676" s="14" t="s">
        <v>3666</v>
      </c>
      <c r="R676" s="14" t="s">
        <v>3667</v>
      </c>
      <c r="S676" s="14" t="s">
        <v>3668</v>
      </c>
      <c r="T676" s="14" t="s">
        <v>3669</v>
      </c>
      <c r="U676" s="14" t="s">
        <v>3670</v>
      </c>
    </row>
    <row r="677" spans="1:21">
      <c r="A677" s="14" t="s">
        <v>3671</v>
      </c>
      <c r="B677" s="14">
        <v>2216.875324</v>
      </c>
      <c r="C677" s="14">
        <v>522.7447968</v>
      </c>
      <c r="D677" s="14">
        <v>3911.005851</v>
      </c>
      <c r="E677" s="14">
        <v>7.482586149</v>
      </c>
      <c r="F677" s="14">
        <v>2.903536984</v>
      </c>
      <c r="G677" s="51" t="s">
        <v>3672</v>
      </c>
      <c r="H677" s="51" t="s">
        <v>3098</v>
      </c>
      <c r="I677" s="14" t="s">
        <v>164</v>
      </c>
      <c r="J677" s="14">
        <v>56.63071096</v>
      </c>
      <c r="K677" s="14">
        <v>42.19396532</v>
      </c>
      <c r="L677" s="14">
        <v>58.21126695</v>
      </c>
      <c r="M677" s="14">
        <v>4.984636878</v>
      </c>
      <c r="N677" s="14">
        <v>6.749377048</v>
      </c>
      <c r="O677" s="14">
        <v>5.486495815</v>
      </c>
      <c r="P677" s="14" t="s">
        <v>3673</v>
      </c>
      <c r="Q677" s="14" t="s">
        <v>3674</v>
      </c>
      <c r="T677" s="14" t="s">
        <v>3675</v>
      </c>
      <c r="U677" s="14" t="s">
        <v>3676</v>
      </c>
    </row>
    <row r="678" spans="1:15">
      <c r="A678" s="14" t="s">
        <v>3677</v>
      </c>
      <c r="B678" s="14">
        <v>54.64394787</v>
      </c>
      <c r="C678" s="14">
        <v>30.80476119</v>
      </c>
      <c r="D678" s="14">
        <v>78.48313455</v>
      </c>
      <c r="E678" s="14">
        <v>2.547827311</v>
      </c>
      <c r="F678" s="14">
        <v>1.349267497</v>
      </c>
      <c r="G678" s="14">
        <v>0.000491911</v>
      </c>
      <c r="H678" s="14">
        <v>0.001957363</v>
      </c>
      <c r="I678" s="14" t="s">
        <v>164</v>
      </c>
      <c r="J678" s="14">
        <v>1.228650788</v>
      </c>
      <c r="K678" s="14">
        <v>2.038221497</v>
      </c>
      <c r="L678" s="14">
        <v>2.146936306</v>
      </c>
      <c r="M678" s="14">
        <v>0.564547889</v>
      </c>
      <c r="N678" s="14">
        <v>0.52294024</v>
      </c>
      <c r="O678" s="14">
        <v>0.6666223</v>
      </c>
    </row>
    <row r="679" spans="1:21">
      <c r="A679" s="14" t="s">
        <v>3678</v>
      </c>
      <c r="B679" s="14">
        <v>1631.795797</v>
      </c>
      <c r="C679" s="14">
        <v>901.972947</v>
      </c>
      <c r="D679" s="14">
        <v>2361.618646</v>
      </c>
      <c r="E679" s="14">
        <v>2.6170655</v>
      </c>
      <c r="F679" s="14">
        <v>1.387950033</v>
      </c>
      <c r="G679" s="51" t="s">
        <v>3679</v>
      </c>
      <c r="H679" s="51" t="s">
        <v>3680</v>
      </c>
      <c r="I679" s="14" t="s">
        <v>164</v>
      </c>
      <c r="J679" s="14">
        <v>29.80853118</v>
      </c>
      <c r="K679" s="14">
        <v>26.71798065</v>
      </c>
      <c r="L679" s="14">
        <v>29.65203351</v>
      </c>
      <c r="M679" s="14">
        <v>7.419351655</v>
      </c>
      <c r="N679" s="14">
        <v>8.90736996</v>
      </c>
      <c r="O679" s="14">
        <v>10.95902726</v>
      </c>
      <c r="P679" s="14" t="s">
        <v>3681</v>
      </c>
      <c r="Q679" s="14" t="s">
        <v>3682</v>
      </c>
      <c r="R679" s="14" t="s">
        <v>3683</v>
      </c>
      <c r="S679" s="14" t="s">
        <v>3684</v>
      </c>
      <c r="T679" s="14" t="s">
        <v>3685</v>
      </c>
      <c r="U679" s="14" t="s">
        <v>3686</v>
      </c>
    </row>
    <row r="680" spans="1:21">
      <c r="A680" s="14" t="s">
        <v>3687</v>
      </c>
      <c r="B680" s="14">
        <v>22.56681532</v>
      </c>
      <c r="C680" s="14">
        <v>0.618177692</v>
      </c>
      <c r="D680" s="14">
        <v>44.51545296</v>
      </c>
      <c r="E680" s="14">
        <v>67.38539527</v>
      </c>
      <c r="F680" s="14">
        <v>6.074364039</v>
      </c>
      <c r="G680" s="51" t="s">
        <v>3688</v>
      </c>
      <c r="H680" s="51" t="s">
        <v>3689</v>
      </c>
      <c r="I680" s="14" t="s">
        <v>164</v>
      </c>
      <c r="J680" s="14">
        <v>2.036643651</v>
      </c>
      <c r="K680" s="14">
        <v>0.951759096</v>
      </c>
      <c r="L680" s="14">
        <v>1.925963672</v>
      </c>
      <c r="M680" s="14">
        <v>0</v>
      </c>
      <c r="N680" s="14">
        <v>0</v>
      </c>
      <c r="O680" s="14">
        <v>0.060888336</v>
      </c>
      <c r="P680" s="14" t="s">
        <v>3690</v>
      </c>
      <c r="Q680" s="14" t="s">
        <v>3691</v>
      </c>
      <c r="T680" s="14" t="s">
        <v>3692</v>
      </c>
      <c r="U680" s="14" t="s">
        <v>3693</v>
      </c>
    </row>
    <row r="681" spans="1:21">
      <c r="A681" s="14" t="s">
        <v>3694</v>
      </c>
      <c r="B681" s="14">
        <v>53.45212901</v>
      </c>
      <c r="C681" s="14">
        <v>79.70673596</v>
      </c>
      <c r="D681" s="14">
        <v>27.19752206</v>
      </c>
      <c r="E681" s="14">
        <v>0.341599912</v>
      </c>
      <c r="F681" s="14">
        <v>-1.549620492</v>
      </c>
      <c r="G681" s="14">
        <v>0.000362878</v>
      </c>
      <c r="H681" s="14">
        <v>0.001499061</v>
      </c>
      <c r="I681" s="14" t="s">
        <v>147</v>
      </c>
      <c r="J681" s="14">
        <v>0.131030265</v>
      </c>
      <c r="K681" s="14">
        <v>0.183174828</v>
      </c>
      <c r="L681" s="14">
        <v>0.28736995</v>
      </c>
      <c r="M681" s="14">
        <v>0.404837336</v>
      </c>
      <c r="N681" s="14">
        <v>0.418269774</v>
      </c>
      <c r="O681" s="14">
        <v>0.639831333</v>
      </c>
      <c r="P681" s="14" t="s">
        <v>3695</v>
      </c>
      <c r="Q681" s="14" t="s">
        <v>3696</v>
      </c>
      <c r="R681" s="14" t="s">
        <v>771</v>
      </c>
      <c r="S681" s="14" t="s">
        <v>772</v>
      </c>
      <c r="T681" s="14" t="s">
        <v>3697</v>
      </c>
      <c r="U681" s="14" t="s">
        <v>3698</v>
      </c>
    </row>
    <row r="682" spans="1:21">
      <c r="A682" s="14" t="s">
        <v>3699</v>
      </c>
      <c r="B682" s="14">
        <v>755.1317805</v>
      </c>
      <c r="C682" s="14">
        <v>233.6360621</v>
      </c>
      <c r="D682" s="14">
        <v>1276.627499</v>
      </c>
      <c r="E682" s="14">
        <v>5.471667336</v>
      </c>
      <c r="F682" s="14">
        <v>2.451980521</v>
      </c>
      <c r="G682" s="51" t="s">
        <v>3700</v>
      </c>
      <c r="H682" s="51" t="s">
        <v>3701</v>
      </c>
      <c r="I682" s="14" t="s">
        <v>164</v>
      </c>
      <c r="J682" s="14">
        <v>21.54548561</v>
      </c>
      <c r="K682" s="14">
        <v>18.9815129</v>
      </c>
      <c r="L682" s="14">
        <v>22.10104676</v>
      </c>
      <c r="M682" s="14">
        <v>3.822569584</v>
      </c>
      <c r="N682" s="14">
        <v>3.122521378</v>
      </c>
      <c r="O682" s="14">
        <v>2.371337504</v>
      </c>
      <c r="P682" s="14" t="s">
        <v>3702</v>
      </c>
      <c r="Q682" s="14" t="s">
        <v>3703</v>
      </c>
      <c r="R682" s="14" t="s">
        <v>1065</v>
      </c>
      <c r="S682" s="14" t="s">
        <v>1066</v>
      </c>
      <c r="T682" s="14" t="s">
        <v>3704</v>
      </c>
      <c r="U682" s="14" t="s">
        <v>3705</v>
      </c>
    </row>
    <row r="683" spans="1:21">
      <c r="A683" s="14" t="s">
        <v>3706</v>
      </c>
      <c r="B683" s="14">
        <v>37161.48363</v>
      </c>
      <c r="C683" s="14">
        <v>51778.39563</v>
      </c>
      <c r="D683" s="14">
        <v>22544.57163</v>
      </c>
      <c r="E683" s="14">
        <v>0.435406159</v>
      </c>
      <c r="F683" s="14">
        <v>-1.19956628</v>
      </c>
      <c r="G683" s="51" t="s">
        <v>3707</v>
      </c>
      <c r="H683" s="51" t="s">
        <v>2539</v>
      </c>
      <c r="I683" s="14" t="s">
        <v>147</v>
      </c>
      <c r="J683" s="14">
        <v>193.9429191</v>
      </c>
      <c r="K683" s="14">
        <v>258.1040869</v>
      </c>
      <c r="L683" s="14">
        <v>194.3394828</v>
      </c>
      <c r="M683" s="14">
        <v>455.0827483</v>
      </c>
      <c r="N683" s="14">
        <v>439.9587088</v>
      </c>
      <c r="O683" s="14">
        <v>315.6783062</v>
      </c>
      <c r="P683" s="14" t="s">
        <v>3708</v>
      </c>
      <c r="Q683" s="14" t="s">
        <v>3709</v>
      </c>
      <c r="T683" s="14" t="s">
        <v>3710</v>
      </c>
      <c r="U683" s="14" t="s">
        <v>3711</v>
      </c>
    </row>
    <row r="684" spans="1:21">
      <c r="A684" s="14" t="s">
        <v>3712</v>
      </c>
      <c r="B684" s="14">
        <v>1522.12706</v>
      </c>
      <c r="C684" s="14">
        <v>992.8861897</v>
      </c>
      <c r="D684" s="14">
        <v>2051.367929</v>
      </c>
      <c r="E684" s="14">
        <v>2.066492005</v>
      </c>
      <c r="F684" s="14">
        <v>1.047183782</v>
      </c>
      <c r="G684" s="51" t="s">
        <v>3713</v>
      </c>
      <c r="H684" s="51" t="s">
        <v>3714</v>
      </c>
      <c r="I684" s="14" t="s">
        <v>164</v>
      </c>
      <c r="J684" s="14">
        <v>7.208537646</v>
      </c>
      <c r="K684" s="14">
        <v>5.927668342</v>
      </c>
      <c r="L684" s="14">
        <v>8.881962988</v>
      </c>
      <c r="M684" s="14">
        <v>2.865900157</v>
      </c>
      <c r="N684" s="14">
        <v>2.926596506</v>
      </c>
      <c r="O684" s="14">
        <v>2.954953303</v>
      </c>
      <c r="P684" s="14" t="s">
        <v>3715</v>
      </c>
      <c r="Q684" s="14" t="s">
        <v>3716</v>
      </c>
      <c r="T684" s="14" t="s">
        <v>2621</v>
      </c>
      <c r="U684" s="14" t="s">
        <v>2622</v>
      </c>
    </row>
    <row r="685" spans="1:21">
      <c r="A685" s="14" t="s">
        <v>3717</v>
      </c>
      <c r="B685" s="14">
        <v>6664.242731</v>
      </c>
      <c r="C685" s="14">
        <v>4203.552878</v>
      </c>
      <c r="D685" s="14">
        <v>9124.932584</v>
      </c>
      <c r="E685" s="14">
        <v>2.170912817</v>
      </c>
      <c r="F685" s="14">
        <v>1.118301789</v>
      </c>
      <c r="G685" s="51" t="s">
        <v>3718</v>
      </c>
      <c r="H685" s="51" t="s">
        <v>3719</v>
      </c>
      <c r="I685" s="14" t="s">
        <v>164</v>
      </c>
      <c r="J685" s="14">
        <v>54.95644823</v>
      </c>
      <c r="K685" s="14">
        <v>72.39994504</v>
      </c>
      <c r="L685" s="14">
        <v>66.22273569</v>
      </c>
      <c r="M685" s="14">
        <v>25.94066154</v>
      </c>
      <c r="N685" s="14">
        <v>26.77305975</v>
      </c>
      <c r="O685" s="14">
        <v>20.0904728</v>
      </c>
      <c r="P685" s="14" t="s">
        <v>3720</v>
      </c>
      <c r="Q685" s="14" t="s">
        <v>3721</v>
      </c>
      <c r="R685" s="14" t="s">
        <v>1313</v>
      </c>
      <c r="S685" s="14" t="s">
        <v>1314</v>
      </c>
      <c r="T685" s="14" t="s">
        <v>3722</v>
      </c>
      <c r="U685" s="14" t="s">
        <v>3723</v>
      </c>
    </row>
    <row r="686" spans="1:21">
      <c r="A686" s="14" t="s">
        <v>3724</v>
      </c>
      <c r="B686" s="14">
        <v>663.727295</v>
      </c>
      <c r="C686" s="14">
        <v>224.4224086</v>
      </c>
      <c r="D686" s="14">
        <v>1103.032181</v>
      </c>
      <c r="E686" s="14">
        <v>4.9119637</v>
      </c>
      <c r="F686" s="14">
        <v>2.296299899</v>
      </c>
      <c r="G686" s="14">
        <v>0.001339825</v>
      </c>
      <c r="H686" s="14">
        <v>0.004733498</v>
      </c>
      <c r="I686" s="14" t="s">
        <v>164</v>
      </c>
      <c r="J686" s="14">
        <v>22.98497835</v>
      </c>
      <c r="K686" s="14">
        <v>26.84448732</v>
      </c>
      <c r="L686" s="14">
        <v>31.25897402</v>
      </c>
      <c r="M686" s="14">
        <v>1.784030599</v>
      </c>
      <c r="N686" s="14">
        <v>1.313527058</v>
      </c>
      <c r="O686" s="14">
        <v>11.22374995</v>
      </c>
      <c r="P686" s="14" t="s">
        <v>3725</v>
      </c>
      <c r="Q686" s="14" t="s">
        <v>3726</v>
      </c>
      <c r="T686" s="14" t="s">
        <v>1440</v>
      </c>
      <c r="U686" s="14" t="s">
        <v>1441</v>
      </c>
    </row>
    <row r="687" spans="1:21">
      <c r="A687" s="14" t="s">
        <v>3727</v>
      </c>
      <c r="B687" s="14">
        <v>1900.78344</v>
      </c>
      <c r="C687" s="14">
        <v>2701.201771</v>
      </c>
      <c r="D687" s="14">
        <v>1100.365109</v>
      </c>
      <c r="E687" s="14">
        <v>0.40740119</v>
      </c>
      <c r="F687" s="14">
        <v>-1.295477902</v>
      </c>
      <c r="G687" s="14">
        <v>0.000157946</v>
      </c>
      <c r="H687" s="14">
        <v>0.000712094</v>
      </c>
      <c r="I687" s="14" t="s">
        <v>147</v>
      </c>
      <c r="J687" s="14">
        <v>21.35888446</v>
      </c>
      <c r="K687" s="14">
        <v>15.35596799</v>
      </c>
      <c r="L687" s="14">
        <v>19.19328773</v>
      </c>
      <c r="M687" s="14">
        <v>45.81546896</v>
      </c>
      <c r="N687" s="14">
        <v>42.33063623</v>
      </c>
      <c r="O687" s="14">
        <v>22.81953389</v>
      </c>
      <c r="P687" s="14" t="s">
        <v>3728</v>
      </c>
      <c r="Q687" s="14" t="s">
        <v>3729</v>
      </c>
      <c r="T687" s="14" t="s">
        <v>3730</v>
      </c>
      <c r="U687" s="14" t="s">
        <v>3731</v>
      </c>
    </row>
    <row r="688" spans="1:21">
      <c r="A688" s="14" t="s">
        <v>3732</v>
      </c>
      <c r="B688" s="14">
        <v>1523.349161</v>
      </c>
      <c r="C688" s="14">
        <v>2346.519403</v>
      </c>
      <c r="D688" s="14">
        <v>700.17892</v>
      </c>
      <c r="E688" s="14">
        <v>0.298340961</v>
      </c>
      <c r="F688" s="14">
        <v>-1.744966026</v>
      </c>
      <c r="G688" s="51" t="s">
        <v>3733</v>
      </c>
      <c r="H688" s="51" t="s">
        <v>3734</v>
      </c>
      <c r="I688" s="14" t="s">
        <v>147</v>
      </c>
      <c r="J688" s="14">
        <v>10.96025723</v>
      </c>
      <c r="K688" s="14">
        <v>12.61902635</v>
      </c>
      <c r="L688" s="14">
        <v>9.485743452</v>
      </c>
      <c r="M688" s="14">
        <v>30.91114379</v>
      </c>
      <c r="N688" s="14">
        <v>29.86062421</v>
      </c>
      <c r="O688" s="14">
        <v>30.41284913</v>
      </c>
      <c r="P688" s="14" t="s">
        <v>3735</v>
      </c>
      <c r="Q688" s="14" t="s">
        <v>3736</v>
      </c>
      <c r="T688" s="14" t="s">
        <v>3145</v>
      </c>
      <c r="U688" s="14" t="s">
        <v>3146</v>
      </c>
    </row>
    <row r="689" spans="1:15">
      <c r="A689" s="14" t="s">
        <v>3737</v>
      </c>
      <c r="B689" s="14">
        <v>393.3686306</v>
      </c>
      <c r="C689" s="14">
        <v>591.4335403</v>
      </c>
      <c r="D689" s="14">
        <v>195.3037208</v>
      </c>
      <c r="E689" s="14">
        <v>0.329911954</v>
      </c>
      <c r="F689" s="14">
        <v>-1.599847042</v>
      </c>
      <c r="G689" s="51" t="s">
        <v>3738</v>
      </c>
      <c r="H689" s="51" t="s">
        <v>3739</v>
      </c>
      <c r="I689" s="14" t="s">
        <v>147</v>
      </c>
      <c r="J689" s="14">
        <v>1.343330155</v>
      </c>
      <c r="K689" s="14">
        <v>1.4737911</v>
      </c>
      <c r="L689" s="14">
        <v>1.151147969</v>
      </c>
      <c r="M689" s="14">
        <v>2.666483097</v>
      </c>
      <c r="N689" s="14">
        <v>3.374143252</v>
      </c>
      <c r="O689" s="14">
        <v>3.930131065</v>
      </c>
    </row>
    <row r="690" spans="1:21">
      <c r="A690" s="14" t="s">
        <v>3740</v>
      </c>
      <c r="B690" s="14">
        <v>4930.376437</v>
      </c>
      <c r="C690" s="14">
        <v>2471.975274</v>
      </c>
      <c r="D690" s="14">
        <v>7388.7776</v>
      </c>
      <c r="E690" s="14">
        <v>2.988783498</v>
      </c>
      <c r="F690" s="14">
        <v>1.579558395</v>
      </c>
      <c r="G690" s="14">
        <v>0.00126812</v>
      </c>
      <c r="H690" s="14">
        <v>0.004506989</v>
      </c>
      <c r="I690" s="14" t="s">
        <v>164</v>
      </c>
      <c r="J690" s="14">
        <v>28.18711228</v>
      </c>
      <c r="K690" s="14">
        <v>36.74314773</v>
      </c>
      <c r="L690" s="14">
        <v>41.30348995</v>
      </c>
      <c r="M690" s="14">
        <v>5.599109452</v>
      </c>
      <c r="N690" s="14">
        <v>5.064171534</v>
      </c>
      <c r="O690" s="14">
        <v>19.66946435</v>
      </c>
      <c r="P690" s="14" t="s">
        <v>3741</v>
      </c>
      <c r="Q690" s="14" t="s">
        <v>3742</v>
      </c>
      <c r="R690" s="14" t="s">
        <v>3743</v>
      </c>
      <c r="S690" s="14" t="s">
        <v>3744</v>
      </c>
      <c r="T690" s="14" t="s">
        <v>3745</v>
      </c>
      <c r="U690" s="14" t="s">
        <v>3746</v>
      </c>
    </row>
    <row r="691" spans="1:21">
      <c r="A691" s="14" t="s">
        <v>3747</v>
      </c>
      <c r="B691" s="14">
        <v>155.3929004</v>
      </c>
      <c r="C691" s="14">
        <v>44.82013894</v>
      </c>
      <c r="D691" s="14">
        <v>265.9656618</v>
      </c>
      <c r="E691" s="14">
        <v>5.919263985</v>
      </c>
      <c r="F691" s="14">
        <v>2.565417799</v>
      </c>
      <c r="G691" s="51" t="s">
        <v>3748</v>
      </c>
      <c r="H691" s="51" t="s">
        <v>3749</v>
      </c>
      <c r="I691" s="14" t="s">
        <v>164</v>
      </c>
      <c r="J691" s="14">
        <v>17.21230967</v>
      </c>
      <c r="K691" s="14">
        <v>10.29675792</v>
      </c>
      <c r="L691" s="14">
        <v>16.15593532</v>
      </c>
      <c r="M691" s="14">
        <v>1.759801622</v>
      </c>
      <c r="N691" s="14">
        <v>1.155166818</v>
      </c>
      <c r="O691" s="14">
        <v>3.262282881</v>
      </c>
      <c r="P691" s="14" t="s">
        <v>3750</v>
      </c>
      <c r="Q691" s="14" t="s">
        <v>3751</v>
      </c>
      <c r="T691" s="14" t="s">
        <v>3752</v>
      </c>
      <c r="U691" s="14" t="s">
        <v>3753</v>
      </c>
    </row>
    <row r="692" spans="1:21">
      <c r="A692" s="14" t="s">
        <v>3754</v>
      </c>
      <c r="B692" s="14">
        <v>81.18138316</v>
      </c>
      <c r="C692" s="14">
        <v>30.27822698</v>
      </c>
      <c r="D692" s="14">
        <v>132.0845393</v>
      </c>
      <c r="E692" s="14">
        <v>4.370540368</v>
      </c>
      <c r="F692" s="14">
        <v>2.127811664</v>
      </c>
      <c r="G692" s="14">
        <v>0.00021525</v>
      </c>
      <c r="H692" s="14">
        <v>0.000936548</v>
      </c>
      <c r="I692" s="14" t="s">
        <v>164</v>
      </c>
      <c r="J692" s="14">
        <v>15.6728392</v>
      </c>
      <c r="K692" s="14">
        <v>10.02925402</v>
      </c>
      <c r="L692" s="14">
        <v>15.89008557</v>
      </c>
      <c r="M692" s="14">
        <v>2.042521575</v>
      </c>
      <c r="N692" s="14">
        <v>4.430302704</v>
      </c>
      <c r="O692" s="14">
        <v>1.216398444</v>
      </c>
      <c r="P692" s="14" t="s">
        <v>3755</v>
      </c>
      <c r="Q692" s="14" t="s">
        <v>3756</v>
      </c>
      <c r="T692" s="14" t="s">
        <v>3757</v>
      </c>
      <c r="U692" s="14" t="s">
        <v>3758</v>
      </c>
    </row>
    <row r="693" spans="1:21">
      <c r="A693" s="14" t="s">
        <v>3759</v>
      </c>
      <c r="B693" s="14">
        <v>46.1222587</v>
      </c>
      <c r="C693" s="14">
        <v>14.56947798</v>
      </c>
      <c r="D693" s="14">
        <v>77.67503941</v>
      </c>
      <c r="E693" s="14">
        <v>5.298326143</v>
      </c>
      <c r="F693" s="14">
        <v>2.405536653</v>
      </c>
      <c r="G693" s="51" t="s">
        <v>3760</v>
      </c>
      <c r="H693" s="51" t="s">
        <v>3761</v>
      </c>
      <c r="I693" s="14" t="s">
        <v>164</v>
      </c>
      <c r="J693" s="14">
        <v>1.510335548</v>
      </c>
      <c r="K693" s="14">
        <v>1.449490966</v>
      </c>
      <c r="L693" s="14">
        <v>1.166762506</v>
      </c>
      <c r="M693" s="14">
        <v>0.165285884</v>
      </c>
      <c r="N693" s="14">
        <v>0.187403489</v>
      </c>
      <c r="O693" s="14">
        <v>0.294023524</v>
      </c>
      <c r="P693" s="14" t="s">
        <v>3762</v>
      </c>
      <c r="Q693" s="14" t="s">
        <v>3763</v>
      </c>
      <c r="T693" s="14" t="s">
        <v>3764</v>
      </c>
      <c r="U693" s="14" t="s">
        <v>3765</v>
      </c>
    </row>
    <row r="694" spans="1:21">
      <c r="A694" s="14" t="s">
        <v>3766</v>
      </c>
      <c r="B694" s="14">
        <v>288.4826367</v>
      </c>
      <c r="C694" s="14">
        <v>34.22029795</v>
      </c>
      <c r="D694" s="14">
        <v>542.7449755</v>
      </c>
      <c r="E694" s="14">
        <v>15.83744327</v>
      </c>
      <c r="F694" s="14">
        <v>3.985267546</v>
      </c>
      <c r="G694" s="51" t="s">
        <v>3767</v>
      </c>
      <c r="H694" s="14">
        <v>0.000462095</v>
      </c>
      <c r="I694" s="14" t="s">
        <v>164</v>
      </c>
      <c r="J694" s="14">
        <v>12.32606758</v>
      </c>
      <c r="K694" s="14">
        <v>0.355069762</v>
      </c>
      <c r="L694" s="14">
        <v>4.385620064</v>
      </c>
      <c r="M694" s="14">
        <v>0.124280853</v>
      </c>
      <c r="N694" s="14">
        <v>0.204398955</v>
      </c>
      <c r="O694" s="14">
        <v>0.590600903</v>
      </c>
      <c r="P694" s="14" t="s">
        <v>3768</v>
      </c>
      <c r="Q694" s="14" t="s">
        <v>3769</v>
      </c>
      <c r="T694" s="14" t="s">
        <v>2833</v>
      </c>
      <c r="U694" s="14" t="s">
        <v>2834</v>
      </c>
    </row>
    <row r="695" spans="1:15">
      <c r="A695" s="14" t="s">
        <v>3770</v>
      </c>
      <c r="B695" s="14">
        <v>80.32578596</v>
      </c>
      <c r="C695" s="14">
        <v>25.86169268</v>
      </c>
      <c r="D695" s="14">
        <v>134.7898793</v>
      </c>
      <c r="E695" s="14">
        <v>5.212014591</v>
      </c>
      <c r="F695" s="14">
        <v>2.381841123</v>
      </c>
      <c r="G695" s="51" t="s">
        <v>897</v>
      </c>
      <c r="H695" s="14">
        <v>0.000172815</v>
      </c>
      <c r="I695" s="14" t="s">
        <v>164</v>
      </c>
      <c r="J695" s="14">
        <v>9.664807515</v>
      </c>
      <c r="K695" s="14">
        <v>5.750757828</v>
      </c>
      <c r="L695" s="14">
        <v>6.375213011</v>
      </c>
      <c r="M695" s="14">
        <v>0.593917432</v>
      </c>
      <c r="N695" s="14">
        <v>2.016191559</v>
      </c>
      <c r="O695" s="14">
        <v>0.80457073</v>
      </c>
    </row>
    <row r="696" spans="1:21">
      <c r="A696" s="14" t="s">
        <v>3771</v>
      </c>
      <c r="B696" s="14">
        <v>33.05035829</v>
      </c>
      <c r="C696" s="14">
        <v>12.27616139</v>
      </c>
      <c r="D696" s="14">
        <v>53.82455518</v>
      </c>
      <c r="E696" s="14">
        <v>4.404325585</v>
      </c>
      <c r="F696" s="14">
        <v>2.138921123</v>
      </c>
      <c r="G696" s="14">
        <v>0.000819144</v>
      </c>
      <c r="H696" s="14">
        <v>0.003071877</v>
      </c>
      <c r="I696" s="14" t="s">
        <v>164</v>
      </c>
      <c r="J696" s="14">
        <v>1.227139532</v>
      </c>
      <c r="K696" s="14">
        <v>0.679333926</v>
      </c>
      <c r="L696" s="14">
        <v>1.43755324</v>
      </c>
      <c r="M696" s="14">
        <v>0.192487915</v>
      </c>
      <c r="N696" s="14">
        <v>0.318974249</v>
      </c>
      <c r="O696" s="14">
        <v>0.102723791</v>
      </c>
      <c r="P696" s="14" t="s">
        <v>3772</v>
      </c>
      <c r="Q696" s="14" t="s">
        <v>3773</v>
      </c>
      <c r="T696" s="14" t="s">
        <v>3774</v>
      </c>
      <c r="U696" s="14" t="s">
        <v>3775</v>
      </c>
    </row>
    <row r="697" spans="1:21">
      <c r="A697" s="14" t="s">
        <v>3776</v>
      </c>
      <c r="B697" s="14">
        <v>190.7582014</v>
      </c>
      <c r="C697" s="14">
        <v>9.634561623</v>
      </c>
      <c r="D697" s="14">
        <v>371.8818411</v>
      </c>
      <c r="E697" s="14">
        <v>38.31875366</v>
      </c>
      <c r="F697" s="14">
        <v>5.259978732</v>
      </c>
      <c r="G697" s="51" t="s">
        <v>783</v>
      </c>
      <c r="H697" s="51" t="s">
        <v>3777</v>
      </c>
      <c r="I697" s="14" t="s">
        <v>164</v>
      </c>
      <c r="J697" s="14">
        <v>7.639055503</v>
      </c>
      <c r="K697" s="14">
        <v>5.265872856</v>
      </c>
      <c r="L697" s="14">
        <v>8.486838798</v>
      </c>
      <c r="M697" s="14">
        <v>0.016218202</v>
      </c>
      <c r="N697" s="14">
        <v>0</v>
      </c>
      <c r="O697" s="14">
        <v>0.47602851</v>
      </c>
      <c r="P697" s="14" t="s">
        <v>3778</v>
      </c>
      <c r="Q697" s="14" t="s">
        <v>3779</v>
      </c>
      <c r="T697" s="14" t="s">
        <v>3774</v>
      </c>
      <c r="U697" s="14" t="s">
        <v>3775</v>
      </c>
    </row>
    <row r="698" spans="1:15">
      <c r="A698" s="14" t="s">
        <v>3780</v>
      </c>
      <c r="B698" s="14">
        <v>3.098295311</v>
      </c>
      <c r="C698" s="14">
        <v>0</v>
      </c>
      <c r="D698" s="14">
        <v>6.196590623</v>
      </c>
      <c r="E698" s="14">
        <v>33.42837033</v>
      </c>
      <c r="F698" s="14">
        <v>5.063001119</v>
      </c>
      <c r="G698" s="14">
        <v>0.008248512</v>
      </c>
      <c r="H698" s="14">
        <v>0.022865039</v>
      </c>
      <c r="I698" s="14" t="s">
        <v>164</v>
      </c>
      <c r="J698" s="14">
        <v>0.43301408</v>
      </c>
      <c r="K698" s="14">
        <v>0.435841605</v>
      </c>
      <c r="L698" s="14">
        <v>0.486415257</v>
      </c>
      <c r="M698" s="14">
        <v>0</v>
      </c>
      <c r="N698" s="14">
        <v>0</v>
      </c>
      <c r="O698" s="14">
        <v>0</v>
      </c>
    </row>
    <row r="699" spans="1:21">
      <c r="A699" s="14" t="s">
        <v>3781</v>
      </c>
      <c r="B699" s="14">
        <v>10956.67448</v>
      </c>
      <c r="C699" s="14">
        <v>5020.743768</v>
      </c>
      <c r="D699" s="14">
        <v>16892.60519</v>
      </c>
      <c r="E699" s="14">
        <v>3.364403873</v>
      </c>
      <c r="F699" s="14">
        <v>1.750350901</v>
      </c>
      <c r="G699" s="51" t="s">
        <v>3782</v>
      </c>
      <c r="H699" s="51" t="s">
        <v>3783</v>
      </c>
      <c r="I699" s="14" t="s">
        <v>164</v>
      </c>
      <c r="J699" s="14">
        <v>113.3519537</v>
      </c>
      <c r="K699" s="14">
        <v>174.8711202</v>
      </c>
      <c r="L699" s="14">
        <v>139.3106044</v>
      </c>
      <c r="M699" s="14">
        <v>29.65665117</v>
      </c>
      <c r="N699" s="14">
        <v>30.83390727</v>
      </c>
      <c r="O699" s="14">
        <v>45.24888951</v>
      </c>
      <c r="P699" s="14" t="s">
        <v>3784</v>
      </c>
      <c r="Q699" s="14" t="s">
        <v>3785</v>
      </c>
      <c r="R699" s="14" t="s">
        <v>3786</v>
      </c>
      <c r="S699" s="14" t="s">
        <v>3787</v>
      </c>
      <c r="T699" s="14" t="s">
        <v>3788</v>
      </c>
      <c r="U699" s="14" t="s">
        <v>3789</v>
      </c>
    </row>
    <row r="700" spans="1:21">
      <c r="A700" s="14" t="s">
        <v>3790</v>
      </c>
      <c r="B700" s="14">
        <v>533.8165713</v>
      </c>
      <c r="C700" s="14">
        <v>747.0993644</v>
      </c>
      <c r="D700" s="14">
        <v>320.5337781</v>
      </c>
      <c r="E700" s="14">
        <v>0.429139385</v>
      </c>
      <c r="F700" s="14">
        <v>-1.220481781</v>
      </c>
      <c r="G700" s="14">
        <v>0.005079181</v>
      </c>
      <c r="H700" s="14">
        <v>0.015029145</v>
      </c>
      <c r="I700" s="14" t="s">
        <v>147</v>
      </c>
      <c r="J700" s="14">
        <v>3.052121399</v>
      </c>
      <c r="K700" s="14">
        <v>2.71758389</v>
      </c>
      <c r="L700" s="14">
        <v>2.999594713</v>
      </c>
      <c r="M700" s="14">
        <v>6.659788781</v>
      </c>
      <c r="N700" s="14">
        <v>7.189789315</v>
      </c>
      <c r="O700" s="14">
        <v>2.600283114</v>
      </c>
      <c r="P700" s="14" t="s">
        <v>3791</v>
      </c>
      <c r="Q700" s="14" t="s">
        <v>3792</v>
      </c>
      <c r="T700" s="14" t="s">
        <v>3793</v>
      </c>
      <c r="U700" s="14" t="s">
        <v>3794</v>
      </c>
    </row>
    <row r="701" spans="1:21">
      <c r="A701" s="14" t="s">
        <v>3795</v>
      </c>
      <c r="B701" s="14">
        <v>2131.781863</v>
      </c>
      <c r="C701" s="14">
        <v>1137.834607</v>
      </c>
      <c r="D701" s="14">
        <v>3125.729119</v>
      </c>
      <c r="E701" s="14">
        <v>2.747332489</v>
      </c>
      <c r="F701" s="14">
        <v>1.45803152</v>
      </c>
      <c r="G701" s="51" t="s">
        <v>3796</v>
      </c>
      <c r="H701" s="51" t="s">
        <v>3797</v>
      </c>
      <c r="I701" s="14" t="s">
        <v>164</v>
      </c>
      <c r="J701" s="14">
        <v>7.276674641</v>
      </c>
      <c r="K701" s="14">
        <v>8.954729326</v>
      </c>
      <c r="L701" s="14">
        <v>8.667404751</v>
      </c>
      <c r="M701" s="14">
        <v>2.454802938</v>
      </c>
      <c r="N701" s="14">
        <v>2.339981406</v>
      </c>
      <c r="O701" s="14">
        <v>2.674712857</v>
      </c>
      <c r="P701" s="14" t="s">
        <v>3798</v>
      </c>
      <c r="Q701" s="14" t="s">
        <v>3799</v>
      </c>
      <c r="T701" s="14" t="s">
        <v>3800</v>
      </c>
      <c r="U701" s="14" t="s">
        <v>3801</v>
      </c>
    </row>
    <row r="702" spans="1:21">
      <c r="A702" s="14" t="s">
        <v>3802</v>
      </c>
      <c r="B702" s="14">
        <v>21.20417561</v>
      </c>
      <c r="C702" s="14">
        <v>32.58745127</v>
      </c>
      <c r="D702" s="14">
        <v>9.820899955</v>
      </c>
      <c r="E702" s="14">
        <v>0.300925026</v>
      </c>
      <c r="F702" s="14">
        <v>-1.732524004</v>
      </c>
      <c r="G702" s="14">
        <v>0.008692857</v>
      </c>
      <c r="H702" s="14">
        <v>0.023955114</v>
      </c>
      <c r="I702" s="14" t="s">
        <v>147</v>
      </c>
      <c r="J702" s="14">
        <v>0.088421913</v>
      </c>
      <c r="K702" s="14">
        <v>0.066749472</v>
      </c>
      <c r="L702" s="14">
        <v>0.063852742</v>
      </c>
      <c r="M702" s="14">
        <v>0.220655516</v>
      </c>
      <c r="N702" s="14">
        <v>0.090725474</v>
      </c>
      <c r="O702" s="14">
        <v>0.29607176</v>
      </c>
      <c r="P702" s="14" t="s">
        <v>3803</v>
      </c>
      <c r="Q702" s="14" t="s">
        <v>3804</v>
      </c>
      <c r="T702" s="14" t="s">
        <v>3805</v>
      </c>
      <c r="U702" s="14" t="s">
        <v>3806</v>
      </c>
    </row>
    <row r="703" spans="1:17">
      <c r="A703" s="14" t="s">
        <v>3807</v>
      </c>
      <c r="B703" s="14">
        <v>7286.831869</v>
      </c>
      <c r="C703" s="14">
        <v>10339.15921</v>
      </c>
      <c r="D703" s="14">
        <v>4234.504531</v>
      </c>
      <c r="E703" s="14">
        <v>0.409567345</v>
      </c>
      <c r="F703" s="14">
        <v>-1.287827403</v>
      </c>
      <c r="G703" s="51" t="s">
        <v>3808</v>
      </c>
      <c r="H703" s="14">
        <v>0.000236674</v>
      </c>
      <c r="I703" s="14" t="s">
        <v>147</v>
      </c>
      <c r="J703" s="14">
        <v>29.46452342</v>
      </c>
      <c r="K703" s="14">
        <v>35.6138156</v>
      </c>
      <c r="L703" s="14">
        <v>30.45834928</v>
      </c>
      <c r="M703" s="14">
        <v>73.2566937</v>
      </c>
      <c r="N703" s="14">
        <v>75.83041361</v>
      </c>
      <c r="O703" s="14">
        <v>39.98270745</v>
      </c>
      <c r="P703" s="14" t="s">
        <v>3809</v>
      </c>
      <c r="Q703" s="14" t="s">
        <v>3810</v>
      </c>
    </row>
    <row r="704" spans="1:21">
      <c r="A704" s="14" t="s">
        <v>3811</v>
      </c>
      <c r="B704" s="14">
        <v>1760.904256</v>
      </c>
      <c r="C704" s="14">
        <v>1026.102139</v>
      </c>
      <c r="D704" s="14">
        <v>2495.706373</v>
      </c>
      <c r="E704" s="14">
        <v>2.431626223</v>
      </c>
      <c r="F704" s="14">
        <v>1.281921482</v>
      </c>
      <c r="G704" s="51" t="s">
        <v>3812</v>
      </c>
      <c r="H704" s="51" t="s">
        <v>3813</v>
      </c>
      <c r="I704" s="14" t="s">
        <v>164</v>
      </c>
      <c r="J704" s="14">
        <v>20.21358568</v>
      </c>
      <c r="K704" s="14">
        <v>15.94367208</v>
      </c>
      <c r="L704" s="14">
        <v>20.69985571</v>
      </c>
      <c r="M704" s="14">
        <v>5.574145018</v>
      </c>
      <c r="N704" s="14">
        <v>5.779496392</v>
      </c>
      <c r="O704" s="14">
        <v>8.032654112</v>
      </c>
      <c r="P704" s="14" t="s">
        <v>3814</v>
      </c>
      <c r="Q704" s="14" t="s">
        <v>3815</v>
      </c>
      <c r="T704" s="14" t="s">
        <v>3816</v>
      </c>
      <c r="U704" s="14" t="s">
        <v>3817</v>
      </c>
    </row>
    <row r="705" spans="1:21">
      <c r="A705" s="14" t="s">
        <v>3818</v>
      </c>
      <c r="B705" s="14">
        <v>122.851577</v>
      </c>
      <c r="C705" s="14">
        <v>57.69156965</v>
      </c>
      <c r="D705" s="14">
        <v>188.0115844</v>
      </c>
      <c r="E705" s="14">
        <v>3.248914366</v>
      </c>
      <c r="F705" s="14">
        <v>1.699957718</v>
      </c>
      <c r="G705" s="51" t="s">
        <v>3819</v>
      </c>
      <c r="H705" s="51" t="s">
        <v>3820</v>
      </c>
      <c r="I705" s="14" t="s">
        <v>164</v>
      </c>
      <c r="J705" s="14">
        <v>2.525240989</v>
      </c>
      <c r="K705" s="14">
        <v>2.320143723</v>
      </c>
      <c r="L705" s="14">
        <v>2.53117771</v>
      </c>
      <c r="M705" s="14">
        <v>0.531835768</v>
      </c>
      <c r="N705" s="14">
        <v>0.48897356</v>
      </c>
      <c r="O705" s="14">
        <v>0.867232002</v>
      </c>
      <c r="P705" s="14" t="s">
        <v>3821</v>
      </c>
      <c r="Q705" s="14" t="s">
        <v>3822</v>
      </c>
      <c r="R705" s="14" t="s">
        <v>3823</v>
      </c>
      <c r="S705" s="14" t="s">
        <v>3824</v>
      </c>
      <c r="T705" s="14" t="s">
        <v>3825</v>
      </c>
      <c r="U705" s="14" t="s">
        <v>3826</v>
      </c>
    </row>
    <row r="706" spans="1:21">
      <c r="A706" s="14" t="s">
        <v>3827</v>
      </c>
      <c r="B706" s="14">
        <v>790.4195308</v>
      </c>
      <c r="C706" s="14">
        <v>1312.450566</v>
      </c>
      <c r="D706" s="14">
        <v>268.3884954</v>
      </c>
      <c r="E706" s="14">
        <v>0.204454399</v>
      </c>
      <c r="F706" s="14">
        <v>-2.290148993</v>
      </c>
      <c r="G706" s="51" t="s">
        <v>3828</v>
      </c>
      <c r="H706" s="51" t="s">
        <v>3829</v>
      </c>
      <c r="I706" s="14" t="s">
        <v>147</v>
      </c>
      <c r="J706" s="14">
        <v>3.093997362</v>
      </c>
      <c r="K706" s="14">
        <v>5.776340123</v>
      </c>
      <c r="L706" s="14">
        <v>4.644761019</v>
      </c>
      <c r="M706" s="14">
        <v>14.08997672</v>
      </c>
      <c r="N706" s="14">
        <v>14.8284633</v>
      </c>
      <c r="O706" s="14">
        <v>26.40112404</v>
      </c>
      <c r="P706" s="14" t="s">
        <v>3830</v>
      </c>
      <c r="Q706" s="14" t="s">
        <v>3831</v>
      </c>
      <c r="T706" s="14" t="s">
        <v>3832</v>
      </c>
      <c r="U706" s="14" t="s">
        <v>3833</v>
      </c>
    </row>
    <row r="707" spans="1:21">
      <c r="A707" s="14" t="s">
        <v>3834</v>
      </c>
      <c r="B707" s="14">
        <v>14.54759538</v>
      </c>
      <c r="C707" s="14">
        <v>24.13955553</v>
      </c>
      <c r="D707" s="14">
        <v>4.95563524</v>
      </c>
      <c r="E707" s="14">
        <v>0.204759214</v>
      </c>
      <c r="F707" s="14">
        <v>-2.287999719</v>
      </c>
      <c r="G707" s="14">
        <v>0.005628273</v>
      </c>
      <c r="H707" s="14">
        <v>0.016422948</v>
      </c>
      <c r="I707" s="14" t="s">
        <v>147</v>
      </c>
      <c r="J707" s="14">
        <v>0.066670973</v>
      </c>
      <c r="K707" s="14">
        <v>0.029825034</v>
      </c>
      <c r="L707" s="14">
        <v>0.014265358</v>
      </c>
      <c r="M707" s="14">
        <v>0.15211555</v>
      </c>
      <c r="N707" s="14">
        <v>0.188501714</v>
      </c>
      <c r="O707" s="14">
        <v>0.099218203</v>
      </c>
      <c r="P707" s="14" t="s">
        <v>3835</v>
      </c>
      <c r="Q707" s="14" t="s">
        <v>3836</v>
      </c>
      <c r="T707" s="14" t="s">
        <v>3837</v>
      </c>
      <c r="U707" s="14" t="s">
        <v>3838</v>
      </c>
    </row>
    <row r="708" spans="1:21">
      <c r="A708" s="14" t="s">
        <v>3839</v>
      </c>
      <c r="B708" s="14">
        <v>2107.464192</v>
      </c>
      <c r="C708" s="14">
        <v>3117.390091</v>
      </c>
      <c r="D708" s="14">
        <v>1097.538292</v>
      </c>
      <c r="E708" s="14">
        <v>0.352117657</v>
      </c>
      <c r="F708" s="14">
        <v>-1.505870522</v>
      </c>
      <c r="G708" s="51" t="s">
        <v>3840</v>
      </c>
      <c r="H708" s="51" t="s">
        <v>3841</v>
      </c>
      <c r="I708" s="14" t="s">
        <v>147</v>
      </c>
      <c r="J708" s="14">
        <v>12.75226465</v>
      </c>
      <c r="K708" s="14">
        <v>10.31855</v>
      </c>
      <c r="L708" s="14">
        <v>12.94559462</v>
      </c>
      <c r="M708" s="14">
        <v>26.53595604</v>
      </c>
      <c r="N708" s="14">
        <v>27.3063664</v>
      </c>
      <c r="O708" s="14">
        <v>30.45703545</v>
      </c>
      <c r="P708" s="14" t="s">
        <v>3842</v>
      </c>
      <c r="Q708" s="14" t="s">
        <v>3843</v>
      </c>
      <c r="R708" s="14" t="s">
        <v>3844</v>
      </c>
      <c r="S708" s="14" t="s">
        <v>3845</v>
      </c>
      <c r="T708" s="14" t="s">
        <v>3846</v>
      </c>
      <c r="U708" s="14" t="s">
        <v>3847</v>
      </c>
    </row>
    <row r="709" spans="1:21">
      <c r="A709" s="14" t="s">
        <v>3848</v>
      </c>
      <c r="B709" s="14">
        <v>1834.755764</v>
      </c>
      <c r="C709" s="14">
        <v>968.7095627</v>
      </c>
      <c r="D709" s="14">
        <v>2700.801965</v>
      </c>
      <c r="E709" s="14">
        <v>2.788783934</v>
      </c>
      <c r="F709" s="14">
        <v>1.479636163</v>
      </c>
      <c r="G709" s="51" t="s">
        <v>3849</v>
      </c>
      <c r="H709" s="51" t="s">
        <v>3850</v>
      </c>
      <c r="I709" s="14" t="s">
        <v>164</v>
      </c>
      <c r="J709" s="14">
        <v>18.59425332</v>
      </c>
      <c r="K709" s="14">
        <v>17.25891929</v>
      </c>
      <c r="L709" s="14">
        <v>17.22857128</v>
      </c>
      <c r="M709" s="14">
        <v>5.547377124</v>
      </c>
      <c r="N709" s="14">
        <v>6.190412245</v>
      </c>
      <c r="O709" s="14">
        <v>3.748696644</v>
      </c>
      <c r="P709" s="14" t="s">
        <v>3851</v>
      </c>
      <c r="Q709" s="14" t="s">
        <v>3852</v>
      </c>
      <c r="T709" s="14" t="s">
        <v>3853</v>
      </c>
      <c r="U709" s="14" t="s">
        <v>3854</v>
      </c>
    </row>
    <row r="710" spans="1:21">
      <c r="A710" s="14" t="s">
        <v>3855</v>
      </c>
      <c r="B710" s="14">
        <v>104.842794</v>
      </c>
      <c r="C710" s="14">
        <v>200.9213075</v>
      </c>
      <c r="D710" s="14">
        <v>8.764280557</v>
      </c>
      <c r="E710" s="14">
        <v>0.043818535</v>
      </c>
      <c r="F710" s="14">
        <v>-4.512314935</v>
      </c>
      <c r="G710" s="51" t="s">
        <v>3856</v>
      </c>
      <c r="H710" s="51" t="s">
        <v>3857</v>
      </c>
      <c r="I710" s="14" t="s">
        <v>147</v>
      </c>
      <c r="J710" s="14">
        <v>0.244012966</v>
      </c>
      <c r="K710" s="14">
        <v>0.280692958</v>
      </c>
      <c r="L710" s="14">
        <v>0.402767566</v>
      </c>
      <c r="M710" s="14">
        <v>6.203635669</v>
      </c>
      <c r="N710" s="14">
        <v>6.066106779</v>
      </c>
      <c r="O710" s="14">
        <v>5.077397926</v>
      </c>
      <c r="P710" s="14" t="s">
        <v>3858</v>
      </c>
      <c r="Q710" s="14" t="s">
        <v>3859</v>
      </c>
      <c r="R710" s="14" t="s">
        <v>341</v>
      </c>
      <c r="S710" s="14" t="s">
        <v>342</v>
      </c>
      <c r="T710" s="14" t="s">
        <v>3860</v>
      </c>
      <c r="U710" s="14" t="s">
        <v>3861</v>
      </c>
    </row>
    <row r="711" spans="1:21">
      <c r="A711" s="14" t="s">
        <v>3862</v>
      </c>
      <c r="B711" s="14">
        <v>257.6098931</v>
      </c>
      <c r="C711" s="14">
        <v>405.2298409</v>
      </c>
      <c r="D711" s="14">
        <v>109.9899454</v>
      </c>
      <c r="E711" s="14">
        <v>0.271345637</v>
      </c>
      <c r="F711" s="14">
        <v>-1.881796385</v>
      </c>
      <c r="G711" s="51" t="s">
        <v>3863</v>
      </c>
      <c r="H711" s="51" t="s">
        <v>3864</v>
      </c>
      <c r="I711" s="14" t="s">
        <v>147</v>
      </c>
      <c r="J711" s="14">
        <v>2.070120324</v>
      </c>
      <c r="K711" s="14">
        <v>1.831584963</v>
      </c>
      <c r="L711" s="14">
        <v>1.655653721</v>
      </c>
      <c r="M711" s="14">
        <v>5.399254388</v>
      </c>
      <c r="N711" s="14">
        <v>6.015860412</v>
      </c>
      <c r="O711" s="14">
        <v>5.408314752</v>
      </c>
      <c r="P711" s="14" t="s">
        <v>3865</v>
      </c>
      <c r="Q711" s="14" t="s">
        <v>3866</v>
      </c>
      <c r="T711" s="14" t="s">
        <v>3867</v>
      </c>
      <c r="U711" s="14" t="s">
        <v>3868</v>
      </c>
    </row>
    <row r="712" spans="1:21">
      <c r="A712" s="14" t="s">
        <v>3869</v>
      </c>
      <c r="B712" s="14">
        <v>1424.99683</v>
      </c>
      <c r="C712" s="14">
        <v>834.6338678</v>
      </c>
      <c r="D712" s="14">
        <v>2015.359791</v>
      </c>
      <c r="E712" s="14">
        <v>2.413961156</v>
      </c>
      <c r="F712" s="14">
        <v>1.271402461</v>
      </c>
      <c r="G712" s="14">
        <v>0.000151199</v>
      </c>
      <c r="H712" s="14">
        <v>0.000683756</v>
      </c>
      <c r="I712" s="14" t="s">
        <v>164</v>
      </c>
      <c r="J712" s="14">
        <v>12.08760788</v>
      </c>
      <c r="K712" s="14">
        <v>10.80707895</v>
      </c>
      <c r="L712" s="14">
        <v>14.98515052</v>
      </c>
      <c r="M712" s="14">
        <v>2.97381564</v>
      </c>
      <c r="N712" s="14">
        <v>3.178501624</v>
      </c>
      <c r="O712" s="14">
        <v>7.043036732</v>
      </c>
      <c r="P712" s="14" t="s">
        <v>3870</v>
      </c>
      <c r="Q712" s="14" t="s">
        <v>3871</v>
      </c>
      <c r="T712" s="14" t="s">
        <v>3872</v>
      </c>
      <c r="U712" s="14" t="s">
        <v>3873</v>
      </c>
    </row>
    <row r="713" spans="1:21">
      <c r="A713" s="14" t="s">
        <v>3874</v>
      </c>
      <c r="B713" s="14">
        <v>7884.431784</v>
      </c>
      <c r="C713" s="14">
        <v>10693.69771</v>
      </c>
      <c r="D713" s="14">
        <v>5075.165859</v>
      </c>
      <c r="E713" s="14">
        <v>0.474606115</v>
      </c>
      <c r="F713" s="14">
        <v>-1.075197406</v>
      </c>
      <c r="G713" s="51" t="s">
        <v>3875</v>
      </c>
      <c r="H713" s="51" t="s">
        <v>3876</v>
      </c>
      <c r="I713" s="14" t="s">
        <v>147</v>
      </c>
      <c r="J713" s="14">
        <v>50.22566974</v>
      </c>
      <c r="K713" s="14">
        <v>59.09626526</v>
      </c>
      <c r="L713" s="14">
        <v>53.0817544</v>
      </c>
      <c r="M713" s="14">
        <v>102.8833623</v>
      </c>
      <c r="N713" s="14">
        <v>101.0555088</v>
      </c>
      <c r="O713" s="14">
        <v>75.22245357</v>
      </c>
      <c r="P713" s="14" t="s">
        <v>3877</v>
      </c>
      <c r="Q713" s="14" t="s">
        <v>3878</v>
      </c>
      <c r="T713" s="14" t="s">
        <v>3879</v>
      </c>
      <c r="U713" s="14" t="s">
        <v>3880</v>
      </c>
    </row>
    <row r="714" spans="1:21">
      <c r="A714" s="14" t="s">
        <v>3881</v>
      </c>
      <c r="B714" s="14">
        <v>1963.617663</v>
      </c>
      <c r="C714" s="14">
        <v>1009.223401</v>
      </c>
      <c r="D714" s="14">
        <v>2918.011924</v>
      </c>
      <c r="E714" s="14">
        <v>2.891948099</v>
      </c>
      <c r="F714" s="14">
        <v>1.532041661</v>
      </c>
      <c r="G714" s="51" t="s">
        <v>3882</v>
      </c>
      <c r="H714" s="51" t="s">
        <v>3883</v>
      </c>
      <c r="I714" s="14" t="s">
        <v>164</v>
      </c>
      <c r="J714" s="14">
        <v>84.07229396</v>
      </c>
      <c r="K714" s="14">
        <v>63.30522039</v>
      </c>
      <c r="L714" s="14">
        <v>69.75993155</v>
      </c>
      <c r="M714" s="14">
        <v>21.88223652</v>
      </c>
      <c r="N714" s="14">
        <v>25.2888893</v>
      </c>
      <c r="O714" s="14">
        <v>13.79979078</v>
      </c>
      <c r="P714" s="14" t="s">
        <v>3884</v>
      </c>
      <c r="Q714" s="14" t="s">
        <v>3885</v>
      </c>
      <c r="T714" s="14" t="s">
        <v>3886</v>
      </c>
      <c r="U714" s="14" t="s">
        <v>3887</v>
      </c>
    </row>
    <row r="715" spans="1:21">
      <c r="A715" s="14" t="s">
        <v>3888</v>
      </c>
      <c r="B715" s="14">
        <v>56.89262412</v>
      </c>
      <c r="C715" s="14">
        <v>1.680958055</v>
      </c>
      <c r="D715" s="14">
        <v>112.1042902</v>
      </c>
      <c r="E715" s="14">
        <v>66.81581548</v>
      </c>
      <c r="F715" s="14">
        <v>6.062117728</v>
      </c>
      <c r="G715" s="51" t="s">
        <v>3889</v>
      </c>
      <c r="H715" s="51" t="s">
        <v>3890</v>
      </c>
      <c r="I715" s="14" t="s">
        <v>164</v>
      </c>
      <c r="J715" s="14">
        <v>5.253269715</v>
      </c>
      <c r="K715" s="14">
        <v>0.996209383</v>
      </c>
      <c r="L715" s="14">
        <v>2.370224423</v>
      </c>
      <c r="M715" s="14">
        <v>0.043426761</v>
      </c>
      <c r="N715" s="14">
        <v>0.020831411</v>
      </c>
      <c r="O715" s="14">
        <v>0.042488015</v>
      </c>
      <c r="P715" s="14" t="s">
        <v>3891</v>
      </c>
      <c r="Q715" s="14" t="s">
        <v>3892</v>
      </c>
      <c r="T715" s="14" t="s">
        <v>3893</v>
      </c>
      <c r="U715" s="14" t="s">
        <v>3894</v>
      </c>
    </row>
    <row r="716" spans="1:15">
      <c r="A716" s="14" t="s">
        <v>3895</v>
      </c>
      <c r="B716" s="14">
        <v>98.88323049</v>
      </c>
      <c r="C716" s="14">
        <v>145.8320849</v>
      </c>
      <c r="D716" s="14">
        <v>51.93437605</v>
      </c>
      <c r="E716" s="14">
        <v>0.356464837</v>
      </c>
      <c r="F716" s="14">
        <v>-1.488168322</v>
      </c>
      <c r="G716" s="14">
        <v>0.002169744</v>
      </c>
      <c r="H716" s="14">
        <v>0.007195989</v>
      </c>
      <c r="I716" s="14" t="s">
        <v>147</v>
      </c>
      <c r="J716" s="14">
        <v>2.912888875</v>
      </c>
      <c r="K716" s="14">
        <v>1.46595483</v>
      </c>
      <c r="L716" s="14">
        <v>1.986643668</v>
      </c>
      <c r="M716" s="14">
        <v>6.819079171</v>
      </c>
      <c r="N716" s="14">
        <v>4.51637147</v>
      </c>
      <c r="O716" s="14">
        <v>3.115705045</v>
      </c>
    </row>
    <row r="717" spans="1:15">
      <c r="A717" s="14" t="s">
        <v>3896</v>
      </c>
      <c r="B717" s="14">
        <v>54.29176587</v>
      </c>
      <c r="C717" s="14">
        <v>82.11730566</v>
      </c>
      <c r="D717" s="14">
        <v>26.46622607</v>
      </c>
      <c r="E717" s="14">
        <v>0.321469071</v>
      </c>
      <c r="F717" s="14">
        <v>-1.637248156</v>
      </c>
      <c r="G717" s="14">
        <v>0.001641565</v>
      </c>
      <c r="H717" s="14">
        <v>0.005654844</v>
      </c>
      <c r="I717" s="14" t="s">
        <v>147</v>
      </c>
      <c r="J717" s="14">
        <v>0.588004359</v>
      </c>
      <c r="K717" s="14">
        <v>1.106490865</v>
      </c>
      <c r="L717" s="14">
        <v>0.344618927</v>
      </c>
      <c r="M717" s="14">
        <v>1.553027495</v>
      </c>
      <c r="N717" s="14">
        <v>1.636841543</v>
      </c>
      <c r="O717" s="14">
        <v>2.075876601</v>
      </c>
    </row>
    <row r="718" spans="1:15">
      <c r="A718" s="14" t="s">
        <v>3897</v>
      </c>
      <c r="B718" s="14">
        <v>1675.739493</v>
      </c>
      <c r="C718" s="14">
        <v>2642.498539</v>
      </c>
      <c r="D718" s="14">
        <v>708.9804464</v>
      </c>
      <c r="E718" s="14">
        <v>0.268262083</v>
      </c>
      <c r="F718" s="14">
        <v>-1.898284943</v>
      </c>
      <c r="G718" s="51" t="s">
        <v>3898</v>
      </c>
      <c r="H718" s="51" t="s">
        <v>3899</v>
      </c>
      <c r="I718" s="14" t="s">
        <v>147</v>
      </c>
      <c r="J718" s="14">
        <v>95.5955124</v>
      </c>
      <c r="K718" s="14">
        <v>113.6886224</v>
      </c>
      <c r="L718" s="14">
        <v>90.96597011</v>
      </c>
      <c r="M718" s="14">
        <v>249.8038871</v>
      </c>
      <c r="N718" s="14">
        <v>203.007778</v>
      </c>
      <c r="O718" s="14">
        <v>488.45638</v>
      </c>
    </row>
    <row r="719" spans="1:19">
      <c r="A719" s="14" t="s">
        <v>3900</v>
      </c>
      <c r="B719" s="14">
        <v>444.8665446</v>
      </c>
      <c r="C719" s="14">
        <v>255.0172881</v>
      </c>
      <c r="D719" s="14">
        <v>634.715801</v>
      </c>
      <c r="E719" s="14">
        <v>2.486921119</v>
      </c>
      <c r="F719" s="14">
        <v>1.314360748</v>
      </c>
      <c r="G719" s="51" t="s">
        <v>3901</v>
      </c>
      <c r="H719" s="51" t="s">
        <v>3902</v>
      </c>
      <c r="I719" s="14" t="s">
        <v>164</v>
      </c>
      <c r="J719" s="14">
        <v>20.54119187</v>
      </c>
      <c r="K719" s="14">
        <v>17.55620115</v>
      </c>
      <c r="L719" s="14">
        <v>18.64140406</v>
      </c>
      <c r="M719" s="14">
        <v>5.050268654</v>
      </c>
      <c r="N719" s="14">
        <v>6.734735162</v>
      </c>
      <c r="O719" s="14">
        <v>7.065770423</v>
      </c>
      <c r="R719" s="14" t="s">
        <v>3903</v>
      </c>
      <c r="S719" s="14" t="s">
        <v>3904</v>
      </c>
    </row>
    <row r="720" spans="1:21">
      <c r="A720" s="14" t="s">
        <v>3905</v>
      </c>
      <c r="B720" s="14">
        <v>1302.61481</v>
      </c>
      <c r="C720" s="14">
        <v>2070.461836</v>
      </c>
      <c r="D720" s="14">
        <v>534.7677841</v>
      </c>
      <c r="E720" s="14">
        <v>0.258319433</v>
      </c>
      <c r="F720" s="14">
        <v>-1.952771917</v>
      </c>
      <c r="G720" s="51" t="s">
        <v>3906</v>
      </c>
      <c r="H720" s="51" t="s">
        <v>3907</v>
      </c>
      <c r="I720" s="14" t="s">
        <v>147</v>
      </c>
      <c r="J720" s="14">
        <v>4.294872683</v>
      </c>
      <c r="K720" s="14">
        <v>2.309763294</v>
      </c>
      <c r="L720" s="14">
        <v>3.561804803</v>
      </c>
      <c r="M720" s="14">
        <v>11.41561813</v>
      </c>
      <c r="N720" s="14">
        <v>12.07903219</v>
      </c>
      <c r="O720" s="14">
        <v>8.570832288</v>
      </c>
      <c r="P720" s="14" t="s">
        <v>3908</v>
      </c>
      <c r="Q720" s="14" t="s">
        <v>3909</v>
      </c>
      <c r="T720" s="14" t="s">
        <v>3910</v>
      </c>
      <c r="U720" s="14" t="s">
        <v>3911</v>
      </c>
    </row>
    <row r="721" spans="1:21">
      <c r="A721" s="14" t="s">
        <v>3912</v>
      </c>
      <c r="B721" s="14">
        <v>168.0620995</v>
      </c>
      <c r="C721" s="14">
        <v>261.4000893</v>
      </c>
      <c r="D721" s="14">
        <v>74.72410971</v>
      </c>
      <c r="E721" s="14">
        <v>0.285811136</v>
      </c>
      <c r="F721" s="14">
        <v>-1.806865964</v>
      </c>
      <c r="G721" s="51" t="s">
        <v>3913</v>
      </c>
      <c r="H721" s="51" t="s">
        <v>2700</v>
      </c>
      <c r="I721" s="14" t="s">
        <v>147</v>
      </c>
      <c r="J721" s="14">
        <v>1.680609102</v>
      </c>
      <c r="K721" s="14">
        <v>3.659343379</v>
      </c>
      <c r="L721" s="14">
        <v>2.410748317</v>
      </c>
      <c r="M721" s="14">
        <v>7.864543363</v>
      </c>
      <c r="N721" s="14">
        <v>7.545095684</v>
      </c>
      <c r="O721" s="14">
        <v>6.833208586</v>
      </c>
      <c r="P721" s="14" t="s">
        <v>3914</v>
      </c>
      <c r="Q721" s="14" t="s">
        <v>3915</v>
      </c>
      <c r="R721" s="14" t="s">
        <v>1313</v>
      </c>
      <c r="S721" s="14" t="s">
        <v>1314</v>
      </c>
      <c r="T721" s="14" t="s">
        <v>3916</v>
      </c>
      <c r="U721" s="14" t="s">
        <v>3917</v>
      </c>
    </row>
    <row r="722" spans="1:21">
      <c r="A722" s="14" t="s">
        <v>3918</v>
      </c>
      <c r="B722" s="14">
        <v>109999.8959</v>
      </c>
      <c r="C722" s="14">
        <v>158055.0374</v>
      </c>
      <c r="D722" s="14">
        <v>61944.75442</v>
      </c>
      <c r="E722" s="14">
        <v>0.391919466</v>
      </c>
      <c r="F722" s="14">
        <v>-1.351370864</v>
      </c>
      <c r="G722" s="51" t="s">
        <v>3919</v>
      </c>
      <c r="H722" s="51" t="s">
        <v>3664</v>
      </c>
      <c r="I722" s="14" t="s">
        <v>147</v>
      </c>
      <c r="J722" s="14">
        <v>344.1383802</v>
      </c>
      <c r="K722" s="14">
        <v>468.9962908</v>
      </c>
      <c r="L722" s="14">
        <v>360.3518459</v>
      </c>
      <c r="M722" s="14">
        <v>946.0189944</v>
      </c>
      <c r="N722" s="14">
        <v>916.7465545</v>
      </c>
      <c r="O722" s="14">
        <v>571.1925314</v>
      </c>
      <c r="P722" s="14" t="s">
        <v>3920</v>
      </c>
      <c r="Q722" s="14" t="s">
        <v>3921</v>
      </c>
      <c r="R722" s="14" t="s">
        <v>3922</v>
      </c>
      <c r="S722" s="14" t="s">
        <v>3923</v>
      </c>
      <c r="T722" s="14" t="s">
        <v>3924</v>
      </c>
      <c r="U722" s="14" t="s">
        <v>3925</v>
      </c>
    </row>
    <row r="723" spans="1:21">
      <c r="A723" s="14" t="s">
        <v>3926</v>
      </c>
      <c r="B723" s="14">
        <v>2800.386965</v>
      </c>
      <c r="C723" s="14">
        <v>3795.658075</v>
      </c>
      <c r="D723" s="14">
        <v>1805.115855</v>
      </c>
      <c r="E723" s="14">
        <v>0.475504153</v>
      </c>
      <c r="F723" s="14">
        <v>-1.072470155</v>
      </c>
      <c r="G723" s="51" t="s">
        <v>3927</v>
      </c>
      <c r="H723" s="51" t="s">
        <v>3928</v>
      </c>
      <c r="I723" s="14" t="s">
        <v>147</v>
      </c>
      <c r="J723" s="14">
        <v>57.43913264</v>
      </c>
      <c r="K723" s="14">
        <v>53.34403237</v>
      </c>
      <c r="L723" s="14">
        <v>51.02905845</v>
      </c>
      <c r="M723" s="14">
        <v>86.78838122</v>
      </c>
      <c r="N723" s="14">
        <v>83.87073114</v>
      </c>
      <c r="O723" s="14">
        <v>111.1344839</v>
      </c>
      <c r="P723" s="14" t="s">
        <v>3929</v>
      </c>
      <c r="Q723" s="14" t="s">
        <v>3930</v>
      </c>
      <c r="T723" s="14" t="s">
        <v>3931</v>
      </c>
      <c r="U723" s="14" t="s">
        <v>3932</v>
      </c>
    </row>
    <row r="724" spans="1:15">
      <c r="A724" s="14" t="s">
        <v>3933</v>
      </c>
      <c r="B724" s="14">
        <v>3.186602209</v>
      </c>
      <c r="C724" s="14">
        <v>6.036929424</v>
      </c>
      <c r="D724" s="14">
        <v>0.336274994</v>
      </c>
      <c r="E724" s="14">
        <v>0.058169854</v>
      </c>
      <c r="F724" s="14">
        <v>-4.103584518</v>
      </c>
      <c r="G724" s="14">
        <v>0.016220863</v>
      </c>
      <c r="H724" s="14">
        <v>0.040783265</v>
      </c>
      <c r="I724" s="14" t="s">
        <v>147</v>
      </c>
      <c r="J724" s="14">
        <v>0</v>
      </c>
      <c r="K724" s="14">
        <v>0.052530815</v>
      </c>
      <c r="L724" s="14">
        <v>0</v>
      </c>
      <c r="M724" s="14">
        <v>0.223267527</v>
      </c>
      <c r="N724" s="14">
        <v>0.29987816</v>
      </c>
      <c r="O724" s="14">
        <v>0.262129447</v>
      </c>
    </row>
    <row r="725" spans="1:21">
      <c r="A725" s="14" t="s">
        <v>3934</v>
      </c>
      <c r="B725" s="14">
        <v>1216.568653</v>
      </c>
      <c r="C725" s="14">
        <v>1941.268949</v>
      </c>
      <c r="D725" s="14">
        <v>491.8683571</v>
      </c>
      <c r="E725" s="14">
        <v>0.253395289</v>
      </c>
      <c r="F725" s="14">
        <v>-1.980538395</v>
      </c>
      <c r="G725" s="14">
        <v>0.000411125</v>
      </c>
      <c r="H725" s="14">
        <v>0.001672385</v>
      </c>
      <c r="I725" s="14" t="s">
        <v>147</v>
      </c>
      <c r="J725" s="14">
        <v>6.536571216</v>
      </c>
      <c r="K725" s="14">
        <v>6.239416665</v>
      </c>
      <c r="L725" s="14">
        <v>7.360027679</v>
      </c>
      <c r="M725" s="14">
        <v>26.07980145</v>
      </c>
      <c r="N725" s="14">
        <v>31.17304872</v>
      </c>
      <c r="O725" s="14">
        <v>6.263130919</v>
      </c>
      <c r="P725" s="14" t="s">
        <v>3935</v>
      </c>
      <c r="Q725" s="14" t="s">
        <v>3936</v>
      </c>
      <c r="R725" s="14" t="s">
        <v>3937</v>
      </c>
      <c r="S725" s="14" t="s">
        <v>3938</v>
      </c>
      <c r="T725" s="14" t="s">
        <v>3939</v>
      </c>
      <c r="U725" s="14" t="s">
        <v>3940</v>
      </c>
    </row>
    <row r="726" spans="1:21">
      <c r="A726" s="14" t="s">
        <v>3941</v>
      </c>
      <c r="B726" s="14">
        <v>3344.206122</v>
      </c>
      <c r="C726" s="14">
        <v>4624.197379</v>
      </c>
      <c r="D726" s="14">
        <v>2064.214866</v>
      </c>
      <c r="E726" s="14">
        <v>0.446403923</v>
      </c>
      <c r="F726" s="14">
        <v>-1.16357839</v>
      </c>
      <c r="G726" s="51" t="s">
        <v>3942</v>
      </c>
      <c r="H726" s="51" t="s">
        <v>3943</v>
      </c>
      <c r="I726" s="14" t="s">
        <v>147</v>
      </c>
      <c r="J726" s="14">
        <v>52.91969339</v>
      </c>
      <c r="K726" s="14">
        <v>69.28002501</v>
      </c>
      <c r="L726" s="14">
        <v>59.90426381</v>
      </c>
      <c r="M726" s="14">
        <v>116.7599012</v>
      </c>
      <c r="N726" s="14">
        <v>106.4917483</v>
      </c>
      <c r="O726" s="14">
        <v>112.0892802</v>
      </c>
      <c r="P726" s="14" t="s">
        <v>3944</v>
      </c>
      <c r="Q726" s="14" t="s">
        <v>3945</v>
      </c>
      <c r="T726" s="14" t="s">
        <v>3946</v>
      </c>
      <c r="U726" s="14" t="s">
        <v>3947</v>
      </c>
    </row>
    <row r="727" spans="1:15">
      <c r="A727" s="14" t="s">
        <v>3948</v>
      </c>
      <c r="B727" s="14">
        <v>284.0048016</v>
      </c>
      <c r="C727" s="14">
        <v>421.7412544</v>
      </c>
      <c r="D727" s="14">
        <v>146.2683489</v>
      </c>
      <c r="E727" s="14">
        <v>0.346724324</v>
      </c>
      <c r="F727" s="14">
        <v>-1.528139044</v>
      </c>
      <c r="G727" s="51" t="s">
        <v>3949</v>
      </c>
      <c r="H727" s="51" t="s">
        <v>3950</v>
      </c>
      <c r="I727" s="14" t="s">
        <v>147</v>
      </c>
      <c r="J727" s="14">
        <v>1.150983361</v>
      </c>
      <c r="K727" s="14">
        <v>1.817645191</v>
      </c>
      <c r="L727" s="14">
        <v>1.423494212</v>
      </c>
      <c r="M727" s="14">
        <v>3.124114633</v>
      </c>
      <c r="N727" s="14">
        <v>3.754665984</v>
      </c>
      <c r="O727" s="14">
        <v>3.554937052</v>
      </c>
    </row>
    <row r="728" spans="1:21">
      <c r="A728" s="14" t="s">
        <v>3951</v>
      </c>
      <c r="B728" s="14">
        <v>1165.353849</v>
      </c>
      <c r="C728" s="14">
        <v>2031.708777</v>
      </c>
      <c r="D728" s="14">
        <v>298.9989218</v>
      </c>
      <c r="E728" s="14">
        <v>0.147191573</v>
      </c>
      <c r="F728" s="14">
        <v>-2.764233018</v>
      </c>
      <c r="G728" s="51" t="s">
        <v>3952</v>
      </c>
      <c r="H728" s="51" t="s">
        <v>3953</v>
      </c>
      <c r="I728" s="14" t="s">
        <v>147</v>
      </c>
      <c r="J728" s="14">
        <v>3.072197085</v>
      </c>
      <c r="K728" s="14">
        <v>3.155797682</v>
      </c>
      <c r="L728" s="14">
        <v>3.302495255</v>
      </c>
      <c r="M728" s="14">
        <v>19.58813996</v>
      </c>
      <c r="N728" s="14">
        <v>19.94975322</v>
      </c>
      <c r="O728" s="14">
        <v>13.14050737</v>
      </c>
      <c r="P728" s="14" t="s">
        <v>3954</v>
      </c>
      <c r="Q728" s="14" t="s">
        <v>3955</v>
      </c>
      <c r="T728" s="14" t="s">
        <v>2621</v>
      </c>
      <c r="U728" s="14" t="s">
        <v>2622</v>
      </c>
    </row>
    <row r="729" spans="1:17">
      <c r="A729" s="14" t="s">
        <v>3956</v>
      </c>
      <c r="B729" s="14">
        <v>13.46285804</v>
      </c>
      <c r="C729" s="14">
        <v>25.32427502</v>
      </c>
      <c r="D729" s="14">
        <v>1.601441061</v>
      </c>
      <c r="E729" s="14">
        <v>0.064012318</v>
      </c>
      <c r="F729" s="14">
        <v>-3.965506628</v>
      </c>
      <c r="G729" s="51" t="s">
        <v>3957</v>
      </c>
      <c r="H729" s="14">
        <v>0.000114786</v>
      </c>
      <c r="I729" s="14" t="s">
        <v>147</v>
      </c>
      <c r="J729" s="14">
        <v>0.036249707</v>
      </c>
      <c r="K729" s="14">
        <v>0</v>
      </c>
      <c r="L729" s="14">
        <v>0.052354515</v>
      </c>
      <c r="M729" s="14">
        <v>0.310150573</v>
      </c>
      <c r="N729" s="14">
        <v>0.386818451</v>
      </c>
      <c r="O729" s="14">
        <v>0.455169183</v>
      </c>
      <c r="P729" s="14" t="s">
        <v>3958</v>
      </c>
      <c r="Q729" s="14" t="s">
        <v>3959</v>
      </c>
    </row>
    <row r="730" spans="1:21">
      <c r="A730" s="14" t="s">
        <v>3960</v>
      </c>
      <c r="B730" s="14">
        <v>3370.436869</v>
      </c>
      <c r="C730" s="14">
        <v>4702.657811</v>
      </c>
      <c r="D730" s="14">
        <v>2038.215927</v>
      </c>
      <c r="E730" s="14">
        <v>0.433388268</v>
      </c>
      <c r="F730" s="14">
        <v>-1.206267994</v>
      </c>
      <c r="G730" s="51" t="s">
        <v>3961</v>
      </c>
      <c r="H730" s="14">
        <v>0.000148139</v>
      </c>
      <c r="I730" s="14" t="s">
        <v>147</v>
      </c>
      <c r="J730" s="14">
        <v>20.34244868</v>
      </c>
      <c r="K730" s="14">
        <v>21.05887722</v>
      </c>
      <c r="L730" s="14">
        <v>19.23661456</v>
      </c>
      <c r="M730" s="14">
        <v>31.5053757</v>
      </c>
      <c r="N730" s="14">
        <v>26.38595116</v>
      </c>
      <c r="O730" s="14">
        <v>59.55915664</v>
      </c>
      <c r="Q730" s="14" t="s">
        <v>3962</v>
      </c>
      <c r="T730" s="14" t="s">
        <v>3963</v>
      </c>
      <c r="U730" s="14" t="s">
        <v>3964</v>
      </c>
    </row>
    <row r="731" spans="1:21">
      <c r="A731" s="14" t="s">
        <v>3965</v>
      </c>
      <c r="B731" s="14">
        <v>1138.081797</v>
      </c>
      <c r="C731" s="14">
        <v>1808.744382</v>
      </c>
      <c r="D731" s="14">
        <v>467.4192112</v>
      </c>
      <c r="E731" s="14">
        <v>0.258381999</v>
      </c>
      <c r="F731" s="14">
        <v>-1.95242253</v>
      </c>
      <c r="G731" s="51" t="s">
        <v>3966</v>
      </c>
      <c r="H731" s="51" t="s">
        <v>3967</v>
      </c>
      <c r="I731" s="14" t="s">
        <v>147</v>
      </c>
      <c r="J731" s="14">
        <v>3.500903102</v>
      </c>
      <c r="K731" s="14">
        <v>3.656294473</v>
      </c>
      <c r="L731" s="14">
        <v>3.810841945</v>
      </c>
      <c r="M731" s="14">
        <v>9.045704435</v>
      </c>
      <c r="N731" s="14">
        <v>9.047026914</v>
      </c>
      <c r="O731" s="14">
        <v>17.46043659</v>
      </c>
      <c r="P731" s="14" t="s">
        <v>3968</v>
      </c>
      <c r="Q731" s="14" t="s">
        <v>3969</v>
      </c>
      <c r="T731" s="14" t="s">
        <v>3970</v>
      </c>
      <c r="U731" s="14" t="s">
        <v>3971</v>
      </c>
    </row>
    <row r="732" spans="1:21">
      <c r="A732" s="14" t="s">
        <v>3972</v>
      </c>
      <c r="B732" s="14">
        <v>1275.128341</v>
      </c>
      <c r="C732" s="14">
        <v>1796.879128</v>
      </c>
      <c r="D732" s="14">
        <v>753.377554</v>
      </c>
      <c r="E732" s="14">
        <v>0.419316378</v>
      </c>
      <c r="F732" s="14">
        <v>-1.253888913</v>
      </c>
      <c r="G732" s="14">
        <v>0.00081188</v>
      </c>
      <c r="H732" s="14">
        <v>0.003047843</v>
      </c>
      <c r="I732" s="14" t="s">
        <v>147</v>
      </c>
      <c r="J732" s="14">
        <v>7.524284881</v>
      </c>
      <c r="K732" s="14">
        <v>8.134411368</v>
      </c>
      <c r="L732" s="14">
        <v>7.890719135</v>
      </c>
      <c r="M732" s="14">
        <v>18.25350481</v>
      </c>
      <c r="N732" s="14">
        <v>18.8591532</v>
      </c>
      <c r="O732" s="14">
        <v>8.22529987</v>
      </c>
      <c r="P732" s="14" t="s">
        <v>3973</v>
      </c>
      <c r="Q732" s="14" t="s">
        <v>3974</v>
      </c>
      <c r="T732" s="14" t="s">
        <v>3975</v>
      </c>
      <c r="U732" s="14" t="s">
        <v>3976</v>
      </c>
    </row>
    <row r="733" spans="1:21">
      <c r="A733" s="14" t="s">
        <v>3977</v>
      </c>
      <c r="B733" s="14">
        <v>454.9615276</v>
      </c>
      <c r="C733" s="14">
        <v>184.6275529</v>
      </c>
      <c r="D733" s="14">
        <v>725.2955024</v>
      </c>
      <c r="E733" s="14">
        <v>3.924308533</v>
      </c>
      <c r="F733" s="14">
        <v>1.972438472</v>
      </c>
      <c r="G733" s="51" t="s">
        <v>3978</v>
      </c>
      <c r="H733" s="51" t="s">
        <v>3979</v>
      </c>
      <c r="I733" s="14" t="s">
        <v>164</v>
      </c>
      <c r="J733" s="14">
        <v>15.66139902</v>
      </c>
      <c r="K733" s="14">
        <v>10.65817601</v>
      </c>
      <c r="L733" s="14">
        <v>14.38441179</v>
      </c>
      <c r="M733" s="14">
        <v>1.520545817</v>
      </c>
      <c r="N733" s="14">
        <v>3.130305602</v>
      </c>
      <c r="O733" s="14">
        <v>4.013627331</v>
      </c>
      <c r="P733" s="14" t="s">
        <v>3980</v>
      </c>
      <c r="Q733" s="14" t="s">
        <v>3981</v>
      </c>
      <c r="T733" s="14" t="s">
        <v>3982</v>
      </c>
      <c r="U733" s="14" t="s">
        <v>3983</v>
      </c>
    </row>
    <row r="734" spans="1:21">
      <c r="A734" s="14" t="s">
        <v>3984</v>
      </c>
      <c r="B734" s="14">
        <v>2756.095113</v>
      </c>
      <c r="C734" s="14">
        <v>280.661002</v>
      </c>
      <c r="D734" s="14">
        <v>5231.529223</v>
      </c>
      <c r="E734" s="14">
        <v>18.64445964</v>
      </c>
      <c r="F734" s="14">
        <v>4.22067508</v>
      </c>
      <c r="G734" s="51" t="s">
        <v>3985</v>
      </c>
      <c r="H734" s="51" t="s">
        <v>3986</v>
      </c>
      <c r="I734" s="14" t="s">
        <v>164</v>
      </c>
      <c r="J734" s="14">
        <v>156.2292451</v>
      </c>
      <c r="K734" s="14">
        <v>69.17677959</v>
      </c>
      <c r="L734" s="14">
        <v>57.29173736</v>
      </c>
      <c r="M734" s="14">
        <v>4.604525426</v>
      </c>
      <c r="N734" s="14">
        <v>4.035917816</v>
      </c>
      <c r="O734" s="14">
        <v>3.801553442</v>
      </c>
      <c r="P734" s="14" t="s">
        <v>3987</v>
      </c>
      <c r="Q734" s="14" t="s">
        <v>3988</v>
      </c>
      <c r="R734" s="14" t="s">
        <v>480</v>
      </c>
      <c r="S734" s="14" t="s">
        <v>481</v>
      </c>
      <c r="T734" s="14" t="s">
        <v>1970</v>
      </c>
      <c r="U734" s="14" t="s">
        <v>1971</v>
      </c>
    </row>
    <row r="735" spans="1:21">
      <c r="A735" s="14" t="s">
        <v>3989</v>
      </c>
      <c r="B735" s="14">
        <v>18.77403994</v>
      </c>
      <c r="C735" s="14">
        <v>3.075735632</v>
      </c>
      <c r="D735" s="14">
        <v>34.47234425</v>
      </c>
      <c r="E735" s="14">
        <v>11.26864357</v>
      </c>
      <c r="F735" s="14">
        <v>3.494241961</v>
      </c>
      <c r="G735" s="14">
        <v>0.002450014</v>
      </c>
      <c r="H735" s="14">
        <v>0.007981363</v>
      </c>
      <c r="I735" s="14" t="s">
        <v>164</v>
      </c>
      <c r="J735" s="14">
        <v>4.214670377</v>
      </c>
      <c r="K735" s="14">
        <v>1.394693137</v>
      </c>
      <c r="L735" s="14">
        <v>0.389132205</v>
      </c>
      <c r="M735" s="14">
        <v>0.246989701</v>
      </c>
      <c r="N735" s="14">
        <v>0.047391459</v>
      </c>
      <c r="O735" s="14">
        <v>0.14499035</v>
      </c>
      <c r="P735" s="14" t="s">
        <v>3990</v>
      </c>
      <c r="Q735" s="14" t="s">
        <v>3991</v>
      </c>
      <c r="R735" s="14" t="s">
        <v>480</v>
      </c>
      <c r="S735" s="14" t="s">
        <v>481</v>
      </c>
      <c r="T735" s="14" t="s">
        <v>3992</v>
      </c>
      <c r="U735" s="14" t="s">
        <v>3993</v>
      </c>
    </row>
    <row r="736" spans="1:21">
      <c r="A736" s="14" t="s">
        <v>3994</v>
      </c>
      <c r="B736" s="14">
        <v>1433.11887</v>
      </c>
      <c r="C736" s="14">
        <v>902.2686926</v>
      </c>
      <c r="D736" s="14">
        <v>1963.969047</v>
      </c>
      <c r="E736" s="14">
        <v>2.17625962</v>
      </c>
      <c r="F736" s="14">
        <v>1.121850676</v>
      </c>
      <c r="G736" s="51" t="s">
        <v>3995</v>
      </c>
      <c r="H736" s="51" t="s">
        <v>3996</v>
      </c>
      <c r="I736" s="14" t="s">
        <v>164</v>
      </c>
      <c r="J736" s="14">
        <v>37.05526988</v>
      </c>
      <c r="K736" s="14">
        <v>41.76700082</v>
      </c>
      <c r="L736" s="14">
        <v>45.86390076</v>
      </c>
      <c r="M736" s="14">
        <v>14.57071218</v>
      </c>
      <c r="N736" s="14">
        <v>14.08203359</v>
      </c>
      <c r="O736" s="14">
        <v>18.74463304</v>
      </c>
      <c r="P736" s="14" t="s">
        <v>3997</v>
      </c>
      <c r="Q736" s="14" t="s">
        <v>3998</v>
      </c>
      <c r="T736" s="14" t="s">
        <v>3999</v>
      </c>
      <c r="U736" s="14" t="s">
        <v>4000</v>
      </c>
    </row>
    <row r="737" spans="1:21">
      <c r="A737" s="14" t="s">
        <v>4001</v>
      </c>
      <c r="B737" s="14">
        <v>52.74202702</v>
      </c>
      <c r="C737" s="14">
        <v>10.37233543</v>
      </c>
      <c r="D737" s="14">
        <v>95.11171861</v>
      </c>
      <c r="E737" s="14">
        <v>9.089570796</v>
      </c>
      <c r="F737" s="14">
        <v>3.184212173</v>
      </c>
      <c r="G737" s="14">
        <v>0.000995195</v>
      </c>
      <c r="H737" s="14">
        <v>0.003653651</v>
      </c>
      <c r="I737" s="14" t="s">
        <v>164</v>
      </c>
      <c r="J737" s="14">
        <v>1.831769583</v>
      </c>
      <c r="K737" s="14">
        <v>2.240232046</v>
      </c>
      <c r="L737" s="14">
        <v>1.593035894</v>
      </c>
      <c r="M737" s="14">
        <v>0.016852176</v>
      </c>
      <c r="N737" s="14">
        <v>0.064670648</v>
      </c>
      <c r="O737" s="14">
        <v>0.461660817</v>
      </c>
      <c r="P737" s="14" t="s">
        <v>4002</v>
      </c>
      <c r="Q737" s="14" t="s">
        <v>4003</v>
      </c>
      <c r="T737" s="14" t="s">
        <v>524</v>
      </c>
      <c r="U737" s="14" t="s">
        <v>525</v>
      </c>
    </row>
    <row r="738" spans="1:21">
      <c r="A738" s="14" t="s">
        <v>4004</v>
      </c>
      <c r="B738" s="14">
        <v>5099.252969</v>
      </c>
      <c r="C738" s="14">
        <v>8167.990256</v>
      </c>
      <c r="D738" s="14">
        <v>2030.515682</v>
      </c>
      <c r="E738" s="14">
        <v>0.24859281</v>
      </c>
      <c r="F738" s="14">
        <v>-2.008143523</v>
      </c>
      <c r="G738" s="51" t="s">
        <v>4005</v>
      </c>
      <c r="H738" s="51" t="s">
        <v>4006</v>
      </c>
      <c r="I738" s="14" t="s">
        <v>147</v>
      </c>
      <c r="J738" s="14">
        <v>21.37314344</v>
      </c>
      <c r="K738" s="14">
        <v>23.39757003</v>
      </c>
      <c r="L738" s="14">
        <v>19.51138216</v>
      </c>
      <c r="M738" s="14">
        <v>76.38722941</v>
      </c>
      <c r="N738" s="14">
        <v>72.52879084</v>
      </c>
      <c r="O738" s="14">
        <v>62.79959542</v>
      </c>
      <c r="P738" s="14" t="s">
        <v>4007</v>
      </c>
      <c r="Q738" s="14" t="s">
        <v>4008</v>
      </c>
      <c r="T738" s="14" t="s">
        <v>4009</v>
      </c>
      <c r="U738" s="14" t="s">
        <v>4010</v>
      </c>
    </row>
    <row r="739" spans="1:21">
      <c r="A739" s="14" t="s">
        <v>4011</v>
      </c>
      <c r="B739" s="14">
        <v>46.06869446</v>
      </c>
      <c r="C739" s="14">
        <v>88.58904909</v>
      </c>
      <c r="D739" s="14">
        <v>3.548339828</v>
      </c>
      <c r="E739" s="14">
        <v>0.040307986</v>
      </c>
      <c r="F739" s="14">
        <v>-4.63279049</v>
      </c>
      <c r="G739" s="51" t="s">
        <v>4012</v>
      </c>
      <c r="H739" s="51" t="s">
        <v>4013</v>
      </c>
      <c r="I739" s="14" t="s">
        <v>147</v>
      </c>
      <c r="J739" s="14">
        <v>0.047453598</v>
      </c>
      <c r="K739" s="14">
        <v>0.071645195</v>
      </c>
      <c r="L739" s="14">
        <v>0.13707201</v>
      </c>
      <c r="M739" s="14">
        <v>2.476663855</v>
      </c>
      <c r="N739" s="14">
        <v>1.967070156</v>
      </c>
      <c r="O739" s="14">
        <v>0.65543583</v>
      </c>
      <c r="P739" s="14" t="s">
        <v>4014</v>
      </c>
      <c r="Q739" s="14" t="s">
        <v>4015</v>
      </c>
      <c r="T739" s="14" t="s">
        <v>4016</v>
      </c>
      <c r="U739" s="14" t="s">
        <v>4017</v>
      </c>
    </row>
    <row r="740" spans="1:21">
      <c r="A740" s="14" t="s">
        <v>4018</v>
      </c>
      <c r="B740" s="14">
        <v>561.5454437</v>
      </c>
      <c r="C740" s="14">
        <v>751.6177842</v>
      </c>
      <c r="D740" s="14">
        <v>371.4731032</v>
      </c>
      <c r="E740" s="14">
        <v>0.494424469</v>
      </c>
      <c r="F740" s="14">
        <v>-1.016177951</v>
      </c>
      <c r="G740" s="51" t="s">
        <v>4019</v>
      </c>
      <c r="H740" s="14">
        <v>0.0003203</v>
      </c>
      <c r="I740" s="14" t="s">
        <v>147</v>
      </c>
      <c r="J740" s="14">
        <v>3.161196959</v>
      </c>
      <c r="K740" s="14">
        <v>2.618958525</v>
      </c>
      <c r="L740" s="14">
        <v>2.961493018</v>
      </c>
      <c r="M740" s="14">
        <v>5.369533956</v>
      </c>
      <c r="N740" s="14">
        <v>5.317194213</v>
      </c>
      <c r="O740" s="14">
        <v>3.712533184</v>
      </c>
      <c r="P740" s="14" t="s">
        <v>4020</v>
      </c>
      <c r="Q740" s="14" t="s">
        <v>4021</v>
      </c>
      <c r="T740" s="14" t="s">
        <v>4022</v>
      </c>
      <c r="U740" s="14" t="s">
        <v>4023</v>
      </c>
    </row>
    <row r="741" spans="1:21">
      <c r="A741" s="14" t="s">
        <v>4024</v>
      </c>
      <c r="B741" s="14">
        <v>661.4138802</v>
      </c>
      <c r="C741" s="14">
        <v>928.8866997</v>
      </c>
      <c r="D741" s="14">
        <v>393.9410608</v>
      </c>
      <c r="E741" s="14">
        <v>0.424024897</v>
      </c>
      <c r="F741" s="14">
        <v>-1.237779119</v>
      </c>
      <c r="G741" s="14">
        <v>0.0036566</v>
      </c>
      <c r="H741" s="14">
        <v>0.0113062</v>
      </c>
      <c r="I741" s="14" t="s">
        <v>147</v>
      </c>
      <c r="J741" s="14">
        <v>3.27516104</v>
      </c>
      <c r="K741" s="14">
        <v>9.269778627</v>
      </c>
      <c r="L741" s="14">
        <v>4.096837765</v>
      </c>
      <c r="M741" s="14">
        <v>10.72983139</v>
      </c>
      <c r="N741" s="14">
        <v>8.926827589</v>
      </c>
      <c r="O741" s="14">
        <v>12.9348967</v>
      </c>
      <c r="P741" s="14" t="s">
        <v>4025</v>
      </c>
      <c r="Q741" s="14" t="s">
        <v>4026</v>
      </c>
      <c r="R741" s="14" t="s">
        <v>907</v>
      </c>
      <c r="S741" s="14" t="s">
        <v>908</v>
      </c>
      <c r="T741" s="14" t="s">
        <v>4027</v>
      </c>
      <c r="U741" s="14" t="s">
        <v>4028</v>
      </c>
    </row>
    <row r="742" spans="1:21">
      <c r="A742" s="14" t="s">
        <v>4029</v>
      </c>
      <c r="B742" s="14">
        <v>6667.840632</v>
      </c>
      <c r="C742" s="14">
        <v>9673.185469</v>
      </c>
      <c r="D742" s="14">
        <v>3662.495794</v>
      </c>
      <c r="E742" s="14">
        <v>0.378633046</v>
      </c>
      <c r="F742" s="14">
        <v>-1.401127765</v>
      </c>
      <c r="G742" s="51" t="s">
        <v>4030</v>
      </c>
      <c r="H742" s="51" t="s">
        <v>4031</v>
      </c>
      <c r="I742" s="14" t="s">
        <v>147</v>
      </c>
      <c r="J742" s="14">
        <v>28.40859049</v>
      </c>
      <c r="K742" s="14">
        <v>28.98653267</v>
      </c>
      <c r="L742" s="14">
        <v>27.38263906</v>
      </c>
      <c r="M742" s="14">
        <v>64.70326182</v>
      </c>
      <c r="N742" s="14">
        <v>58.6299679</v>
      </c>
      <c r="O742" s="14">
        <v>60.58476782</v>
      </c>
      <c r="P742" s="14" t="s">
        <v>4032</v>
      </c>
      <c r="Q742" s="14" t="s">
        <v>4033</v>
      </c>
      <c r="T742" s="14" t="s">
        <v>4034</v>
      </c>
      <c r="U742" s="14" t="s">
        <v>4035</v>
      </c>
    </row>
    <row r="743" spans="1:21">
      <c r="A743" s="14" t="s">
        <v>4036</v>
      </c>
      <c r="B743" s="14">
        <v>32.56455076</v>
      </c>
      <c r="C743" s="14">
        <v>15.64700455</v>
      </c>
      <c r="D743" s="14">
        <v>49.48209697</v>
      </c>
      <c r="E743" s="14">
        <v>3.17845378</v>
      </c>
      <c r="F743" s="14">
        <v>1.668325109</v>
      </c>
      <c r="G743" s="14">
        <v>0.000175064</v>
      </c>
      <c r="H743" s="14">
        <v>0.000781755</v>
      </c>
      <c r="I743" s="14" t="s">
        <v>164</v>
      </c>
      <c r="J743" s="14">
        <v>2.305641038</v>
      </c>
      <c r="K743" s="14">
        <v>2.502711991</v>
      </c>
      <c r="L743" s="14">
        <v>1.958810449</v>
      </c>
      <c r="M743" s="14">
        <v>0.696245031</v>
      </c>
      <c r="N743" s="14">
        <v>0.593746177</v>
      </c>
      <c r="O743" s="14">
        <v>0.454129645</v>
      </c>
      <c r="P743" s="14" t="s">
        <v>4032</v>
      </c>
      <c r="Q743" s="14" t="s">
        <v>4033</v>
      </c>
      <c r="T743" s="14" t="s">
        <v>4034</v>
      </c>
      <c r="U743" s="14" t="s">
        <v>4035</v>
      </c>
    </row>
    <row r="744" spans="1:21">
      <c r="A744" s="14" t="s">
        <v>4037</v>
      </c>
      <c r="B744" s="14">
        <v>80.9645793</v>
      </c>
      <c r="C744" s="14">
        <v>124.0969417</v>
      </c>
      <c r="D744" s="14">
        <v>37.83221691</v>
      </c>
      <c r="E744" s="14">
        <v>0.304861175</v>
      </c>
      <c r="F744" s="14">
        <v>-1.713775664</v>
      </c>
      <c r="G744" s="14">
        <v>0.001444059</v>
      </c>
      <c r="H744" s="14">
        <v>0.005056619</v>
      </c>
      <c r="I744" s="14" t="s">
        <v>147</v>
      </c>
      <c r="J744" s="14">
        <v>1.16843583</v>
      </c>
      <c r="K744" s="14">
        <v>1.44746531</v>
      </c>
      <c r="L744" s="14">
        <v>0.807712254</v>
      </c>
      <c r="M744" s="14">
        <v>3.588693607</v>
      </c>
      <c r="N744" s="14">
        <v>3.959364289</v>
      </c>
      <c r="O744" s="14">
        <v>1.529844128</v>
      </c>
      <c r="P744" s="14" t="s">
        <v>4038</v>
      </c>
      <c r="Q744" s="14" t="s">
        <v>4039</v>
      </c>
      <c r="T744" s="14" t="s">
        <v>4040</v>
      </c>
      <c r="U744" s="14" t="s">
        <v>4041</v>
      </c>
    </row>
    <row r="745" spans="1:21">
      <c r="A745" s="14" t="s">
        <v>4042</v>
      </c>
      <c r="B745" s="14">
        <v>515.0363524</v>
      </c>
      <c r="C745" s="14">
        <v>172.0521693</v>
      </c>
      <c r="D745" s="14">
        <v>858.0205354</v>
      </c>
      <c r="E745" s="14">
        <v>4.991096812</v>
      </c>
      <c r="F745" s="14">
        <v>2.319356888</v>
      </c>
      <c r="G745" s="51" t="s">
        <v>4043</v>
      </c>
      <c r="H745" s="51" t="s">
        <v>4044</v>
      </c>
      <c r="I745" s="14" t="s">
        <v>164</v>
      </c>
      <c r="J745" s="14">
        <v>24.88306261</v>
      </c>
      <c r="K745" s="14">
        <v>20.84673368</v>
      </c>
      <c r="L745" s="14">
        <v>17.59316028</v>
      </c>
      <c r="M745" s="14">
        <v>4.383197517</v>
      </c>
      <c r="N745" s="14">
        <v>4.505526051</v>
      </c>
      <c r="O745" s="14">
        <v>1.30695527</v>
      </c>
      <c r="P745" s="14" t="s">
        <v>4045</v>
      </c>
      <c r="Q745" s="14" t="s">
        <v>4046</v>
      </c>
      <c r="T745" s="14" t="s">
        <v>4047</v>
      </c>
      <c r="U745" s="14" t="s">
        <v>4048</v>
      </c>
    </row>
    <row r="746" spans="1:21">
      <c r="A746" s="14" t="s">
        <v>4049</v>
      </c>
      <c r="B746" s="14">
        <v>630.4420884</v>
      </c>
      <c r="C746" s="14">
        <v>406.252547</v>
      </c>
      <c r="D746" s="14">
        <v>854.6316299</v>
      </c>
      <c r="E746" s="14">
        <v>2.104056007</v>
      </c>
      <c r="F746" s="14">
        <v>1.073173108</v>
      </c>
      <c r="G746" s="14">
        <v>0.013492955</v>
      </c>
      <c r="H746" s="14">
        <v>0.034853539</v>
      </c>
      <c r="I746" s="14" t="s">
        <v>164</v>
      </c>
      <c r="J746" s="14">
        <v>47.21457226</v>
      </c>
      <c r="K746" s="14">
        <v>83.4233117</v>
      </c>
      <c r="L746" s="14">
        <v>34.77483043</v>
      </c>
      <c r="M746" s="14">
        <v>22.72305253</v>
      </c>
      <c r="N746" s="14">
        <v>27.01313175</v>
      </c>
      <c r="O746" s="14">
        <v>14.33793464</v>
      </c>
      <c r="P746" s="14" t="s">
        <v>4050</v>
      </c>
      <c r="Q746" s="14" t="s">
        <v>4051</v>
      </c>
      <c r="R746" s="14" t="s">
        <v>4052</v>
      </c>
      <c r="S746" s="14" t="s">
        <v>4053</v>
      </c>
      <c r="T746" s="14" t="s">
        <v>4054</v>
      </c>
      <c r="U746" s="14" t="s">
        <v>4055</v>
      </c>
    </row>
    <row r="747" spans="1:21">
      <c r="A747" s="14" t="s">
        <v>4056</v>
      </c>
      <c r="B747" s="14">
        <v>3.700094103</v>
      </c>
      <c r="C747" s="14">
        <v>0</v>
      </c>
      <c r="D747" s="14">
        <v>7.400188206</v>
      </c>
      <c r="E747" s="14">
        <v>39.95944112</v>
      </c>
      <c r="F747" s="14">
        <v>5.3204645</v>
      </c>
      <c r="G747" s="14">
        <v>0.006444992</v>
      </c>
      <c r="H747" s="14">
        <v>0.018439551</v>
      </c>
      <c r="I747" s="14" t="s">
        <v>164</v>
      </c>
      <c r="J747" s="14">
        <v>0.200818124</v>
      </c>
      <c r="K747" s="14">
        <v>0.13475296</v>
      </c>
      <c r="L747" s="14">
        <v>0.418941505</v>
      </c>
      <c r="M747" s="14">
        <v>0</v>
      </c>
      <c r="N747" s="14">
        <v>0</v>
      </c>
      <c r="O747" s="14">
        <v>0</v>
      </c>
      <c r="P747" s="14" t="s">
        <v>4057</v>
      </c>
      <c r="Q747" s="14" t="s">
        <v>4058</v>
      </c>
      <c r="T747" s="14" t="s">
        <v>1440</v>
      </c>
      <c r="U747" s="14" t="s">
        <v>1441</v>
      </c>
    </row>
    <row r="748" spans="1:15">
      <c r="A748" s="14" t="s">
        <v>4059</v>
      </c>
      <c r="B748" s="14">
        <v>2657.406083</v>
      </c>
      <c r="C748" s="14">
        <v>3778.594077</v>
      </c>
      <c r="D748" s="14">
        <v>1536.218089</v>
      </c>
      <c r="E748" s="14">
        <v>0.406574756</v>
      </c>
      <c r="F748" s="14">
        <v>-1.298407454</v>
      </c>
      <c r="G748" s="14">
        <v>0.002678302</v>
      </c>
      <c r="H748" s="14">
        <v>0.008617882</v>
      </c>
      <c r="I748" s="14" t="s">
        <v>147</v>
      </c>
      <c r="J748" s="14">
        <v>16.01467874</v>
      </c>
      <c r="K748" s="14">
        <v>17.33659189</v>
      </c>
      <c r="L748" s="14">
        <v>15.1285968</v>
      </c>
      <c r="M748" s="14">
        <v>40.86536603</v>
      </c>
      <c r="N748" s="14">
        <v>40.63469947</v>
      </c>
      <c r="O748" s="14">
        <v>14.43575857</v>
      </c>
    </row>
    <row r="749" spans="1:21">
      <c r="A749" s="14" t="s">
        <v>4060</v>
      </c>
      <c r="B749" s="14">
        <v>6751.171144</v>
      </c>
      <c r="C749" s="14">
        <v>3445.609186</v>
      </c>
      <c r="D749" s="14">
        <v>10056.7331</v>
      </c>
      <c r="E749" s="14">
        <v>2.918964079</v>
      </c>
      <c r="F749" s="14">
        <v>1.545456457</v>
      </c>
      <c r="G749" s="51" t="s">
        <v>4061</v>
      </c>
      <c r="H749" s="51" t="s">
        <v>4062</v>
      </c>
      <c r="I749" s="14" t="s">
        <v>164</v>
      </c>
      <c r="J749" s="14">
        <v>198.6741784</v>
      </c>
      <c r="K749" s="14">
        <v>223.5644506</v>
      </c>
      <c r="L749" s="14">
        <v>203.2602797</v>
      </c>
      <c r="M749" s="14">
        <v>58.58324742</v>
      </c>
      <c r="N749" s="14">
        <v>65.05663441</v>
      </c>
      <c r="O749" s="14">
        <v>51.83109452</v>
      </c>
      <c r="P749" s="14" t="s">
        <v>4063</v>
      </c>
      <c r="Q749" s="14" t="s">
        <v>4064</v>
      </c>
      <c r="R749" s="14" t="s">
        <v>341</v>
      </c>
      <c r="S749" s="14" t="s">
        <v>342</v>
      </c>
      <c r="T749" s="14" t="s">
        <v>4065</v>
      </c>
      <c r="U749" s="14" t="s">
        <v>4066</v>
      </c>
    </row>
    <row r="750" spans="1:21">
      <c r="A750" s="14" t="s">
        <v>4067</v>
      </c>
      <c r="B750" s="14">
        <v>1809.303945</v>
      </c>
      <c r="C750" s="14">
        <v>456.7600496</v>
      </c>
      <c r="D750" s="14">
        <v>3161.84784</v>
      </c>
      <c r="E750" s="14">
        <v>6.920236432</v>
      </c>
      <c r="F750" s="14">
        <v>2.790821329</v>
      </c>
      <c r="G750" s="14">
        <v>0.000230453</v>
      </c>
      <c r="H750" s="14">
        <v>0.000995166</v>
      </c>
      <c r="I750" s="14" t="s">
        <v>164</v>
      </c>
      <c r="J750" s="14">
        <v>39.89144593</v>
      </c>
      <c r="K750" s="14">
        <v>36.99529483</v>
      </c>
      <c r="L750" s="14">
        <v>40.00740244</v>
      </c>
      <c r="M750" s="14">
        <v>1.367742177</v>
      </c>
      <c r="N750" s="14">
        <v>1.282136175</v>
      </c>
      <c r="O750" s="14">
        <v>12.0946596</v>
      </c>
      <c r="P750" s="14" t="s">
        <v>4068</v>
      </c>
      <c r="Q750" s="14" t="s">
        <v>4069</v>
      </c>
      <c r="R750" s="14" t="s">
        <v>1036</v>
      </c>
      <c r="S750" s="14" t="s">
        <v>1037</v>
      </c>
      <c r="T750" s="14" t="s">
        <v>1038</v>
      </c>
      <c r="U750" s="14" t="s">
        <v>1039</v>
      </c>
    </row>
    <row r="751" spans="1:21">
      <c r="A751" s="14" t="s">
        <v>4070</v>
      </c>
      <c r="B751" s="14">
        <v>1495.906658</v>
      </c>
      <c r="C751" s="14">
        <v>565.4606368</v>
      </c>
      <c r="D751" s="14">
        <v>2426.352679</v>
      </c>
      <c r="E751" s="14">
        <v>4.292880623</v>
      </c>
      <c r="F751" s="14">
        <v>2.101946055</v>
      </c>
      <c r="G751" s="51" t="s">
        <v>4071</v>
      </c>
      <c r="H751" s="51" t="s">
        <v>4072</v>
      </c>
      <c r="I751" s="14" t="s">
        <v>164</v>
      </c>
      <c r="J751" s="14">
        <v>6.08354263</v>
      </c>
      <c r="K751" s="14">
        <v>5.086243869</v>
      </c>
      <c r="L751" s="14">
        <v>5.622178365</v>
      </c>
      <c r="M751" s="14">
        <v>1.04570036</v>
      </c>
      <c r="N751" s="14">
        <v>1.125112542</v>
      </c>
      <c r="O751" s="14">
        <v>1.042218988</v>
      </c>
      <c r="P751" s="14" t="s">
        <v>4073</v>
      </c>
      <c r="Q751" s="14" t="s">
        <v>4074</v>
      </c>
      <c r="T751" s="14" t="s">
        <v>4075</v>
      </c>
      <c r="U751" s="14" t="s">
        <v>4076</v>
      </c>
    </row>
    <row r="752" spans="1:21">
      <c r="A752" s="14" t="s">
        <v>4077</v>
      </c>
      <c r="B752" s="14">
        <v>139.0482022</v>
      </c>
      <c r="C752" s="14">
        <v>77.75123574</v>
      </c>
      <c r="D752" s="14">
        <v>200.3451687</v>
      </c>
      <c r="E752" s="14">
        <v>2.577546194</v>
      </c>
      <c r="F752" s="14">
        <v>1.365998283</v>
      </c>
      <c r="G752" s="51" t="s">
        <v>4078</v>
      </c>
      <c r="H752" s="51" t="s">
        <v>4079</v>
      </c>
      <c r="I752" s="14" t="s">
        <v>164</v>
      </c>
      <c r="J752" s="14">
        <v>2.49679747</v>
      </c>
      <c r="K752" s="14">
        <v>3.090646235</v>
      </c>
      <c r="L752" s="14">
        <v>3.837504906</v>
      </c>
      <c r="M752" s="14">
        <v>0.90226568</v>
      </c>
      <c r="N752" s="14">
        <v>1.043832028</v>
      </c>
      <c r="O752" s="14">
        <v>1.064506657</v>
      </c>
      <c r="P752" s="14" t="s">
        <v>4080</v>
      </c>
      <c r="Q752" s="14" t="s">
        <v>4081</v>
      </c>
      <c r="T752" s="14" t="s">
        <v>4082</v>
      </c>
      <c r="U752" s="14" t="s">
        <v>4083</v>
      </c>
    </row>
    <row r="753" spans="1:21">
      <c r="A753" s="14" t="s">
        <v>4084</v>
      </c>
      <c r="B753" s="14">
        <v>33.1045405</v>
      </c>
      <c r="C753" s="14">
        <v>2.683940359</v>
      </c>
      <c r="D753" s="14">
        <v>63.52514065</v>
      </c>
      <c r="E753" s="14">
        <v>23.68572359</v>
      </c>
      <c r="F753" s="14">
        <v>4.565945841</v>
      </c>
      <c r="G753" s="51" t="s">
        <v>4085</v>
      </c>
      <c r="H753" s="51" t="s">
        <v>4086</v>
      </c>
      <c r="I753" s="14" t="s">
        <v>164</v>
      </c>
      <c r="J753" s="14">
        <v>9.944820971</v>
      </c>
      <c r="K753" s="14">
        <v>8.141270942</v>
      </c>
      <c r="L753" s="14">
        <v>7.404949146</v>
      </c>
      <c r="M753" s="14">
        <v>0.45379926</v>
      </c>
      <c r="N753" s="14">
        <v>0</v>
      </c>
      <c r="O753" s="14">
        <v>0.443989589</v>
      </c>
      <c r="P753" s="14" t="s">
        <v>4087</v>
      </c>
      <c r="Q753" s="14" t="s">
        <v>4088</v>
      </c>
      <c r="R753" s="14" t="s">
        <v>771</v>
      </c>
      <c r="S753" s="14" t="s">
        <v>772</v>
      </c>
      <c r="T753" s="14" t="s">
        <v>4089</v>
      </c>
      <c r="U753" s="14" t="s">
        <v>4090</v>
      </c>
    </row>
    <row r="754" spans="1:21">
      <c r="A754" s="14" t="s">
        <v>4091</v>
      </c>
      <c r="B754" s="14">
        <v>12739.94678</v>
      </c>
      <c r="C754" s="14">
        <v>19368.67338</v>
      </c>
      <c r="D754" s="14">
        <v>6111.220184</v>
      </c>
      <c r="E754" s="14">
        <v>0.315506242</v>
      </c>
      <c r="F754" s="14">
        <v>-1.664259549</v>
      </c>
      <c r="G754" s="51" t="s">
        <v>4092</v>
      </c>
      <c r="H754" s="51" t="s">
        <v>4093</v>
      </c>
      <c r="I754" s="14" t="s">
        <v>147</v>
      </c>
      <c r="J754" s="14">
        <v>128.3425338</v>
      </c>
      <c r="K754" s="14">
        <v>133.2337259</v>
      </c>
      <c r="L754" s="14">
        <v>120.4528627</v>
      </c>
      <c r="M754" s="14">
        <v>313.526003</v>
      </c>
      <c r="N754" s="14">
        <v>303.6895558</v>
      </c>
      <c r="O754" s="14">
        <v>384.4167403</v>
      </c>
      <c r="P754" s="14" t="s">
        <v>4094</v>
      </c>
      <c r="Q754" s="14" t="s">
        <v>4095</v>
      </c>
      <c r="T754" s="14" t="s">
        <v>4096</v>
      </c>
      <c r="U754" s="14" t="s">
        <v>4097</v>
      </c>
    </row>
    <row r="755" spans="1:21">
      <c r="A755" s="14" t="s">
        <v>4098</v>
      </c>
      <c r="B755" s="14">
        <v>95.63042397</v>
      </c>
      <c r="C755" s="14">
        <v>55.48677865</v>
      </c>
      <c r="D755" s="14">
        <v>135.7740693</v>
      </c>
      <c r="E755" s="14">
        <v>2.448757898</v>
      </c>
      <c r="F755" s="14">
        <v>1.292050146</v>
      </c>
      <c r="G755" s="51" t="s">
        <v>4099</v>
      </c>
      <c r="H755" s="51" t="s">
        <v>4100</v>
      </c>
      <c r="I755" s="14" t="s">
        <v>164</v>
      </c>
      <c r="J755" s="14">
        <v>1.853017162</v>
      </c>
      <c r="K755" s="14">
        <v>2.017089628</v>
      </c>
      <c r="L755" s="14">
        <v>1.770960409</v>
      </c>
      <c r="M755" s="14">
        <v>0.598940851</v>
      </c>
      <c r="N755" s="14">
        <v>0.676014871</v>
      </c>
      <c r="O755" s="14">
        <v>0.620463906</v>
      </c>
      <c r="P755" s="14" t="s">
        <v>4101</v>
      </c>
      <c r="Q755" s="14" t="s">
        <v>4102</v>
      </c>
      <c r="T755" s="14" t="s">
        <v>4103</v>
      </c>
      <c r="U755" s="14" t="s">
        <v>4104</v>
      </c>
    </row>
    <row r="756" spans="1:21">
      <c r="A756" s="14" t="s">
        <v>4105</v>
      </c>
      <c r="B756" s="14">
        <v>11.73572425</v>
      </c>
      <c r="C756" s="14">
        <v>19.16540647</v>
      </c>
      <c r="D756" s="14">
        <v>4.306042032</v>
      </c>
      <c r="E756" s="14">
        <v>0.224059875</v>
      </c>
      <c r="F756" s="14">
        <v>-2.15804378</v>
      </c>
      <c r="G756" s="14">
        <v>0.014168675</v>
      </c>
      <c r="H756" s="14">
        <v>0.036325074</v>
      </c>
      <c r="I756" s="14" t="s">
        <v>147</v>
      </c>
      <c r="J756" s="14">
        <v>0.03031217</v>
      </c>
      <c r="K756" s="14">
        <v>0.053392682</v>
      </c>
      <c r="L756" s="14">
        <v>0.014593028</v>
      </c>
      <c r="M756" s="14">
        <v>0.136158392</v>
      </c>
      <c r="N756" s="14">
        <v>0.1555093</v>
      </c>
      <c r="O756" s="14">
        <v>0.063435756</v>
      </c>
      <c r="P756" s="14" t="s">
        <v>4106</v>
      </c>
      <c r="Q756" s="14" t="s">
        <v>4107</v>
      </c>
      <c r="T756" s="14" t="s">
        <v>4108</v>
      </c>
      <c r="U756" s="14" t="s">
        <v>4109</v>
      </c>
    </row>
    <row r="757" spans="1:21">
      <c r="A757" s="14" t="s">
        <v>4110</v>
      </c>
      <c r="B757" s="14">
        <v>1386.031899</v>
      </c>
      <c r="C757" s="14">
        <v>519.4218235</v>
      </c>
      <c r="D757" s="14">
        <v>2252.641974</v>
      </c>
      <c r="E757" s="14">
        <v>4.336029141</v>
      </c>
      <c r="F757" s="14">
        <v>2.116374453</v>
      </c>
      <c r="G757" s="51" t="s">
        <v>4111</v>
      </c>
      <c r="H757" s="51" t="s">
        <v>4112</v>
      </c>
      <c r="I757" s="14" t="s">
        <v>164</v>
      </c>
      <c r="J757" s="14">
        <v>31.41419021</v>
      </c>
      <c r="K757" s="14">
        <v>29.46743166</v>
      </c>
      <c r="L757" s="14">
        <v>30.28573231</v>
      </c>
      <c r="M757" s="14">
        <v>4.172863614</v>
      </c>
      <c r="N757" s="14">
        <v>7.271869806</v>
      </c>
      <c r="O757" s="14">
        <v>5.88350428</v>
      </c>
      <c r="P757" s="14" t="s">
        <v>4113</v>
      </c>
      <c r="Q757" s="14" t="s">
        <v>4114</v>
      </c>
      <c r="R757" s="14" t="s">
        <v>341</v>
      </c>
      <c r="S757" s="14" t="s">
        <v>342</v>
      </c>
      <c r="T757" s="14" t="s">
        <v>4115</v>
      </c>
      <c r="U757" s="14" t="s">
        <v>4116</v>
      </c>
    </row>
    <row r="758" spans="1:15">
      <c r="A758" s="14" t="s">
        <v>4117</v>
      </c>
      <c r="B758" s="14">
        <v>246.287853</v>
      </c>
      <c r="C758" s="14">
        <v>92.93184238</v>
      </c>
      <c r="D758" s="14">
        <v>399.6438637</v>
      </c>
      <c r="E758" s="14">
        <v>4.309463275</v>
      </c>
      <c r="F758" s="14">
        <v>2.107508199</v>
      </c>
      <c r="G758" s="51" t="s">
        <v>4118</v>
      </c>
      <c r="H758" s="51" t="s">
        <v>4119</v>
      </c>
      <c r="I758" s="14" t="s">
        <v>164</v>
      </c>
      <c r="J758" s="14">
        <v>23.48653275</v>
      </c>
      <c r="K758" s="14">
        <v>25.34148314</v>
      </c>
      <c r="L758" s="14">
        <v>24.24173739</v>
      </c>
      <c r="M758" s="14">
        <v>6.043983281</v>
      </c>
      <c r="N758" s="14">
        <v>3.419619017</v>
      </c>
      <c r="O758" s="14">
        <v>4.447634274</v>
      </c>
    </row>
    <row r="759" spans="1:21">
      <c r="A759" s="14" t="s">
        <v>4120</v>
      </c>
      <c r="B759" s="14">
        <v>75.83264094</v>
      </c>
      <c r="C759" s="14">
        <v>32.30632507</v>
      </c>
      <c r="D759" s="14">
        <v>119.3589568</v>
      </c>
      <c r="E759" s="14">
        <v>3.691090196</v>
      </c>
      <c r="F759" s="14">
        <v>1.884046992</v>
      </c>
      <c r="G759" s="14">
        <v>0.000344708</v>
      </c>
      <c r="H759" s="14">
        <v>0.001431971</v>
      </c>
      <c r="I759" s="14" t="s">
        <v>164</v>
      </c>
      <c r="J759" s="14">
        <v>2.360637539</v>
      </c>
      <c r="K759" s="14">
        <v>0.829143214</v>
      </c>
      <c r="L759" s="14">
        <v>1.254851478</v>
      </c>
      <c r="M759" s="14">
        <v>0.326105302</v>
      </c>
      <c r="N759" s="14">
        <v>0.232121433</v>
      </c>
      <c r="O759" s="14">
        <v>0.442561495</v>
      </c>
      <c r="P759" s="14" t="s">
        <v>4121</v>
      </c>
      <c r="Q759" s="14" t="s">
        <v>4122</v>
      </c>
      <c r="T759" s="14" t="s">
        <v>4123</v>
      </c>
      <c r="U759" s="14" t="s">
        <v>4124</v>
      </c>
    </row>
    <row r="760" spans="1:21">
      <c r="A760" s="14" t="s">
        <v>4125</v>
      </c>
      <c r="B760" s="14">
        <v>5.180878607</v>
      </c>
      <c r="C760" s="14">
        <v>0</v>
      </c>
      <c r="D760" s="14">
        <v>10.36175721</v>
      </c>
      <c r="E760" s="14">
        <v>55.9180929</v>
      </c>
      <c r="F760" s="14">
        <v>5.805243253</v>
      </c>
      <c r="G760" s="14">
        <v>0.002381937</v>
      </c>
      <c r="H760" s="14">
        <v>0.0077938</v>
      </c>
      <c r="I760" s="14" t="s">
        <v>164</v>
      </c>
      <c r="J760" s="14">
        <v>1.539605617</v>
      </c>
      <c r="K760" s="14">
        <v>0.309931808</v>
      </c>
      <c r="L760" s="14">
        <v>1.383581175</v>
      </c>
      <c r="M760" s="14">
        <v>0</v>
      </c>
      <c r="N760" s="14">
        <v>0</v>
      </c>
      <c r="O760" s="14">
        <v>0</v>
      </c>
      <c r="P760" s="14" t="s">
        <v>4126</v>
      </c>
      <c r="Q760" s="14" t="s">
        <v>4127</v>
      </c>
      <c r="T760" s="14" t="s">
        <v>4128</v>
      </c>
      <c r="U760" s="14" t="s">
        <v>4129</v>
      </c>
    </row>
    <row r="761" spans="1:21">
      <c r="A761" s="14" t="s">
        <v>4130</v>
      </c>
      <c r="B761" s="14">
        <v>455.8189959</v>
      </c>
      <c r="C761" s="14">
        <v>95.24109669</v>
      </c>
      <c r="D761" s="14">
        <v>816.3968951</v>
      </c>
      <c r="E761" s="14">
        <v>8.586124156</v>
      </c>
      <c r="F761" s="14">
        <v>3.102007034</v>
      </c>
      <c r="G761" s="51" t="s">
        <v>4131</v>
      </c>
      <c r="H761" s="51" t="s">
        <v>4132</v>
      </c>
      <c r="I761" s="14" t="s">
        <v>164</v>
      </c>
      <c r="J761" s="14">
        <v>11.11701435</v>
      </c>
      <c r="K761" s="14">
        <v>10.51630687</v>
      </c>
      <c r="L761" s="14">
        <v>17.86557712</v>
      </c>
      <c r="M761" s="14">
        <v>1.349074783</v>
      </c>
      <c r="N761" s="14">
        <v>1.516526695</v>
      </c>
      <c r="O761" s="14">
        <v>0.86660899</v>
      </c>
      <c r="P761" s="14" t="s">
        <v>4133</v>
      </c>
      <c r="Q761" s="14" t="s">
        <v>4134</v>
      </c>
      <c r="T761" s="14" t="s">
        <v>4135</v>
      </c>
      <c r="U761" s="14" t="s">
        <v>4136</v>
      </c>
    </row>
    <row r="762" spans="1:21">
      <c r="A762" s="14" t="s">
        <v>4137</v>
      </c>
      <c r="B762" s="14">
        <v>34.83300908</v>
      </c>
      <c r="C762" s="14">
        <v>7.565284443</v>
      </c>
      <c r="D762" s="14">
        <v>62.10073371</v>
      </c>
      <c r="E762" s="14">
        <v>8.252944953</v>
      </c>
      <c r="F762" s="14">
        <v>3.044909018</v>
      </c>
      <c r="G762" s="14">
        <v>0.000343209</v>
      </c>
      <c r="H762" s="14">
        <v>0.001426742</v>
      </c>
      <c r="I762" s="14" t="s">
        <v>164</v>
      </c>
      <c r="J762" s="14">
        <v>1.141365088</v>
      </c>
      <c r="K762" s="14">
        <v>0.672478861</v>
      </c>
      <c r="L762" s="14">
        <v>0.804119073</v>
      </c>
      <c r="M762" s="14">
        <v>0.07145458</v>
      </c>
      <c r="N762" s="14">
        <v>0.171380465</v>
      </c>
      <c r="O762" s="14">
        <v>0.01165166</v>
      </c>
      <c r="P762" s="14" t="s">
        <v>4138</v>
      </c>
      <c r="Q762" s="14" t="s">
        <v>4139</v>
      </c>
      <c r="T762" s="14" t="s">
        <v>4140</v>
      </c>
      <c r="U762" s="14" t="s">
        <v>4141</v>
      </c>
    </row>
    <row r="763" spans="1:15">
      <c r="A763" s="14" t="s">
        <v>4142</v>
      </c>
      <c r="B763" s="14">
        <v>938.5410087</v>
      </c>
      <c r="C763" s="14">
        <v>573.3594482</v>
      </c>
      <c r="D763" s="14">
        <v>1303.722569</v>
      </c>
      <c r="E763" s="14">
        <v>2.275130212</v>
      </c>
      <c r="F763" s="14">
        <v>1.185949117</v>
      </c>
      <c r="G763" s="51" t="s">
        <v>4143</v>
      </c>
      <c r="H763" s="51" t="s">
        <v>4144</v>
      </c>
      <c r="I763" s="14" t="s">
        <v>164</v>
      </c>
      <c r="J763" s="14">
        <v>8.440930721</v>
      </c>
      <c r="K763" s="14">
        <v>8.406180195</v>
      </c>
      <c r="L763" s="14">
        <v>10.30301393</v>
      </c>
      <c r="M763" s="14">
        <v>3.267242206</v>
      </c>
      <c r="N763" s="14">
        <v>3.43896388</v>
      </c>
      <c r="O763" s="14">
        <v>3.075879549</v>
      </c>
    </row>
    <row r="764" spans="1:15">
      <c r="A764" s="14" t="s">
        <v>4145</v>
      </c>
      <c r="B764" s="14">
        <v>22.04131104</v>
      </c>
      <c r="C764" s="14">
        <v>5.094916684</v>
      </c>
      <c r="D764" s="14">
        <v>38.9877054</v>
      </c>
      <c r="E764" s="14">
        <v>7.583110483</v>
      </c>
      <c r="F764" s="14">
        <v>2.922789743</v>
      </c>
      <c r="G764" s="14">
        <v>0.013041592</v>
      </c>
      <c r="H764" s="14">
        <v>0.033829895</v>
      </c>
      <c r="I764" s="14" t="s">
        <v>164</v>
      </c>
      <c r="J764" s="14">
        <v>4.095931925</v>
      </c>
      <c r="K764" s="14">
        <v>0.964882044</v>
      </c>
      <c r="L764" s="14">
        <v>5.286324301</v>
      </c>
      <c r="M764" s="14">
        <v>0</v>
      </c>
      <c r="N764" s="14">
        <v>0.35767139</v>
      </c>
      <c r="O764" s="14">
        <v>0.802462316</v>
      </c>
    </row>
    <row r="765" spans="1:15">
      <c r="A765" s="14" t="s">
        <v>4146</v>
      </c>
      <c r="B765" s="14">
        <v>4.283085252</v>
      </c>
      <c r="C765" s="14">
        <v>0</v>
      </c>
      <c r="D765" s="14">
        <v>8.566170504</v>
      </c>
      <c r="E765" s="14">
        <v>46.18461324</v>
      </c>
      <c r="F765" s="14">
        <v>5.529340382</v>
      </c>
      <c r="G765" s="14">
        <v>0.007124277</v>
      </c>
      <c r="H765" s="14">
        <v>0.020137216</v>
      </c>
      <c r="I765" s="14" t="s">
        <v>164</v>
      </c>
      <c r="J765" s="14">
        <v>0.569443173</v>
      </c>
      <c r="K765" s="14">
        <v>0.127369236</v>
      </c>
      <c r="L765" s="14">
        <v>0.121841786</v>
      </c>
      <c r="M765" s="14">
        <v>0</v>
      </c>
      <c r="N765" s="14">
        <v>0</v>
      </c>
      <c r="O765" s="14">
        <v>0</v>
      </c>
    </row>
    <row r="766" spans="1:21">
      <c r="A766" s="14" t="s">
        <v>4147</v>
      </c>
      <c r="B766" s="14">
        <v>550.8473408</v>
      </c>
      <c r="C766" s="14">
        <v>783.5875512</v>
      </c>
      <c r="D766" s="14">
        <v>318.1071303</v>
      </c>
      <c r="E766" s="14">
        <v>0.406033749</v>
      </c>
      <c r="F766" s="14">
        <v>-1.300328447</v>
      </c>
      <c r="G766" s="51" t="s">
        <v>4148</v>
      </c>
      <c r="H766" s="51" t="s">
        <v>4149</v>
      </c>
      <c r="I766" s="14" t="s">
        <v>147</v>
      </c>
      <c r="J766" s="14">
        <v>4.705034766</v>
      </c>
      <c r="K766" s="14">
        <v>3.471236252</v>
      </c>
      <c r="L766" s="14">
        <v>3.688232104</v>
      </c>
      <c r="M766" s="14">
        <v>8.314661307</v>
      </c>
      <c r="N766" s="14">
        <v>8.189244151</v>
      </c>
      <c r="O766" s="14">
        <v>7.454437208</v>
      </c>
      <c r="P766" s="14" t="s">
        <v>4150</v>
      </c>
      <c r="Q766" s="14" t="s">
        <v>4151</v>
      </c>
      <c r="R766" s="14" t="s">
        <v>4152</v>
      </c>
      <c r="S766" s="14" t="s">
        <v>4153</v>
      </c>
      <c r="T766" s="14" t="s">
        <v>4154</v>
      </c>
      <c r="U766" s="14" t="s">
        <v>4155</v>
      </c>
    </row>
    <row r="767" spans="1:21">
      <c r="A767" s="14" t="s">
        <v>4156</v>
      </c>
      <c r="B767" s="14">
        <v>3930.157352</v>
      </c>
      <c r="C767" s="14">
        <v>2609.771239</v>
      </c>
      <c r="D767" s="14">
        <v>5250.543465</v>
      </c>
      <c r="E767" s="14">
        <v>2.011973689</v>
      </c>
      <c r="F767" s="14">
        <v>1.008611439</v>
      </c>
      <c r="G767" s="51" t="s">
        <v>4157</v>
      </c>
      <c r="H767" s="51" t="s">
        <v>4158</v>
      </c>
      <c r="I767" s="14" t="s">
        <v>164</v>
      </c>
      <c r="J767" s="14">
        <v>52.01660575</v>
      </c>
      <c r="K767" s="14">
        <v>42.78709826</v>
      </c>
      <c r="L767" s="14">
        <v>44.91500054</v>
      </c>
      <c r="M767" s="14">
        <v>17.78701738</v>
      </c>
      <c r="N767" s="14">
        <v>20.29568541</v>
      </c>
      <c r="O767" s="14">
        <v>19.02802973</v>
      </c>
      <c r="P767" s="14" t="s">
        <v>4159</v>
      </c>
      <c r="Q767" s="14" t="s">
        <v>4160</v>
      </c>
      <c r="R767" s="14" t="s">
        <v>3188</v>
      </c>
      <c r="S767" s="14" t="s">
        <v>3189</v>
      </c>
      <c r="T767" s="14" t="s">
        <v>4161</v>
      </c>
      <c r="U767" s="14" t="s">
        <v>4162</v>
      </c>
    </row>
    <row r="768" spans="1:19">
      <c r="A768" s="14" t="s">
        <v>4163</v>
      </c>
      <c r="B768" s="14">
        <v>217.105066</v>
      </c>
      <c r="C768" s="14">
        <v>343.1225018</v>
      </c>
      <c r="D768" s="14">
        <v>91.08763015</v>
      </c>
      <c r="E768" s="14">
        <v>0.265384079</v>
      </c>
      <c r="F768" s="14">
        <v>-1.913846272</v>
      </c>
      <c r="G768" s="14">
        <v>0.000112511</v>
      </c>
      <c r="H768" s="14">
        <v>0.000526993</v>
      </c>
      <c r="I768" s="14" t="s">
        <v>147</v>
      </c>
      <c r="J768" s="14">
        <v>0.545629463</v>
      </c>
      <c r="K768" s="14">
        <v>1.979646852</v>
      </c>
      <c r="L768" s="14">
        <v>0.965194481</v>
      </c>
      <c r="M768" s="14">
        <v>3.550137686</v>
      </c>
      <c r="N768" s="14">
        <v>4.010046548</v>
      </c>
      <c r="O768" s="14">
        <v>3.239711123</v>
      </c>
      <c r="R768" s="14" t="s">
        <v>4164</v>
      </c>
      <c r="S768" s="14" t="s">
        <v>4165</v>
      </c>
    </row>
    <row r="769" spans="1:21">
      <c r="A769" s="14" t="s">
        <v>4166</v>
      </c>
      <c r="B769" s="14">
        <v>367.7606144</v>
      </c>
      <c r="C769" s="14">
        <v>157.276951</v>
      </c>
      <c r="D769" s="14">
        <v>578.2442777</v>
      </c>
      <c r="E769" s="14">
        <v>3.680220492</v>
      </c>
      <c r="F769" s="14">
        <v>1.879792205</v>
      </c>
      <c r="G769" s="51" t="s">
        <v>4167</v>
      </c>
      <c r="H769" s="51" t="s">
        <v>4168</v>
      </c>
      <c r="I769" s="14" t="s">
        <v>164</v>
      </c>
      <c r="J769" s="14">
        <v>9.531358144</v>
      </c>
      <c r="K769" s="14">
        <v>5.454602729</v>
      </c>
      <c r="L769" s="14">
        <v>10.8034342</v>
      </c>
      <c r="M769" s="14">
        <v>2.173823508</v>
      </c>
      <c r="N769" s="14">
        <v>1.904699664</v>
      </c>
      <c r="O769" s="14">
        <v>1.635079308</v>
      </c>
      <c r="P769" s="14" t="s">
        <v>4020</v>
      </c>
      <c r="Q769" s="14" t="s">
        <v>4021</v>
      </c>
      <c r="T769" s="14" t="s">
        <v>4022</v>
      </c>
      <c r="U769" s="14" t="s">
        <v>4023</v>
      </c>
    </row>
    <row r="770" spans="1:21">
      <c r="A770" s="14" t="s">
        <v>4169</v>
      </c>
      <c r="B770" s="14">
        <v>1075.961718</v>
      </c>
      <c r="C770" s="14">
        <v>591.4477631</v>
      </c>
      <c r="D770" s="14">
        <v>1560.475674</v>
      </c>
      <c r="E770" s="14">
        <v>2.638233287</v>
      </c>
      <c r="F770" s="14">
        <v>1.399572141</v>
      </c>
      <c r="G770" s="51" t="s">
        <v>4170</v>
      </c>
      <c r="H770" s="51" t="s">
        <v>4171</v>
      </c>
      <c r="I770" s="14" t="s">
        <v>164</v>
      </c>
      <c r="J770" s="14">
        <v>98.84995434</v>
      </c>
      <c r="K770" s="14">
        <v>138.7371913</v>
      </c>
      <c r="L770" s="14">
        <v>105.8229494</v>
      </c>
      <c r="M770" s="14">
        <v>34.41519493</v>
      </c>
      <c r="N770" s="14">
        <v>33.97258619</v>
      </c>
      <c r="O770" s="14">
        <v>39.09031175</v>
      </c>
      <c r="P770" s="14" t="s">
        <v>4172</v>
      </c>
      <c r="Q770" s="14" t="s">
        <v>4173</v>
      </c>
      <c r="T770" s="14" t="s">
        <v>4174</v>
      </c>
      <c r="U770" s="14" t="s">
        <v>4175</v>
      </c>
    </row>
    <row r="771" spans="1:21">
      <c r="A771" s="14" t="s">
        <v>4176</v>
      </c>
      <c r="B771" s="14">
        <v>295.1211401</v>
      </c>
      <c r="C771" s="14">
        <v>412.0665117</v>
      </c>
      <c r="D771" s="14">
        <v>178.1757685</v>
      </c>
      <c r="E771" s="14">
        <v>0.432519733</v>
      </c>
      <c r="F771" s="14">
        <v>-1.20916214</v>
      </c>
      <c r="G771" s="14">
        <v>0.002624755</v>
      </c>
      <c r="H771" s="14">
        <v>0.008471601</v>
      </c>
      <c r="I771" s="14" t="s">
        <v>147</v>
      </c>
      <c r="J771" s="14">
        <v>3.97038684</v>
      </c>
      <c r="K771" s="14">
        <v>3.654919379</v>
      </c>
      <c r="L771" s="14">
        <v>3.131307596</v>
      </c>
      <c r="M771" s="14">
        <v>7.937811569</v>
      </c>
      <c r="N771" s="14">
        <v>8.417869558</v>
      </c>
      <c r="O771" s="14">
        <v>3.757849251</v>
      </c>
      <c r="P771" s="14" t="s">
        <v>4177</v>
      </c>
      <c r="Q771" s="14" t="s">
        <v>4178</v>
      </c>
      <c r="R771" s="14" t="s">
        <v>4179</v>
      </c>
      <c r="S771" s="14" t="s">
        <v>4180</v>
      </c>
      <c r="T771" s="14" t="s">
        <v>4181</v>
      </c>
      <c r="U771" s="14" t="s">
        <v>4182</v>
      </c>
    </row>
    <row r="772" spans="1:21">
      <c r="A772" s="14" t="s">
        <v>4183</v>
      </c>
      <c r="B772" s="14">
        <v>13.22634729</v>
      </c>
      <c r="C772" s="14">
        <v>2.811698643</v>
      </c>
      <c r="D772" s="14">
        <v>23.64099594</v>
      </c>
      <c r="E772" s="14">
        <v>8.239148059</v>
      </c>
      <c r="F772" s="14">
        <v>3.042495168</v>
      </c>
      <c r="G772" s="14">
        <v>0.013368627</v>
      </c>
      <c r="H772" s="14">
        <v>0.034567479</v>
      </c>
      <c r="I772" s="14" t="s">
        <v>164</v>
      </c>
      <c r="J772" s="14">
        <v>0.865297334</v>
      </c>
      <c r="K772" s="14">
        <v>0.423704244</v>
      </c>
      <c r="L772" s="14">
        <v>0.382799132</v>
      </c>
      <c r="M772" s="14">
        <v>0</v>
      </c>
      <c r="N772" s="14">
        <v>0.01919654</v>
      </c>
      <c r="O772" s="14">
        <v>0.156614049</v>
      </c>
      <c r="P772" s="14" t="s">
        <v>4184</v>
      </c>
      <c r="Q772" s="14" t="s">
        <v>4185</v>
      </c>
      <c r="T772" s="14" t="s">
        <v>524</v>
      </c>
      <c r="U772" s="14" t="s">
        <v>525</v>
      </c>
    </row>
    <row r="773" spans="1:21">
      <c r="A773" s="14" t="s">
        <v>4186</v>
      </c>
      <c r="B773" s="14">
        <v>1315.000461</v>
      </c>
      <c r="C773" s="14">
        <v>146.2710619</v>
      </c>
      <c r="D773" s="14">
        <v>2483.72986</v>
      </c>
      <c r="E773" s="14">
        <v>16.9540246</v>
      </c>
      <c r="F773" s="14">
        <v>4.08355588</v>
      </c>
      <c r="G773" s="51" t="s">
        <v>4187</v>
      </c>
      <c r="H773" s="51" t="s">
        <v>4188</v>
      </c>
      <c r="I773" s="14" t="s">
        <v>164</v>
      </c>
      <c r="J773" s="14">
        <v>20.02385031</v>
      </c>
      <c r="K773" s="14">
        <v>12.25947466</v>
      </c>
      <c r="L773" s="14">
        <v>18.43070154</v>
      </c>
      <c r="M773" s="14">
        <v>0.512701654</v>
      </c>
      <c r="N773" s="14">
        <v>0.630043889</v>
      </c>
      <c r="O773" s="14">
        <v>1.375224313</v>
      </c>
      <c r="P773" s="14" t="s">
        <v>4189</v>
      </c>
      <c r="Q773" s="14" t="s">
        <v>4190</v>
      </c>
      <c r="R773" s="14" t="s">
        <v>4191</v>
      </c>
      <c r="S773" s="14" t="s">
        <v>4192</v>
      </c>
      <c r="T773" s="14" t="s">
        <v>4193</v>
      </c>
      <c r="U773" s="14" t="s">
        <v>4194</v>
      </c>
    </row>
    <row r="774" spans="1:21">
      <c r="A774" s="14" t="s">
        <v>4195</v>
      </c>
      <c r="B774" s="14">
        <v>27.83366966</v>
      </c>
      <c r="C774" s="14">
        <v>46.46263918</v>
      </c>
      <c r="D774" s="14">
        <v>9.204700143</v>
      </c>
      <c r="E774" s="14">
        <v>0.197848213</v>
      </c>
      <c r="F774" s="14">
        <v>-2.337534062</v>
      </c>
      <c r="G774" s="51" t="s">
        <v>4196</v>
      </c>
      <c r="H774" s="14">
        <v>0.000171281</v>
      </c>
      <c r="I774" s="14" t="s">
        <v>147</v>
      </c>
      <c r="J774" s="14">
        <v>0.493991107</v>
      </c>
      <c r="K774" s="14">
        <v>0.546938485</v>
      </c>
      <c r="L774" s="14">
        <v>0.332947342</v>
      </c>
      <c r="M774" s="14">
        <v>1.859687163</v>
      </c>
      <c r="N774" s="14">
        <v>2.432930526</v>
      </c>
      <c r="O774" s="14">
        <v>1.364615061</v>
      </c>
      <c r="P774" s="14" t="s">
        <v>4197</v>
      </c>
      <c r="Q774" s="14" t="s">
        <v>4198</v>
      </c>
      <c r="T774" s="14" t="s">
        <v>4199</v>
      </c>
      <c r="U774" s="14" t="s">
        <v>4200</v>
      </c>
    </row>
    <row r="775" spans="1:15">
      <c r="A775" s="14" t="s">
        <v>4201</v>
      </c>
      <c r="B775" s="14">
        <v>10.30694702</v>
      </c>
      <c r="C775" s="14">
        <v>0</v>
      </c>
      <c r="D775" s="14">
        <v>20.61389404</v>
      </c>
      <c r="E775" s="14">
        <v>111.178945</v>
      </c>
      <c r="F775" s="14">
        <v>6.796739787</v>
      </c>
      <c r="G775" s="51" t="s">
        <v>4202</v>
      </c>
      <c r="H775" s="51" t="s">
        <v>4203</v>
      </c>
      <c r="I775" s="14" t="s">
        <v>164</v>
      </c>
      <c r="J775" s="14">
        <v>4.284119978</v>
      </c>
      <c r="K775" s="14">
        <v>1.751788481</v>
      </c>
      <c r="L775" s="14">
        <v>2.320291412</v>
      </c>
      <c r="M775" s="14">
        <v>0</v>
      </c>
      <c r="N775" s="14">
        <v>0</v>
      </c>
      <c r="O775" s="14">
        <v>0</v>
      </c>
    </row>
    <row r="776" spans="1:21">
      <c r="A776" s="14" t="s">
        <v>4204</v>
      </c>
      <c r="B776" s="14">
        <v>700.3637313</v>
      </c>
      <c r="C776" s="14">
        <v>220.2254041</v>
      </c>
      <c r="D776" s="14">
        <v>1180.502058</v>
      </c>
      <c r="E776" s="14">
        <v>5.362082328</v>
      </c>
      <c r="F776" s="14">
        <v>2.42279337</v>
      </c>
      <c r="G776" s="51" t="s">
        <v>4205</v>
      </c>
      <c r="H776" s="51" t="s">
        <v>4206</v>
      </c>
      <c r="I776" s="14" t="s">
        <v>164</v>
      </c>
      <c r="J776" s="14">
        <v>24.9331361</v>
      </c>
      <c r="K776" s="14">
        <v>17.17988977</v>
      </c>
      <c r="L776" s="14">
        <v>18.47434471</v>
      </c>
      <c r="M776" s="14">
        <v>2.682897307</v>
      </c>
      <c r="N776" s="14">
        <v>3.867838726</v>
      </c>
      <c r="O776" s="14">
        <v>2.710033703</v>
      </c>
      <c r="P776" s="14" t="s">
        <v>3980</v>
      </c>
      <c r="Q776" s="14" t="s">
        <v>3981</v>
      </c>
      <c r="T776" s="14" t="s">
        <v>3982</v>
      </c>
      <c r="U776" s="14" t="s">
        <v>3983</v>
      </c>
    </row>
    <row r="777" spans="1:21">
      <c r="A777" s="14" t="s">
        <v>4207</v>
      </c>
      <c r="B777" s="14">
        <v>4754.556706</v>
      </c>
      <c r="C777" s="14">
        <v>7302.865322</v>
      </c>
      <c r="D777" s="14">
        <v>2206.24809</v>
      </c>
      <c r="E777" s="14">
        <v>0.302114877</v>
      </c>
      <c r="F777" s="14">
        <v>-1.726830868</v>
      </c>
      <c r="G777" s="51" t="s">
        <v>4208</v>
      </c>
      <c r="H777" s="51" t="s">
        <v>1170</v>
      </c>
      <c r="I777" s="14" t="s">
        <v>147</v>
      </c>
      <c r="J777" s="14">
        <v>41.06076284</v>
      </c>
      <c r="K777" s="14">
        <v>52.50732364</v>
      </c>
      <c r="L777" s="14">
        <v>45.07187792</v>
      </c>
      <c r="M777" s="14">
        <v>147.6476683</v>
      </c>
      <c r="N777" s="14">
        <v>144.4108285</v>
      </c>
      <c r="O777" s="14">
        <v>79.91737778</v>
      </c>
      <c r="P777" s="14" t="s">
        <v>4209</v>
      </c>
      <c r="Q777" s="14" t="s">
        <v>4210</v>
      </c>
      <c r="T777" s="14" t="s">
        <v>4211</v>
      </c>
      <c r="U777" s="14" t="s">
        <v>4212</v>
      </c>
    </row>
    <row r="778" spans="1:15">
      <c r="A778" s="14" t="s">
        <v>4213</v>
      </c>
      <c r="B778" s="14">
        <v>4327.085397</v>
      </c>
      <c r="C778" s="14">
        <v>5882.648402</v>
      </c>
      <c r="D778" s="14">
        <v>2771.522393</v>
      </c>
      <c r="E778" s="14">
        <v>0.471154232</v>
      </c>
      <c r="F778" s="14">
        <v>-1.085728691</v>
      </c>
      <c r="G778" s="51" t="s">
        <v>4214</v>
      </c>
      <c r="H778" s="51" t="s">
        <v>4215</v>
      </c>
      <c r="I778" s="14" t="s">
        <v>147</v>
      </c>
      <c r="J778" s="14">
        <v>16.72095353</v>
      </c>
      <c r="K778" s="14">
        <v>22.75532968</v>
      </c>
      <c r="L778" s="14">
        <v>20.70462363</v>
      </c>
      <c r="M778" s="14">
        <v>36.19533425</v>
      </c>
      <c r="N778" s="14">
        <v>37.79741695</v>
      </c>
      <c r="O778" s="14">
        <v>30.49711647</v>
      </c>
    </row>
    <row r="779" spans="1:21">
      <c r="A779" s="14" t="s">
        <v>4216</v>
      </c>
      <c r="B779" s="14">
        <v>19.12408452</v>
      </c>
      <c r="C779" s="14">
        <v>7.807584568</v>
      </c>
      <c r="D779" s="14">
        <v>30.44058446</v>
      </c>
      <c r="E779" s="14">
        <v>3.907070971</v>
      </c>
      <c r="F779" s="14">
        <v>1.966087462</v>
      </c>
      <c r="G779" s="14">
        <v>0.010259779</v>
      </c>
      <c r="H779" s="14">
        <v>0.027606865</v>
      </c>
      <c r="I779" s="14" t="s">
        <v>164</v>
      </c>
      <c r="J779" s="14">
        <v>1.479538868</v>
      </c>
      <c r="K779" s="14">
        <v>2.863846277</v>
      </c>
      <c r="L779" s="14">
        <v>0.87666041</v>
      </c>
      <c r="M779" s="14">
        <v>0.340815358</v>
      </c>
      <c r="N779" s="14">
        <v>0.513812946</v>
      </c>
      <c r="O779" s="14">
        <v>0.238177167</v>
      </c>
      <c r="Q779" s="14" t="s">
        <v>4217</v>
      </c>
      <c r="T779" s="14" t="s">
        <v>4218</v>
      </c>
      <c r="U779" s="14" t="s">
        <v>4219</v>
      </c>
    </row>
    <row r="780" spans="1:15">
      <c r="A780" s="14" t="s">
        <v>4220</v>
      </c>
      <c r="B780" s="14">
        <v>48.20754669</v>
      </c>
      <c r="C780" s="14">
        <v>6.008201899</v>
      </c>
      <c r="D780" s="14">
        <v>90.40689148</v>
      </c>
      <c r="E780" s="14">
        <v>14.82611182</v>
      </c>
      <c r="F780" s="14">
        <v>3.890068393</v>
      </c>
      <c r="G780" s="51" t="s">
        <v>459</v>
      </c>
      <c r="H780" s="51" t="s">
        <v>4221</v>
      </c>
      <c r="I780" s="14" t="s">
        <v>164</v>
      </c>
      <c r="J780" s="14">
        <v>2.05040935</v>
      </c>
      <c r="K780" s="14">
        <v>1.542417644</v>
      </c>
      <c r="L780" s="14">
        <v>2.327519734</v>
      </c>
      <c r="M780" s="14">
        <v>0.036933039</v>
      </c>
      <c r="N780" s="14">
        <v>0.017716433</v>
      </c>
      <c r="O780" s="14">
        <v>0.289077334</v>
      </c>
    </row>
    <row r="781" spans="1:21">
      <c r="A781" s="14" t="s">
        <v>4222</v>
      </c>
      <c r="B781" s="14">
        <v>2174.487987</v>
      </c>
      <c r="C781" s="14">
        <v>1010.071486</v>
      </c>
      <c r="D781" s="14">
        <v>3338.904488</v>
      </c>
      <c r="E781" s="14">
        <v>3.306318037</v>
      </c>
      <c r="F781" s="14">
        <v>1.725225505</v>
      </c>
      <c r="G781" s="51" t="s">
        <v>4223</v>
      </c>
      <c r="H781" s="51" t="s">
        <v>4224</v>
      </c>
      <c r="I781" s="14" t="s">
        <v>164</v>
      </c>
      <c r="J781" s="14">
        <v>142.6444604</v>
      </c>
      <c r="K781" s="14">
        <v>106.7715079</v>
      </c>
      <c r="L781" s="14">
        <v>140.1987746</v>
      </c>
      <c r="M781" s="14">
        <v>33.62353135</v>
      </c>
      <c r="N781" s="14">
        <v>39.99839157</v>
      </c>
      <c r="O781" s="14">
        <v>22.03853324</v>
      </c>
      <c r="P781" s="14" t="s">
        <v>3944</v>
      </c>
      <c r="Q781" s="14" t="s">
        <v>3945</v>
      </c>
      <c r="T781" s="14" t="s">
        <v>3946</v>
      </c>
      <c r="U781" s="14" t="s">
        <v>3947</v>
      </c>
    </row>
    <row r="782" spans="1:21">
      <c r="A782" s="14" t="s">
        <v>4225</v>
      </c>
      <c r="B782" s="14">
        <v>21.4776979</v>
      </c>
      <c r="C782" s="14">
        <v>6.827510632</v>
      </c>
      <c r="D782" s="14">
        <v>36.12788516</v>
      </c>
      <c r="E782" s="14">
        <v>5.322260398</v>
      </c>
      <c r="F782" s="14">
        <v>2.412039098</v>
      </c>
      <c r="G782" s="14">
        <v>0.000447677</v>
      </c>
      <c r="H782" s="14">
        <v>0.001803335</v>
      </c>
      <c r="I782" s="14" t="s">
        <v>164</v>
      </c>
      <c r="J782" s="14">
        <v>0.586234446</v>
      </c>
      <c r="K782" s="14">
        <v>0.509599415</v>
      </c>
      <c r="L782" s="14">
        <v>0.359198959</v>
      </c>
      <c r="M782" s="14">
        <v>0.068397148</v>
      </c>
      <c r="N782" s="14">
        <v>0.120301396</v>
      </c>
      <c r="O782" s="14">
        <v>0.033459312</v>
      </c>
      <c r="P782" s="14" t="s">
        <v>4226</v>
      </c>
      <c r="Q782" s="14" t="s">
        <v>4227</v>
      </c>
      <c r="R782" s="14" t="s">
        <v>907</v>
      </c>
      <c r="S782" s="14" t="s">
        <v>908</v>
      </c>
      <c r="T782" s="14" t="s">
        <v>4228</v>
      </c>
      <c r="U782" s="14" t="s">
        <v>4229</v>
      </c>
    </row>
    <row r="783" spans="1:21">
      <c r="A783" s="14" t="s">
        <v>4230</v>
      </c>
      <c r="B783" s="14">
        <v>282.9876713</v>
      </c>
      <c r="C783" s="14">
        <v>163.3189447</v>
      </c>
      <c r="D783" s="14">
        <v>402.6563978</v>
      </c>
      <c r="E783" s="14">
        <v>2.468075626</v>
      </c>
      <c r="F783" s="14">
        <v>1.303386602</v>
      </c>
      <c r="G783" s="51" t="s">
        <v>4231</v>
      </c>
      <c r="H783" s="14">
        <v>0.000126613</v>
      </c>
      <c r="I783" s="14" t="s">
        <v>164</v>
      </c>
      <c r="J783" s="14">
        <v>2.479804338</v>
      </c>
      <c r="K783" s="14">
        <v>3.284206759</v>
      </c>
      <c r="L783" s="14">
        <v>3.078848219</v>
      </c>
      <c r="M783" s="14">
        <v>1.011223142</v>
      </c>
      <c r="N783" s="14">
        <v>1.202269986</v>
      </c>
      <c r="O783" s="14">
        <v>0.704087101</v>
      </c>
      <c r="P783" s="14" t="s">
        <v>4232</v>
      </c>
      <c r="Q783" s="14" t="s">
        <v>4233</v>
      </c>
      <c r="R783" s="14" t="s">
        <v>341</v>
      </c>
      <c r="S783" s="14" t="s">
        <v>342</v>
      </c>
      <c r="T783" s="14" t="s">
        <v>4234</v>
      </c>
      <c r="U783" s="14" t="s">
        <v>4235</v>
      </c>
    </row>
    <row r="784" spans="1:15">
      <c r="A784" s="14" t="s">
        <v>4236</v>
      </c>
      <c r="B784" s="14">
        <v>2257.44904</v>
      </c>
      <c r="C784" s="14">
        <v>3243.716303</v>
      </c>
      <c r="D784" s="14">
        <v>1271.181776</v>
      </c>
      <c r="E784" s="14">
        <v>0.391914524</v>
      </c>
      <c r="F784" s="14">
        <v>-1.351389057</v>
      </c>
      <c r="G784" s="51" t="s">
        <v>4237</v>
      </c>
      <c r="H784" s="51" t="s">
        <v>4238</v>
      </c>
      <c r="I784" s="14" t="s">
        <v>147</v>
      </c>
      <c r="J784" s="14">
        <v>12.96925058</v>
      </c>
      <c r="K784" s="14">
        <v>15.21877028</v>
      </c>
      <c r="L784" s="14">
        <v>13.19153646</v>
      </c>
      <c r="M784" s="14">
        <v>31.33865138</v>
      </c>
      <c r="N784" s="14">
        <v>30.16281557</v>
      </c>
      <c r="O784" s="14">
        <v>24.83684137</v>
      </c>
    </row>
    <row r="785" spans="1:21">
      <c r="A785" s="14" t="s">
        <v>4239</v>
      </c>
      <c r="B785" s="14">
        <v>465.6516499</v>
      </c>
      <c r="C785" s="14">
        <v>291.9820794</v>
      </c>
      <c r="D785" s="14">
        <v>639.3212204</v>
      </c>
      <c r="E785" s="14">
        <v>2.186834035</v>
      </c>
      <c r="F785" s="14">
        <v>1.128843735</v>
      </c>
      <c r="G785" s="51" t="s">
        <v>2744</v>
      </c>
      <c r="H785" s="51" t="s">
        <v>4240</v>
      </c>
      <c r="I785" s="14" t="s">
        <v>164</v>
      </c>
      <c r="J785" s="14">
        <v>15.62561176</v>
      </c>
      <c r="K785" s="14">
        <v>14.77155713</v>
      </c>
      <c r="L785" s="14">
        <v>15.59386936</v>
      </c>
      <c r="M785" s="14">
        <v>4.774710937</v>
      </c>
      <c r="N785" s="14">
        <v>5.340980904</v>
      </c>
      <c r="O785" s="14">
        <v>7.335244455</v>
      </c>
      <c r="P785" s="14" t="s">
        <v>4241</v>
      </c>
      <c r="Q785" s="14" t="s">
        <v>4242</v>
      </c>
      <c r="T785" s="14" t="s">
        <v>4243</v>
      </c>
      <c r="U785" s="14" t="s">
        <v>4244</v>
      </c>
    </row>
    <row r="786" spans="1:21">
      <c r="A786" s="14" t="s">
        <v>4245</v>
      </c>
      <c r="B786" s="14">
        <v>1173.88222</v>
      </c>
      <c r="C786" s="14">
        <v>2165.470043</v>
      </c>
      <c r="D786" s="14">
        <v>182.294397</v>
      </c>
      <c r="E786" s="14">
        <v>0.084146484</v>
      </c>
      <c r="F786" s="14">
        <v>-3.570953195</v>
      </c>
      <c r="G786" s="51" t="s">
        <v>4246</v>
      </c>
      <c r="H786" s="51" t="s">
        <v>4247</v>
      </c>
      <c r="I786" s="14" t="s">
        <v>147</v>
      </c>
      <c r="J786" s="14">
        <v>3.532036416</v>
      </c>
      <c r="K786" s="14">
        <v>4.902912848</v>
      </c>
      <c r="L786" s="14">
        <v>2.242298423</v>
      </c>
      <c r="M786" s="14">
        <v>40.03308706</v>
      </c>
      <c r="N786" s="14">
        <v>37.72200854</v>
      </c>
      <c r="O786" s="14">
        <v>25.76523199</v>
      </c>
      <c r="P786" s="14" t="s">
        <v>4248</v>
      </c>
      <c r="Q786" s="14" t="s">
        <v>4249</v>
      </c>
      <c r="T786" s="14" t="s">
        <v>4250</v>
      </c>
      <c r="U786" s="14" t="s">
        <v>4251</v>
      </c>
    </row>
    <row r="787" spans="1:21">
      <c r="A787" s="14" t="s">
        <v>4252</v>
      </c>
      <c r="B787" s="14">
        <v>789.40747</v>
      </c>
      <c r="C787" s="14">
        <v>1140.991006</v>
      </c>
      <c r="D787" s="14">
        <v>437.8239342</v>
      </c>
      <c r="E787" s="14">
        <v>0.383856709</v>
      </c>
      <c r="F787" s="14">
        <v>-1.38136023</v>
      </c>
      <c r="G787" s="51" t="s">
        <v>4253</v>
      </c>
      <c r="H787" s="51" t="s">
        <v>4254</v>
      </c>
      <c r="I787" s="14" t="s">
        <v>147</v>
      </c>
      <c r="J787" s="14">
        <v>8.302094312</v>
      </c>
      <c r="K787" s="14">
        <v>8.771157971</v>
      </c>
      <c r="L787" s="14">
        <v>8.957442269</v>
      </c>
      <c r="M787" s="14">
        <v>19.42892359</v>
      </c>
      <c r="N787" s="14">
        <v>17.28647107</v>
      </c>
      <c r="O787" s="14">
        <v>19.05822168</v>
      </c>
      <c r="P787" s="14" t="s">
        <v>4255</v>
      </c>
      <c r="Q787" s="14" t="s">
        <v>4256</v>
      </c>
      <c r="R787" s="14" t="s">
        <v>1735</v>
      </c>
      <c r="S787" s="14" t="s">
        <v>1736</v>
      </c>
      <c r="T787" s="14" t="s">
        <v>4257</v>
      </c>
      <c r="U787" s="14" t="s">
        <v>4258</v>
      </c>
    </row>
    <row r="788" spans="1:21">
      <c r="A788" s="14" t="s">
        <v>4259</v>
      </c>
      <c r="B788" s="14">
        <v>556.7312019</v>
      </c>
      <c r="C788" s="14">
        <v>783.6955477</v>
      </c>
      <c r="D788" s="14">
        <v>329.766856</v>
      </c>
      <c r="E788" s="14">
        <v>0.420614834</v>
      </c>
      <c r="F788" s="14">
        <v>-1.249428363</v>
      </c>
      <c r="G788" s="51" t="s">
        <v>4260</v>
      </c>
      <c r="H788" s="51" t="s">
        <v>4261</v>
      </c>
      <c r="I788" s="14" t="s">
        <v>147</v>
      </c>
      <c r="J788" s="14">
        <v>4.296466722</v>
      </c>
      <c r="K788" s="14">
        <v>4.741678561</v>
      </c>
      <c r="L788" s="14">
        <v>4.762033769</v>
      </c>
      <c r="M788" s="14">
        <v>6.406464677</v>
      </c>
      <c r="N788" s="14">
        <v>9.015244683</v>
      </c>
      <c r="O788" s="14">
        <v>11.89990592</v>
      </c>
      <c r="P788" s="14" t="s">
        <v>4262</v>
      </c>
      <c r="Q788" s="14" t="s">
        <v>4263</v>
      </c>
      <c r="T788" s="14" t="s">
        <v>4264</v>
      </c>
      <c r="U788" s="14" t="s">
        <v>4265</v>
      </c>
    </row>
    <row r="789" spans="1:21">
      <c r="A789" s="14" t="s">
        <v>4266</v>
      </c>
      <c r="B789" s="14">
        <v>950.1651789</v>
      </c>
      <c r="C789" s="14">
        <v>524.8055418</v>
      </c>
      <c r="D789" s="14">
        <v>1375.524816</v>
      </c>
      <c r="E789" s="14">
        <v>2.619929946</v>
      </c>
      <c r="F789" s="14">
        <v>1.389528236</v>
      </c>
      <c r="G789" s="51" t="s">
        <v>4267</v>
      </c>
      <c r="H789" s="51" t="s">
        <v>4268</v>
      </c>
      <c r="I789" s="14" t="s">
        <v>164</v>
      </c>
      <c r="J789" s="14">
        <v>28.770069</v>
      </c>
      <c r="K789" s="14">
        <v>39.8266596</v>
      </c>
      <c r="L789" s="14">
        <v>36.25639732</v>
      </c>
      <c r="M789" s="14">
        <v>9.79882848</v>
      </c>
      <c r="N789" s="14">
        <v>9.008251211</v>
      </c>
      <c r="O789" s="14">
        <v>14.47533088</v>
      </c>
      <c r="P789" s="14" t="s">
        <v>3884</v>
      </c>
      <c r="Q789" s="14" t="s">
        <v>3885</v>
      </c>
      <c r="T789" s="14" t="s">
        <v>3886</v>
      </c>
      <c r="U789" s="14" t="s">
        <v>3887</v>
      </c>
    </row>
    <row r="790" spans="1:21">
      <c r="A790" s="14" t="s">
        <v>4269</v>
      </c>
      <c r="B790" s="14">
        <v>80.74584583</v>
      </c>
      <c r="C790" s="14">
        <v>145.6604179</v>
      </c>
      <c r="D790" s="14">
        <v>15.83127374</v>
      </c>
      <c r="E790" s="14">
        <v>0.108635098</v>
      </c>
      <c r="F790" s="14">
        <v>-3.202437811</v>
      </c>
      <c r="G790" s="14">
        <v>0.000623087</v>
      </c>
      <c r="H790" s="14">
        <v>0.002414938</v>
      </c>
      <c r="I790" s="14" t="s">
        <v>147</v>
      </c>
      <c r="J790" s="14">
        <v>0.221703209</v>
      </c>
      <c r="K790" s="14">
        <v>0.527447586</v>
      </c>
      <c r="L790" s="14">
        <v>0.21346681</v>
      </c>
      <c r="M790" s="14">
        <v>3.621318094</v>
      </c>
      <c r="N790" s="14">
        <v>3.14334624</v>
      </c>
      <c r="O790" s="14">
        <v>0.286817275</v>
      </c>
      <c r="P790" s="14" t="s">
        <v>4270</v>
      </c>
      <c r="Q790" s="14" t="s">
        <v>4271</v>
      </c>
      <c r="T790" s="14" t="s">
        <v>4272</v>
      </c>
      <c r="U790" s="14" t="s">
        <v>4273</v>
      </c>
    </row>
    <row r="791" spans="1:15">
      <c r="A791" s="14" t="s">
        <v>4274</v>
      </c>
      <c r="B791" s="14">
        <v>554.1211816</v>
      </c>
      <c r="C791" s="14">
        <v>807.1823668</v>
      </c>
      <c r="D791" s="14">
        <v>301.0599963</v>
      </c>
      <c r="E791" s="14">
        <v>0.37296716</v>
      </c>
      <c r="F791" s="14">
        <v>-1.42287949</v>
      </c>
      <c r="G791" s="51" t="s">
        <v>4275</v>
      </c>
      <c r="H791" s="51" t="s">
        <v>4276</v>
      </c>
      <c r="I791" s="14" t="s">
        <v>147</v>
      </c>
      <c r="J791" s="14">
        <v>4.693919564</v>
      </c>
      <c r="K791" s="14">
        <v>3.011126104</v>
      </c>
      <c r="L791" s="14">
        <v>3.712047055</v>
      </c>
      <c r="M791" s="14">
        <v>8.781856049</v>
      </c>
      <c r="N791" s="14">
        <v>6.308586657</v>
      </c>
      <c r="O791" s="14">
        <v>10.24755646</v>
      </c>
    </row>
    <row r="792" spans="1:21">
      <c r="A792" s="14" t="s">
        <v>4277</v>
      </c>
      <c r="B792" s="14">
        <v>98.32989752</v>
      </c>
      <c r="C792" s="14">
        <v>51.80530688</v>
      </c>
      <c r="D792" s="14">
        <v>144.8544881</v>
      </c>
      <c r="E792" s="14">
        <v>2.790573743</v>
      </c>
      <c r="F792" s="14">
        <v>1.480561771</v>
      </c>
      <c r="G792" s="14">
        <v>0.00055988</v>
      </c>
      <c r="H792" s="14">
        <v>0.002192863</v>
      </c>
      <c r="I792" s="14" t="s">
        <v>164</v>
      </c>
      <c r="J792" s="14">
        <v>4.882749243</v>
      </c>
      <c r="K792" s="14">
        <v>2.470599271</v>
      </c>
      <c r="L792" s="14">
        <v>4.243923482</v>
      </c>
      <c r="M792" s="14">
        <v>0.903276622</v>
      </c>
      <c r="N792" s="14">
        <v>0.844922016</v>
      </c>
      <c r="O792" s="14">
        <v>1.723313877</v>
      </c>
      <c r="Q792" s="14" t="s">
        <v>4278</v>
      </c>
      <c r="R792" s="14" t="s">
        <v>4279</v>
      </c>
      <c r="S792" s="14" t="s">
        <v>4280</v>
      </c>
      <c r="T792" s="14" t="s">
        <v>4281</v>
      </c>
      <c r="U792" s="14" t="s">
        <v>4282</v>
      </c>
    </row>
    <row r="793" spans="1:21">
      <c r="A793" s="14" t="s">
        <v>4283</v>
      </c>
      <c r="B793" s="14">
        <v>754.1030117</v>
      </c>
      <c r="C793" s="14">
        <v>303.9741885</v>
      </c>
      <c r="D793" s="14">
        <v>1204.231835</v>
      </c>
      <c r="E793" s="14">
        <v>3.959490419</v>
      </c>
      <c r="F793" s="14">
        <v>1.985314769</v>
      </c>
      <c r="G793" s="14">
        <v>0.000516278</v>
      </c>
      <c r="H793" s="14">
        <v>0.002040483</v>
      </c>
      <c r="I793" s="14" t="s">
        <v>164</v>
      </c>
      <c r="J793" s="14">
        <v>14.12216374</v>
      </c>
      <c r="K793" s="14">
        <v>9.984734957</v>
      </c>
      <c r="L793" s="14">
        <v>11.79714925</v>
      </c>
      <c r="M793" s="14">
        <v>1.397737174</v>
      </c>
      <c r="N793" s="14">
        <v>1.009761205</v>
      </c>
      <c r="O793" s="14">
        <v>5.37123343</v>
      </c>
      <c r="P793" s="14" t="s">
        <v>4284</v>
      </c>
      <c r="Q793" s="14" t="s">
        <v>4285</v>
      </c>
      <c r="T793" s="14" t="s">
        <v>4286</v>
      </c>
      <c r="U793" s="14" t="s">
        <v>4287</v>
      </c>
    </row>
    <row r="794" spans="1:21">
      <c r="A794" s="14" t="s">
        <v>4288</v>
      </c>
      <c r="B794" s="14">
        <v>612.7086139</v>
      </c>
      <c r="C794" s="14">
        <v>389.4103461</v>
      </c>
      <c r="D794" s="14">
        <v>836.0068817</v>
      </c>
      <c r="E794" s="14">
        <v>2.148263388</v>
      </c>
      <c r="F794" s="14">
        <v>1.103170886</v>
      </c>
      <c r="G794" s="51" t="s">
        <v>4289</v>
      </c>
      <c r="H794" s="51" t="s">
        <v>4290</v>
      </c>
      <c r="I794" s="14" t="s">
        <v>164</v>
      </c>
      <c r="J794" s="14">
        <v>16.63510133</v>
      </c>
      <c r="K794" s="14">
        <v>14.4099769</v>
      </c>
      <c r="L794" s="14">
        <v>15.5564292</v>
      </c>
      <c r="M794" s="14">
        <v>6.344978464</v>
      </c>
      <c r="N794" s="14">
        <v>6.872705638</v>
      </c>
      <c r="O794" s="14">
        <v>4.451762149</v>
      </c>
      <c r="P794" s="14" t="s">
        <v>4291</v>
      </c>
      <c r="Q794" s="14" t="s">
        <v>4292</v>
      </c>
      <c r="R794" s="14" t="s">
        <v>4293</v>
      </c>
      <c r="S794" s="14" t="s">
        <v>4294</v>
      </c>
      <c r="T794" s="14" t="s">
        <v>4295</v>
      </c>
      <c r="U794" s="14" t="s">
        <v>4296</v>
      </c>
    </row>
    <row r="795" spans="1:21">
      <c r="A795" s="14" t="s">
        <v>4297</v>
      </c>
      <c r="B795" s="14">
        <v>32.03055914</v>
      </c>
      <c r="C795" s="14">
        <v>54.8328344</v>
      </c>
      <c r="D795" s="14">
        <v>9.228283875</v>
      </c>
      <c r="E795" s="14">
        <v>0.16816409</v>
      </c>
      <c r="F795" s="14">
        <v>-2.572058433</v>
      </c>
      <c r="G795" s="14">
        <v>0.000160586</v>
      </c>
      <c r="H795" s="14">
        <v>0.000722717</v>
      </c>
      <c r="I795" s="14" t="s">
        <v>147</v>
      </c>
      <c r="J795" s="14">
        <v>0.229982582</v>
      </c>
      <c r="K795" s="14">
        <v>0.277781206</v>
      </c>
      <c r="L795" s="14">
        <v>0.13286316</v>
      </c>
      <c r="M795" s="14">
        <v>1.495466275</v>
      </c>
      <c r="N795" s="14">
        <v>1.057163837</v>
      </c>
      <c r="O795" s="14">
        <v>0.51979943</v>
      </c>
      <c r="P795" s="14" t="s">
        <v>4291</v>
      </c>
      <c r="Q795" s="14" t="s">
        <v>4292</v>
      </c>
      <c r="R795" s="14" t="s">
        <v>4293</v>
      </c>
      <c r="S795" s="14" t="s">
        <v>4294</v>
      </c>
      <c r="T795" s="14" t="s">
        <v>4295</v>
      </c>
      <c r="U795" s="14" t="s">
        <v>4296</v>
      </c>
    </row>
    <row r="796" spans="1:21">
      <c r="A796" s="14" t="s">
        <v>4298</v>
      </c>
      <c r="B796" s="14">
        <v>365.1542485</v>
      </c>
      <c r="C796" s="14">
        <v>179.6190803</v>
      </c>
      <c r="D796" s="14">
        <v>550.6894167</v>
      </c>
      <c r="E796" s="14">
        <v>3.067804618</v>
      </c>
      <c r="F796" s="14">
        <v>1.617206604</v>
      </c>
      <c r="G796" s="51" t="s">
        <v>4299</v>
      </c>
      <c r="H796" s="51" t="s">
        <v>4300</v>
      </c>
      <c r="I796" s="14" t="s">
        <v>164</v>
      </c>
      <c r="J796" s="14">
        <v>12.13203791</v>
      </c>
      <c r="K796" s="14">
        <v>17.62754256</v>
      </c>
      <c r="L796" s="14">
        <v>10.951243</v>
      </c>
      <c r="M796" s="14">
        <v>3.683263896</v>
      </c>
      <c r="N796" s="14">
        <v>4.577688699</v>
      </c>
      <c r="O796" s="14">
        <v>2.559406006</v>
      </c>
      <c r="P796" s="14" t="s">
        <v>4301</v>
      </c>
      <c r="Q796" s="14" t="s">
        <v>4302</v>
      </c>
      <c r="T796" s="14" t="s">
        <v>4303</v>
      </c>
      <c r="U796" s="14" t="s">
        <v>4304</v>
      </c>
    </row>
    <row r="797" spans="1:21">
      <c r="A797" s="14" t="s">
        <v>4305</v>
      </c>
      <c r="B797" s="14">
        <v>154.1174056</v>
      </c>
      <c r="C797" s="14">
        <v>225.4116143</v>
      </c>
      <c r="D797" s="14">
        <v>82.82319693</v>
      </c>
      <c r="E797" s="14">
        <v>0.367203457</v>
      </c>
      <c r="F797" s="14">
        <v>-1.445348454</v>
      </c>
      <c r="G797" s="51" t="s">
        <v>4306</v>
      </c>
      <c r="H797" s="51" t="s">
        <v>3957</v>
      </c>
      <c r="I797" s="14" t="s">
        <v>147</v>
      </c>
      <c r="J797" s="14">
        <v>0.698644566</v>
      </c>
      <c r="K797" s="14">
        <v>0.969572769</v>
      </c>
      <c r="L797" s="14">
        <v>0.988649759</v>
      </c>
      <c r="M797" s="14">
        <v>1.584960651</v>
      </c>
      <c r="N797" s="14">
        <v>1.650917143</v>
      </c>
      <c r="O797" s="14">
        <v>2.800119217</v>
      </c>
      <c r="P797" s="14" t="s">
        <v>4307</v>
      </c>
      <c r="Q797" s="14" t="s">
        <v>4308</v>
      </c>
      <c r="R797" s="14" t="s">
        <v>1036</v>
      </c>
      <c r="S797" s="14" t="s">
        <v>1037</v>
      </c>
      <c r="T797" s="14" t="s">
        <v>4309</v>
      </c>
      <c r="U797" s="14" t="s">
        <v>4310</v>
      </c>
    </row>
    <row r="798" spans="1:15">
      <c r="A798" s="14" t="s">
        <v>4311</v>
      </c>
      <c r="B798" s="14">
        <v>1904.107027</v>
      </c>
      <c r="C798" s="14">
        <v>2605.087555</v>
      </c>
      <c r="D798" s="14">
        <v>1203.126499</v>
      </c>
      <c r="E798" s="14">
        <v>0.461790441</v>
      </c>
      <c r="F798" s="14">
        <v>-1.114689784</v>
      </c>
      <c r="G798" s="51" t="s">
        <v>4312</v>
      </c>
      <c r="H798" s="51" t="s">
        <v>4313</v>
      </c>
      <c r="I798" s="14" t="s">
        <v>147</v>
      </c>
      <c r="J798" s="14">
        <v>8.959586141</v>
      </c>
      <c r="K798" s="14">
        <v>9.0030984</v>
      </c>
      <c r="L798" s="14">
        <v>9.17890072</v>
      </c>
      <c r="M798" s="14">
        <v>15.41438764</v>
      </c>
      <c r="N798" s="14">
        <v>14.59876007</v>
      </c>
      <c r="O798" s="14">
        <v>18.56001173</v>
      </c>
    </row>
    <row r="799" spans="1:15">
      <c r="A799" s="14" t="s">
        <v>4314</v>
      </c>
      <c r="B799" s="14">
        <v>1223.642072</v>
      </c>
      <c r="C799" s="14">
        <v>1724.68103</v>
      </c>
      <c r="D799" s="14">
        <v>722.6031141</v>
      </c>
      <c r="E799" s="14">
        <v>0.419006785</v>
      </c>
      <c r="F799" s="14">
        <v>-1.254954489</v>
      </c>
      <c r="G799" s="51" t="s">
        <v>4315</v>
      </c>
      <c r="H799" s="51" t="s">
        <v>4316</v>
      </c>
      <c r="I799" s="14" t="s">
        <v>147</v>
      </c>
      <c r="J799" s="14">
        <v>12.04420644</v>
      </c>
      <c r="K799" s="14">
        <v>12.47798374</v>
      </c>
      <c r="L799" s="14">
        <v>10.54671811</v>
      </c>
      <c r="M799" s="14">
        <v>25.04201139</v>
      </c>
      <c r="N799" s="14">
        <v>23.0111863</v>
      </c>
      <c r="O799" s="14">
        <v>20.48659949</v>
      </c>
    </row>
    <row r="800" spans="1:21">
      <c r="A800" s="14" t="s">
        <v>4317</v>
      </c>
      <c r="B800" s="14">
        <v>952.210848</v>
      </c>
      <c r="C800" s="14">
        <v>470.4815073</v>
      </c>
      <c r="D800" s="14">
        <v>1433.940189</v>
      </c>
      <c r="E800" s="14">
        <v>3.048771115</v>
      </c>
      <c r="F800" s="14">
        <v>1.608227845</v>
      </c>
      <c r="G800" s="14">
        <v>0.000204034</v>
      </c>
      <c r="H800" s="14">
        <v>0.00089255</v>
      </c>
      <c r="I800" s="14" t="s">
        <v>164</v>
      </c>
      <c r="J800" s="14">
        <v>13.81986587</v>
      </c>
      <c r="K800" s="14">
        <v>12.57525297</v>
      </c>
      <c r="L800" s="14">
        <v>13.33286923</v>
      </c>
      <c r="M800" s="14">
        <v>3.795326896</v>
      </c>
      <c r="N800" s="14">
        <v>5.067601579</v>
      </c>
      <c r="O800" s="14">
        <v>1.638438809</v>
      </c>
      <c r="P800" s="14" t="s">
        <v>4318</v>
      </c>
      <c r="Q800" s="14" t="s">
        <v>4319</v>
      </c>
      <c r="T800" s="14" t="s">
        <v>4320</v>
      </c>
      <c r="U800" s="14" t="s">
        <v>4321</v>
      </c>
    </row>
    <row r="801" spans="1:21">
      <c r="A801" s="14" t="s">
        <v>4322</v>
      </c>
      <c r="B801" s="14">
        <v>3130.045279</v>
      </c>
      <c r="C801" s="14">
        <v>4887.252247</v>
      </c>
      <c r="D801" s="14">
        <v>1372.838311</v>
      </c>
      <c r="E801" s="14">
        <v>0.280909491</v>
      </c>
      <c r="F801" s="14">
        <v>-1.831822723</v>
      </c>
      <c r="G801" s="51" t="s">
        <v>4323</v>
      </c>
      <c r="H801" s="51" t="s">
        <v>1717</v>
      </c>
      <c r="I801" s="14" t="s">
        <v>147</v>
      </c>
      <c r="J801" s="14">
        <v>9.001430916</v>
      </c>
      <c r="K801" s="14">
        <v>11.18579204</v>
      </c>
      <c r="L801" s="14">
        <v>8.95749968</v>
      </c>
      <c r="M801" s="14">
        <v>34.70811836</v>
      </c>
      <c r="N801" s="14">
        <v>32.86063792</v>
      </c>
      <c r="O801" s="14">
        <v>16.35050674</v>
      </c>
      <c r="P801" s="14" t="s">
        <v>4324</v>
      </c>
      <c r="Q801" s="14" t="s">
        <v>4325</v>
      </c>
      <c r="R801" s="14" t="s">
        <v>4326</v>
      </c>
      <c r="S801" s="14" t="s">
        <v>4327</v>
      </c>
      <c r="T801" s="14" t="s">
        <v>4328</v>
      </c>
      <c r="U801" s="14" t="s">
        <v>4329</v>
      </c>
    </row>
    <row r="802" spans="1:15">
      <c r="A802" s="14" t="s">
        <v>4330</v>
      </c>
      <c r="B802" s="14">
        <v>114.3001402</v>
      </c>
      <c r="C802" s="14">
        <v>192.4978599</v>
      </c>
      <c r="D802" s="14">
        <v>36.10242057</v>
      </c>
      <c r="E802" s="14">
        <v>0.187510898</v>
      </c>
      <c r="F802" s="14">
        <v>-2.41495365</v>
      </c>
      <c r="G802" s="51" t="s">
        <v>4331</v>
      </c>
      <c r="H802" s="51" t="s">
        <v>4332</v>
      </c>
      <c r="I802" s="14" t="s">
        <v>147</v>
      </c>
      <c r="J802" s="14">
        <v>0.774252536</v>
      </c>
      <c r="K802" s="14">
        <v>1.316762306</v>
      </c>
      <c r="L802" s="14">
        <v>0.82260813</v>
      </c>
      <c r="M802" s="14">
        <v>4.614281589</v>
      </c>
      <c r="N802" s="14">
        <v>5.500696537</v>
      </c>
      <c r="O802" s="14">
        <v>2.48075975</v>
      </c>
    </row>
    <row r="803" spans="1:21">
      <c r="A803" s="14" t="s">
        <v>4333</v>
      </c>
      <c r="B803" s="14">
        <v>922.0036743</v>
      </c>
      <c r="C803" s="14">
        <v>1829.274643</v>
      </c>
      <c r="D803" s="14">
        <v>14.73270518</v>
      </c>
      <c r="E803" s="14">
        <v>0.008048122</v>
      </c>
      <c r="F803" s="14">
        <v>-6.957132164</v>
      </c>
      <c r="G803" s="51" t="s">
        <v>4334</v>
      </c>
      <c r="H803" s="51" t="s">
        <v>4335</v>
      </c>
      <c r="I803" s="14" t="s">
        <v>147</v>
      </c>
      <c r="J803" s="14">
        <v>0.174624456</v>
      </c>
      <c r="K803" s="14">
        <v>0.351529461</v>
      </c>
      <c r="L803" s="14">
        <v>0.252205588</v>
      </c>
      <c r="M803" s="14">
        <v>36.36584851</v>
      </c>
      <c r="N803" s="14">
        <v>27.92243857</v>
      </c>
      <c r="O803" s="14">
        <v>13.62379397</v>
      </c>
      <c r="P803" s="14" t="s">
        <v>4336</v>
      </c>
      <c r="Q803" s="14" t="s">
        <v>4337</v>
      </c>
      <c r="T803" s="14" t="s">
        <v>4338</v>
      </c>
      <c r="U803" s="14" t="s">
        <v>4339</v>
      </c>
    </row>
    <row r="804" spans="1:21">
      <c r="A804" s="14" t="s">
        <v>4340</v>
      </c>
      <c r="B804" s="14">
        <v>302.9726451</v>
      </c>
      <c r="C804" s="14">
        <v>422.572888</v>
      </c>
      <c r="D804" s="14">
        <v>183.3724022</v>
      </c>
      <c r="E804" s="14">
        <v>0.434189443</v>
      </c>
      <c r="F804" s="14">
        <v>-1.203603446</v>
      </c>
      <c r="G804" s="51" t="s">
        <v>4341</v>
      </c>
      <c r="H804" s="51" t="s">
        <v>4342</v>
      </c>
      <c r="I804" s="14" t="s">
        <v>147</v>
      </c>
      <c r="J804" s="14">
        <v>2.44525598</v>
      </c>
      <c r="K804" s="14">
        <v>1.709182766</v>
      </c>
      <c r="L804" s="14">
        <v>2.136412108</v>
      </c>
      <c r="M804" s="14">
        <v>4.261783083</v>
      </c>
      <c r="N804" s="14">
        <v>3.744854522</v>
      </c>
      <c r="O804" s="14">
        <v>3.885362327</v>
      </c>
      <c r="P804" s="14" t="s">
        <v>4343</v>
      </c>
      <c r="Q804" s="14" t="s">
        <v>4344</v>
      </c>
      <c r="T804" s="14" t="s">
        <v>4345</v>
      </c>
      <c r="U804" s="14" t="s">
        <v>4346</v>
      </c>
    </row>
    <row r="805" spans="1:21">
      <c r="A805" s="14" t="s">
        <v>4347</v>
      </c>
      <c r="B805" s="14">
        <v>1960.6354</v>
      </c>
      <c r="C805" s="14">
        <v>1203.715623</v>
      </c>
      <c r="D805" s="14">
        <v>2717.555177</v>
      </c>
      <c r="E805" s="14">
        <v>2.258410157</v>
      </c>
      <c r="F805" s="14">
        <v>1.175307523</v>
      </c>
      <c r="G805" s="51" t="s">
        <v>4348</v>
      </c>
      <c r="H805" s="51" t="s">
        <v>4349</v>
      </c>
      <c r="I805" s="14" t="s">
        <v>164</v>
      </c>
      <c r="J805" s="14">
        <v>31.07919255</v>
      </c>
      <c r="K805" s="14">
        <v>32.30736948</v>
      </c>
      <c r="L805" s="14">
        <v>38.9665434</v>
      </c>
      <c r="M805" s="14">
        <v>13.51878369</v>
      </c>
      <c r="N805" s="14">
        <v>11.91945118</v>
      </c>
      <c r="O805" s="14">
        <v>11.67721476</v>
      </c>
      <c r="P805" s="14" t="s">
        <v>4350</v>
      </c>
      <c r="Q805" s="14" t="s">
        <v>4351</v>
      </c>
      <c r="R805" s="14" t="s">
        <v>4352</v>
      </c>
      <c r="S805" s="14" t="s">
        <v>4353</v>
      </c>
      <c r="T805" s="14" t="s">
        <v>4354</v>
      </c>
      <c r="U805" s="14" t="s">
        <v>4355</v>
      </c>
    </row>
    <row r="806" spans="1:21">
      <c r="A806" s="14" t="s">
        <v>4356</v>
      </c>
      <c r="B806" s="14">
        <v>42.47733545</v>
      </c>
      <c r="C806" s="14">
        <v>6.111880311</v>
      </c>
      <c r="D806" s="14">
        <v>78.84279058</v>
      </c>
      <c r="E806" s="14">
        <v>12.74483571</v>
      </c>
      <c r="F806" s="14">
        <v>3.671840871</v>
      </c>
      <c r="G806" s="51" t="s">
        <v>4357</v>
      </c>
      <c r="H806" s="51" t="s">
        <v>4358</v>
      </c>
      <c r="I806" s="14" t="s">
        <v>164</v>
      </c>
      <c r="J806" s="14">
        <v>4.618816851</v>
      </c>
      <c r="K806" s="14">
        <v>3.202628685</v>
      </c>
      <c r="L806" s="14">
        <v>4.447225205</v>
      </c>
      <c r="M806" s="14">
        <v>0</v>
      </c>
      <c r="N806" s="14">
        <v>0.337005932</v>
      </c>
      <c r="O806" s="14">
        <v>0.472561142</v>
      </c>
      <c r="P806" s="14" t="s">
        <v>4359</v>
      </c>
      <c r="Q806" s="14" t="s">
        <v>4360</v>
      </c>
      <c r="T806" s="14" t="s">
        <v>4361</v>
      </c>
      <c r="U806" s="14" t="s">
        <v>4362</v>
      </c>
    </row>
    <row r="807" spans="1:21">
      <c r="A807" s="14" t="s">
        <v>4363</v>
      </c>
      <c r="B807" s="14">
        <v>269.0638092</v>
      </c>
      <c r="C807" s="14">
        <v>135.309248</v>
      </c>
      <c r="D807" s="14">
        <v>402.8183705</v>
      </c>
      <c r="E807" s="14">
        <v>2.975986866</v>
      </c>
      <c r="F807" s="14">
        <v>1.57336816</v>
      </c>
      <c r="G807" s="51" t="s">
        <v>4364</v>
      </c>
      <c r="H807" s="51" t="s">
        <v>4365</v>
      </c>
      <c r="I807" s="14" t="s">
        <v>164</v>
      </c>
      <c r="J807" s="14">
        <v>10.09812561</v>
      </c>
      <c r="K807" s="14">
        <v>11.81986512</v>
      </c>
      <c r="L807" s="14">
        <v>8.918818768</v>
      </c>
      <c r="M807" s="14">
        <v>2.122081379</v>
      </c>
      <c r="N807" s="14">
        <v>3.656283538</v>
      </c>
      <c r="O807" s="14">
        <v>2.754154598</v>
      </c>
      <c r="P807" s="14" t="s">
        <v>4366</v>
      </c>
      <c r="Q807" s="14" t="s">
        <v>4367</v>
      </c>
      <c r="T807" s="14" t="s">
        <v>4368</v>
      </c>
      <c r="U807" s="14" t="s">
        <v>4369</v>
      </c>
    </row>
    <row r="808" spans="1:21">
      <c r="A808" s="14" t="s">
        <v>4370</v>
      </c>
      <c r="B808" s="14">
        <v>13.11729977</v>
      </c>
      <c r="C808" s="14">
        <v>19.96725773</v>
      </c>
      <c r="D808" s="14">
        <v>6.267341819</v>
      </c>
      <c r="E808" s="14">
        <v>0.312319443</v>
      </c>
      <c r="F808" s="14">
        <v>-1.678905708</v>
      </c>
      <c r="G808" s="14">
        <v>0.016588956</v>
      </c>
      <c r="H808" s="14">
        <v>0.041526008</v>
      </c>
      <c r="I808" s="14" t="s">
        <v>147</v>
      </c>
      <c r="J808" s="14">
        <v>0.120229506</v>
      </c>
      <c r="K808" s="14">
        <v>0.181521883</v>
      </c>
      <c r="L808" s="14">
        <v>0.077175275</v>
      </c>
      <c r="M808" s="14">
        <v>0.325747806</v>
      </c>
      <c r="N808" s="14">
        <v>0.230275203</v>
      </c>
      <c r="O808" s="14">
        <v>0.452898274</v>
      </c>
      <c r="P808" s="14" t="s">
        <v>4371</v>
      </c>
      <c r="Q808" s="14" t="s">
        <v>4372</v>
      </c>
      <c r="T808" s="14" t="s">
        <v>4373</v>
      </c>
      <c r="U808" s="14" t="s">
        <v>4374</v>
      </c>
    </row>
    <row r="809" spans="1:21">
      <c r="A809" s="14" t="s">
        <v>4375</v>
      </c>
      <c r="B809" s="14">
        <v>8963.650639</v>
      </c>
      <c r="C809" s="14">
        <v>12828.27876</v>
      </c>
      <c r="D809" s="14">
        <v>5099.022516</v>
      </c>
      <c r="E809" s="14">
        <v>0.397467559</v>
      </c>
      <c r="F809" s="14">
        <v>-1.331090983</v>
      </c>
      <c r="G809" s="51" t="s">
        <v>4376</v>
      </c>
      <c r="H809" s="51" t="s">
        <v>4377</v>
      </c>
      <c r="I809" s="14" t="s">
        <v>147</v>
      </c>
      <c r="J809" s="14">
        <v>84.27902843</v>
      </c>
      <c r="K809" s="14">
        <v>77.837016</v>
      </c>
      <c r="L809" s="14">
        <v>69.43161127</v>
      </c>
      <c r="M809" s="14">
        <v>140.5458322</v>
      </c>
      <c r="N809" s="14">
        <v>129.3686768</v>
      </c>
      <c r="O809" s="14">
        <v>215.5936643</v>
      </c>
      <c r="P809" s="14" t="s">
        <v>3842</v>
      </c>
      <c r="Q809" s="14" t="s">
        <v>3843</v>
      </c>
      <c r="R809" s="14" t="s">
        <v>3844</v>
      </c>
      <c r="S809" s="14" t="s">
        <v>3845</v>
      </c>
      <c r="T809" s="14" t="s">
        <v>3846</v>
      </c>
      <c r="U809" s="14" t="s">
        <v>3847</v>
      </c>
    </row>
    <row r="810" spans="1:21">
      <c r="A810" s="14" t="s">
        <v>4378</v>
      </c>
      <c r="B810" s="14">
        <v>28484.87402</v>
      </c>
      <c r="C810" s="14">
        <v>40363.72095</v>
      </c>
      <c r="D810" s="14">
        <v>16606.0271</v>
      </c>
      <c r="E810" s="14">
        <v>0.41140769</v>
      </c>
      <c r="F810" s="14">
        <v>-1.281359334</v>
      </c>
      <c r="G810" s="51" t="s">
        <v>4379</v>
      </c>
      <c r="H810" s="51" t="s">
        <v>4380</v>
      </c>
      <c r="I810" s="14" t="s">
        <v>147</v>
      </c>
      <c r="J810" s="14">
        <v>101.0159518</v>
      </c>
      <c r="K810" s="14">
        <v>87.60117517</v>
      </c>
      <c r="L810" s="14">
        <v>76.52411201</v>
      </c>
      <c r="M810" s="14">
        <v>183.1734316</v>
      </c>
      <c r="N810" s="14">
        <v>162.873581</v>
      </c>
      <c r="O810" s="14">
        <v>184.8234951</v>
      </c>
      <c r="P810" s="14" t="s">
        <v>4381</v>
      </c>
      <c r="Q810" s="14" t="s">
        <v>4382</v>
      </c>
      <c r="T810" s="14" t="s">
        <v>4383</v>
      </c>
      <c r="U810" s="14" t="s">
        <v>4384</v>
      </c>
    </row>
    <row r="811" spans="1:21">
      <c r="A811" s="14" t="s">
        <v>4385</v>
      </c>
      <c r="B811" s="14">
        <v>208.1885909</v>
      </c>
      <c r="C811" s="14">
        <v>112.8872003</v>
      </c>
      <c r="D811" s="14">
        <v>303.4899815</v>
      </c>
      <c r="E811" s="14">
        <v>2.684458925</v>
      </c>
      <c r="F811" s="14">
        <v>1.42463133</v>
      </c>
      <c r="G811" s="14">
        <v>0.007675</v>
      </c>
      <c r="H811" s="14">
        <v>0.021455612</v>
      </c>
      <c r="I811" s="14" t="s">
        <v>164</v>
      </c>
      <c r="J811" s="14">
        <v>4.309100269</v>
      </c>
      <c r="K811" s="14">
        <v>3.618883066</v>
      </c>
      <c r="L811" s="14">
        <v>4.460190877</v>
      </c>
      <c r="M811" s="14">
        <v>0.702804515</v>
      </c>
      <c r="N811" s="14">
        <v>0.663204094</v>
      </c>
      <c r="O811" s="14">
        <v>2.57009134</v>
      </c>
      <c r="P811" s="14" t="s">
        <v>4386</v>
      </c>
      <c r="Q811" s="14" t="s">
        <v>4387</v>
      </c>
      <c r="R811" s="14" t="s">
        <v>4388</v>
      </c>
      <c r="S811" s="14" t="s">
        <v>4389</v>
      </c>
      <c r="T811" s="14" t="s">
        <v>4390</v>
      </c>
      <c r="U811" s="14" t="s">
        <v>4391</v>
      </c>
    </row>
    <row r="812" spans="1:21">
      <c r="A812" s="14" t="s">
        <v>4392</v>
      </c>
      <c r="B812" s="14">
        <v>5581.068676</v>
      </c>
      <c r="C812" s="14">
        <v>3593.842352</v>
      </c>
      <c r="D812" s="14">
        <v>7568.295</v>
      </c>
      <c r="E812" s="14">
        <v>2.106098505</v>
      </c>
      <c r="F812" s="14">
        <v>1.074572914</v>
      </c>
      <c r="G812" s="51" t="s">
        <v>4393</v>
      </c>
      <c r="H812" s="51" t="s">
        <v>4394</v>
      </c>
      <c r="I812" s="14" t="s">
        <v>164</v>
      </c>
      <c r="J812" s="14">
        <v>72.97818518</v>
      </c>
      <c r="K812" s="14">
        <v>62.80321331</v>
      </c>
      <c r="L812" s="14">
        <v>65.68860522</v>
      </c>
      <c r="M812" s="14">
        <v>27.32820018</v>
      </c>
      <c r="N812" s="14">
        <v>28.81545014</v>
      </c>
      <c r="O812" s="14">
        <v>22.01388534</v>
      </c>
      <c r="P812" s="14" t="s">
        <v>4395</v>
      </c>
      <c r="Q812" s="14" t="s">
        <v>4396</v>
      </c>
      <c r="R812" s="14" t="s">
        <v>4397</v>
      </c>
      <c r="S812" s="14" t="s">
        <v>4398</v>
      </c>
      <c r="T812" s="14" t="s">
        <v>4399</v>
      </c>
      <c r="U812" s="14" t="s">
        <v>4400</v>
      </c>
    </row>
    <row r="813" spans="1:21">
      <c r="A813" s="14" t="s">
        <v>4401</v>
      </c>
      <c r="B813" s="14">
        <v>55.00617262</v>
      </c>
      <c r="C813" s="14">
        <v>28.00434261</v>
      </c>
      <c r="D813" s="14">
        <v>82.00800263</v>
      </c>
      <c r="E813" s="14">
        <v>2.923097997</v>
      </c>
      <c r="F813" s="14">
        <v>1.547498196</v>
      </c>
      <c r="G813" s="14">
        <v>0.000603965</v>
      </c>
      <c r="H813" s="14">
        <v>0.002345417</v>
      </c>
      <c r="I813" s="14" t="s">
        <v>164</v>
      </c>
      <c r="J813" s="14">
        <v>1.088671898</v>
      </c>
      <c r="K813" s="14">
        <v>1.37319364</v>
      </c>
      <c r="L813" s="14">
        <v>0.95534624</v>
      </c>
      <c r="M813" s="14">
        <v>0.188650513</v>
      </c>
      <c r="N813" s="14">
        <v>0.452469427</v>
      </c>
      <c r="O813" s="14">
        <v>0.323001874</v>
      </c>
      <c r="Q813" s="14" t="s">
        <v>4402</v>
      </c>
      <c r="T813" s="14" t="s">
        <v>4403</v>
      </c>
      <c r="U813" s="14" t="s">
        <v>4404</v>
      </c>
    </row>
    <row r="814" spans="1:21">
      <c r="A814" s="14" t="s">
        <v>4405</v>
      </c>
      <c r="B814" s="14">
        <v>2360.292048</v>
      </c>
      <c r="C814" s="14">
        <v>3586.914879</v>
      </c>
      <c r="D814" s="14">
        <v>1133.669217</v>
      </c>
      <c r="E814" s="14">
        <v>0.316109353</v>
      </c>
      <c r="F814" s="14">
        <v>-1.661504372</v>
      </c>
      <c r="G814" s="51" t="s">
        <v>4406</v>
      </c>
      <c r="H814" s="51" t="s">
        <v>424</v>
      </c>
      <c r="I814" s="14" t="s">
        <v>147</v>
      </c>
      <c r="J814" s="14">
        <v>11.33056387</v>
      </c>
      <c r="K814" s="14">
        <v>12.28353588</v>
      </c>
      <c r="L814" s="14">
        <v>14.37942063</v>
      </c>
      <c r="M814" s="14">
        <v>35.48612466</v>
      </c>
      <c r="N814" s="14">
        <v>34.49841141</v>
      </c>
      <c r="O814" s="14">
        <v>28.14906393</v>
      </c>
      <c r="P814" s="14" t="s">
        <v>4407</v>
      </c>
      <c r="Q814" s="14" t="s">
        <v>4408</v>
      </c>
      <c r="T814" s="14" t="s">
        <v>4409</v>
      </c>
      <c r="U814" s="14" t="s">
        <v>4410</v>
      </c>
    </row>
    <row r="815" spans="1:21">
      <c r="A815" s="14" t="s">
        <v>4411</v>
      </c>
      <c r="B815" s="14">
        <v>9070.452451</v>
      </c>
      <c r="C815" s="14">
        <v>12486.96186</v>
      </c>
      <c r="D815" s="14">
        <v>5653.943044</v>
      </c>
      <c r="E815" s="14">
        <v>0.452795451</v>
      </c>
      <c r="F815" s="14">
        <v>-1.14306863</v>
      </c>
      <c r="G815" s="51" t="s">
        <v>4412</v>
      </c>
      <c r="H815" s="14">
        <v>0.000337576</v>
      </c>
      <c r="I815" s="14" t="s">
        <v>147</v>
      </c>
      <c r="J815" s="14">
        <v>36.73141183</v>
      </c>
      <c r="K815" s="14">
        <v>49.33466768</v>
      </c>
      <c r="L815" s="14">
        <v>40.32372108</v>
      </c>
      <c r="M815" s="14">
        <v>92.05711676</v>
      </c>
      <c r="N815" s="14">
        <v>80.88479198</v>
      </c>
      <c r="O815" s="14">
        <v>53.86592458</v>
      </c>
      <c r="P815" s="14" t="s">
        <v>4413</v>
      </c>
      <c r="Q815" s="14" t="s">
        <v>4414</v>
      </c>
      <c r="R815" s="14" t="s">
        <v>841</v>
      </c>
      <c r="S815" s="14" t="s">
        <v>842</v>
      </c>
      <c r="T815" s="14" t="s">
        <v>4415</v>
      </c>
      <c r="U815" s="14" t="s">
        <v>4416</v>
      </c>
    </row>
    <row r="816" spans="1:21">
      <c r="A816" s="14" t="s">
        <v>4417</v>
      </c>
      <c r="B816" s="14">
        <v>4.039891861</v>
      </c>
      <c r="C816" s="14">
        <v>8.079783722</v>
      </c>
      <c r="D816" s="14">
        <v>0</v>
      </c>
      <c r="E816" s="14">
        <v>0.022322765</v>
      </c>
      <c r="F816" s="14">
        <v>-5.485340469</v>
      </c>
      <c r="G816" s="14">
        <v>0.002053559</v>
      </c>
      <c r="H816" s="14">
        <v>0.006865624</v>
      </c>
      <c r="I816" s="14" t="s">
        <v>147</v>
      </c>
      <c r="J816" s="14">
        <v>0</v>
      </c>
      <c r="K816" s="14">
        <v>0</v>
      </c>
      <c r="L816" s="14">
        <v>0</v>
      </c>
      <c r="M816" s="14">
        <v>0.174345672</v>
      </c>
      <c r="N816" s="14">
        <v>0.167263974</v>
      </c>
      <c r="O816" s="14">
        <v>0.170576883</v>
      </c>
      <c r="P816" s="14" t="s">
        <v>4418</v>
      </c>
      <c r="Q816" s="14" t="s">
        <v>4419</v>
      </c>
      <c r="R816" s="14" t="s">
        <v>4420</v>
      </c>
      <c r="S816" s="14" t="s">
        <v>4421</v>
      </c>
      <c r="T816" s="14" t="s">
        <v>4422</v>
      </c>
      <c r="U816" s="14" t="s">
        <v>4423</v>
      </c>
    </row>
    <row r="817" spans="1:21">
      <c r="A817" s="14" t="s">
        <v>4424</v>
      </c>
      <c r="B817" s="14">
        <v>289.3861251</v>
      </c>
      <c r="C817" s="14">
        <v>432.0181403</v>
      </c>
      <c r="D817" s="14">
        <v>146.7541099</v>
      </c>
      <c r="E817" s="14">
        <v>0.33945684</v>
      </c>
      <c r="F817" s="14">
        <v>-1.55869994</v>
      </c>
      <c r="G817" s="51" t="s">
        <v>4425</v>
      </c>
      <c r="H817" s="51" t="s">
        <v>4426</v>
      </c>
      <c r="I817" s="14" t="s">
        <v>147</v>
      </c>
      <c r="J817" s="14">
        <v>1.118764267</v>
      </c>
      <c r="K817" s="14">
        <v>1.409736052</v>
      </c>
      <c r="L817" s="14">
        <v>1.266328533</v>
      </c>
      <c r="M817" s="14">
        <v>2.506279472</v>
      </c>
      <c r="N817" s="14">
        <v>2.544680386</v>
      </c>
      <c r="O817" s="14">
        <v>4.275092978</v>
      </c>
      <c r="P817" s="14" t="s">
        <v>4427</v>
      </c>
      <c r="Q817" s="14" t="s">
        <v>4428</v>
      </c>
      <c r="T817" s="14" t="s">
        <v>4429</v>
      </c>
      <c r="U817" s="14" t="s">
        <v>4430</v>
      </c>
    </row>
    <row r="818" spans="1:15">
      <c r="A818" s="14" t="s">
        <v>4431</v>
      </c>
      <c r="B818" s="14">
        <v>2220.140963</v>
      </c>
      <c r="C818" s="14">
        <v>3340.195644</v>
      </c>
      <c r="D818" s="14">
        <v>1100.086282</v>
      </c>
      <c r="E818" s="14">
        <v>0.329354256</v>
      </c>
      <c r="F818" s="14">
        <v>-1.602287903</v>
      </c>
      <c r="G818" s="14">
        <v>0.001207651</v>
      </c>
      <c r="H818" s="14">
        <v>0.004320525</v>
      </c>
      <c r="I818" s="14" t="s">
        <v>147</v>
      </c>
      <c r="J818" s="14">
        <v>39.04303747</v>
      </c>
      <c r="K818" s="14">
        <v>80.13706422</v>
      </c>
      <c r="L818" s="14">
        <v>50.56568769</v>
      </c>
      <c r="M818" s="14">
        <v>167.5490801</v>
      </c>
      <c r="N818" s="14">
        <v>186.6752197</v>
      </c>
      <c r="O818" s="14">
        <v>60.96537158</v>
      </c>
    </row>
    <row r="819" spans="1:15">
      <c r="A819" s="14" t="s">
        <v>4432</v>
      </c>
      <c r="B819" s="14">
        <v>294.394918</v>
      </c>
      <c r="C819" s="14">
        <v>547.0552657</v>
      </c>
      <c r="D819" s="14">
        <v>41.7345702</v>
      </c>
      <c r="E819" s="14">
        <v>0.076260172</v>
      </c>
      <c r="F819" s="14">
        <v>-3.71292641</v>
      </c>
      <c r="G819" s="51" t="s">
        <v>4433</v>
      </c>
      <c r="H819" s="51" t="s">
        <v>4434</v>
      </c>
      <c r="I819" s="14" t="s">
        <v>147</v>
      </c>
      <c r="J819" s="14">
        <v>3.248398664</v>
      </c>
      <c r="K819" s="14">
        <v>6.130519283</v>
      </c>
      <c r="L819" s="14">
        <v>3.420942466</v>
      </c>
      <c r="M819" s="14">
        <v>55.32569311</v>
      </c>
      <c r="N819" s="14">
        <v>62.07760371</v>
      </c>
      <c r="O819" s="14">
        <v>17.5900381</v>
      </c>
    </row>
    <row r="820" spans="1:15">
      <c r="A820" s="14" t="s">
        <v>4435</v>
      </c>
      <c r="B820" s="14">
        <v>11.35605742</v>
      </c>
      <c r="C820" s="14">
        <v>20.73182268</v>
      </c>
      <c r="D820" s="14">
        <v>1.980292163</v>
      </c>
      <c r="E820" s="14">
        <v>0.095098022</v>
      </c>
      <c r="F820" s="14">
        <v>-3.394440861</v>
      </c>
      <c r="G820" s="14">
        <v>0.000470282</v>
      </c>
      <c r="H820" s="14">
        <v>0.001882077</v>
      </c>
      <c r="I820" s="14" t="s">
        <v>147</v>
      </c>
      <c r="J820" s="14">
        <v>0.153109951</v>
      </c>
      <c r="K820" s="14">
        <v>0.102739826</v>
      </c>
      <c r="L820" s="14">
        <v>0.04914061</v>
      </c>
      <c r="M820" s="14">
        <v>0.786000376</v>
      </c>
      <c r="N820" s="14">
        <v>1.298683081</v>
      </c>
      <c r="O820" s="14">
        <v>0.512673062</v>
      </c>
    </row>
    <row r="821" spans="1:15">
      <c r="A821" s="14" t="s">
        <v>4436</v>
      </c>
      <c r="B821" s="14">
        <v>443.6287383</v>
      </c>
      <c r="C821" s="14">
        <v>142.0596565</v>
      </c>
      <c r="D821" s="14">
        <v>745.19782</v>
      </c>
      <c r="E821" s="14">
        <v>5.241288653</v>
      </c>
      <c r="F821" s="14">
        <v>2.389921565</v>
      </c>
      <c r="G821" s="14">
        <v>0.005522247</v>
      </c>
      <c r="H821" s="14">
        <v>0.016149695</v>
      </c>
      <c r="I821" s="14" t="s">
        <v>164</v>
      </c>
      <c r="J821" s="14">
        <v>22.10769286</v>
      </c>
      <c r="K821" s="14">
        <v>29.37523172</v>
      </c>
      <c r="L821" s="14">
        <v>19.05522935</v>
      </c>
      <c r="M821" s="14">
        <v>0.803763096</v>
      </c>
      <c r="N821" s="14">
        <v>0.925338322</v>
      </c>
      <c r="O821" s="14">
        <v>10.0919837</v>
      </c>
    </row>
    <row r="822" spans="1:15">
      <c r="A822" s="14" t="s">
        <v>4437</v>
      </c>
      <c r="B822" s="14">
        <v>509.1321266</v>
      </c>
      <c r="C822" s="14">
        <v>762.7492054</v>
      </c>
      <c r="D822" s="14">
        <v>255.5150479</v>
      </c>
      <c r="E822" s="14">
        <v>0.335077028</v>
      </c>
      <c r="F822" s="14">
        <v>-1.577435314</v>
      </c>
      <c r="G822" s="51" t="s">
        <v>4438</v>
      </c>
      <c r="H822" s="51" t="s">
        <v>4439</v>
      </c>
      <c r="I822" s="14" t="s">
        <v>147</v>
      </c>
      <c r="J822" s="14">
        <v>6.967367792</v>
      </c>
      <c r="K822" s="14">
        <v>6.592617276</v>
      </c>
      <c r="L822" s="14">
        <v>6.633149459</v>
      </c>
      <c r="M822" s="14">
        <v>18.30793719</v>
      </c>
      <c r="N822" s="14">
        <v>20.07041685</v>
      </c>
      <c r="O822" s="14">
        <v>10.48517787</v>
      </c>
    </row>
    <row r="823" spans="1:15">
      <c r="A823" s="14" t="s">
        <v>4440</v>
      </c>
      <c r="B823" s="14">
        <v>14.46035321</v>
      </c>
      <c r="C823" s="14">
        <v>2.796545816</v>
      </c>
      <c r="D823" s="14">
        <v>26.12416061</v>
      </c>
      <c r="E823" s="14">
        <v>9.516786319</v>
      </c>
      <c r="F823" s="14">
        <v>3.250474479</v>
      </c>
      <c r="G823" s="14">
        <v>0.000649733</v>
      </c>
      <c r="H823" s="14">
        <v>0.002504586</v>
      </c>
      <c r="I823" s="14" t="s">
        <v>164</v>
      </c>
      <c r="J823" s="14">
        <v>0.539008039</v>
      </c>
      <c r="K823" s="14">
        <v>0.185253358</v>
      </c>
      <c r="L823" s="14">
        <v>0.316453406</v>
      </c>
      <c r="M823" s="14">
        <v>0.056240539</v>
      </c>
      <c r="N823" s="14">
        <v>0.021582448</v>
      </c>
      <c r="O823" s="14">
        <v>0.01100496</v>
      </c>
    </row>
    <row r="824" spans="1:21">
      <c r="A824" s="14" t="s">
        <v>4441</v>
      </c>
      <c r="B824" s="14">
        <v>459.3435452</v>
      </c>
      <c r="C824" s="14">
        <v>643.362191</v>
      </c>
      <c r="D824" s="14">
        <v>275.3248995</v>
      </c>
      <c r="E824" s="14">
        <v>0.428153754</v>
      </c>
      <c r="F824" s="14">
        <v>-1.223799121</v>
      </c>
      <c r="G824" s="51" t="s">
        <v>4442</v>
      </c>
      <c r="H824" s="51" t="s">
        <v>4443</v>
      </c>
      <c r="I824" s="14" t="s">
        <v>147</v>
      </c>
      <c r="J824" s="14">
        <v>0.884074289</v>
      </c>
      <c r="K824" s="14">
        <v>0.614204282</v>
      </c>
      <c r="L824" s="14">
        <v>0.988803026</v>
      </c>
      <c r="M824" s="14">
        <v>1.459335069</v>
      </c>
      <c r="N824" s="14">
        <v>1.732358904</v>
      </c>
      <c r="O824" s="14">
        <v>1.577295669</v>
      </c>
      <c r="P824" s="14" t="s">
        <v>4444</v>
      </c>
      <c r="Q824" s="14" t="s">
        <v>4445</v>
      </c>
      <c r="T824" s="14" t="s">
        <v>4446</v>
      </c>
      <c r="U824" s="14" t="s">
        <v>4447</v>
      </c>
    </row>
    <row r="825" spans="1:15">
      <c r="A825" s="14" t="s">
        <v>4448</v>
      </c>
      <c r="B825" s="14">
        <v>13.03937398</v>
      </c>
      <c r="C825" s="14">
        <v>2.871496703</v>
      </c>
      <c r="D825" s="14">
        <v>23.20725126</v>
      </c>
      <c r="E825" s="14">
        <v>7.938473467</v>
      </c>
      <c r="F825" s="14">
        <v>2.98886161</v>
      </c>
      <c r="G825" s="14">
        <v>0.005021739</v>
      </c>
      <c r="H825" s="14">
        <v>0.014876473</v>
      </c>
      <c r="I825" s="14" t="s">
        <v>164</v>
      </c>
      <c r="J825" s="14">
        <v>0.226535976</v>
      </c>
      <c r="K825" s="14">
        <v>0.627041874</v>
      </c>
      <c r="L825" s="14">
        <v>0.472593414</v>
      </c>
      <c r="M825" s="14">
        <v>0</v>
      </c>
      <c r="N825" s="14">
        <v>0.046487535</v>
      </c>
      <c r="O825" s="14">
        <v>0.094816578</v>
      </c>
    </row>
    <row r="826" spans="1:15">
      <c r="A826" s="14" t="s">
        <v>4449</v>
      </c>
      <c r="B826" s="14">
        <v>118.6865947</v>
      </c>
      <c r="C826" s="14">
        <v>217.2600844</v>
      </c>
      <c r="D826" s="14">
        <v>20.11310508</v>
      </c>
      <c r="E826" s="14">
        <v>0.092399077</v>
      </c>
      <c r="F826" s="14">
        <v>-3.435977751</v>
      </c>
      <c r="G826" s="51" t="s">
        <v>4450</v>
      </c>
      <c r="H826" s="51" t="s">
        <v>1604</v>
      </c>
      <c r="I826" s="14" t="s">
        <v>147</v>
      </c>
      <c r="J826" s="14">
        <v>0.2296015</v>
      </c>
      <c r="K826" s="14">
        <v>0.831962766</v>
      </c>
      <c r="L826" s="14">
        <v>0.331607513</v>
      </c>
      <c r="M826" s="14">
        <v>2.337705343</v>
      </c>
      <c r="N826" s="14">
        <v>3.034309832</v>
      </c>
      <c r="O826" s="14">
        <v>7.43811308</v>
      </c>
    </row>
    <row r="827" spans="1:15">
      <c r="A827" s="14" t="s">
        <v>4451</v>
      </c>
      <c r="B827" s="14">
        <v>4662.453906</v>
      </c>
      <c r="C827" s="14">
        <v>9252.388656</v>
      </c>
      <c r="D827" s="14">
        <v>72.51915578</v>
      </c>
      <c r="E827" s="14">
        <v>0.007834079</v>
      </c>
      <c r="F827" s="14">
        <v>-6.99602063</v>
      </c>
      <c r="G827" s="51" t="s">
        <v>4452</v>
      </c>
      <c r="H827" s="51" t="s">
        <v>4453</v>
      </c>
      <c r="I827" s="14" t="s">
        <v>147</v>
      </c>
      <c r="J827" s="14">
        <v>5.260319192</v>
      </c>
      <c r="K827" s="14">
        <v>5.940359657</v>
      </c>
      <c r="L827" s="14">
        <v>2.84128277</v>
      </c>
      <c r="M827" s="14">
        <v>465.3285974</v>
      </c>
      <c r="N827" s="14">
        <v>809.972695</v>
      </c>
      <c r="O827" s="14">
        <v>168.5110071</v>
      </c>
    </row>
    <row r="828" spans="1:15">
      <c r="A828" s="14" t="s">
        <v>4454</v>
      </c>
      <c r="B828" s="14">
        <v>227.9950474</v>
      </c>
      <c r="C828" s="14">
        <v>454.9858612</v>
      </c>
      <c r="D828" s="14">
        <v>1.004233626</v>
      </c>
      <c r="E828" s="14">
        <v>0.002175974</v>
      </c>
      <c r="F828" s="14">
        <v>-8.844122662</v>
      </c>
      <c r="G828" s="51" t="s">
        <v>4455</v>
      </c>
      <c r="H828" s="51" t="s">
        <v>4456</v>
      </c>
      <c r="I828" s="14" t="s">
        <v>147</v>
      </c>
      <c r="J828" s="14">
        <v>0.093309431</v>
      </c>
      <c r="K828" s="14">
        <v>0.18783746</v>
      </c>
      <c r="L828" s="14">
        <v>0</v>
      </c>
      <c r="M828" s="14">
        <v>18.60156781</v>
      </c>
      <c r="N828" s="14">
        <v>79.34957857</v>
      </c>
      <c r="O828" s="14">
        <v>4.920884615</v>
      </c>
    </row>
    <row r="829" spans="1:15">
      <c r="A829" s="14" t="s">
        <v>4457</v>
      </c>
      <c r="B829" s="14">
        <v>47.83945521</v>
      </c>
      <c r="C829" s="14">
        <v>93.0122942</v>
      </c>
      <c r="D829" s="14">
        <v>2.666616219</v>
      </c>
      <c r="E829" s="14">
        <v>0.028504856</v>
      </c>
      <c r="F829" s="14">
        <v>-5.132648481</v>
      </c>
      <c r="G829" s="51" t="s">
        <v>4458</v>
      </c>
      <c r="H829" s="14">
        <v>0.000157401</v>
      </c>
      <c r="I829" s="14" t="s">
        <v>147</v>
      </c>
      <c r="J829" s="14">
        <v>0</v>
      </c>
      <c r="K829" s="14">
        <v>0.765713879</v>
      </c>
      <c r="L829" s="14">
        <v>0.104640593</v>
      </c>
      <c r="M829" s="14">
        <v>5.300108415</v>
      </c>
      <c r="N829" s="14">
        <v>16.77100109</v>
      </c>
      <c r="O829" s="14">
        <v>2.547281448</v>
      </c>
    </row>
    <row r="830" spans="1:21">
      <c r="A830" s="14" t="s">
        <v>4459</v>
      </c>
      <c r="B830" s="14">
        <v>3067.622723</v>
      </c>
      <c r="C830" s="14">
        <v>4679.504946</v>
      </c>
      <c r="D830" s="14">
        <v>1455.7405</v>
      </c>
      <c r="E830" s="14">
        <v>0.311098186</v>
      </c>
      <c r="F830" s="14">
        <v>-1.684558111</v>
      </c>
      <c r="G830" s="51" t="s">
        <v>4460</v>
      </c>
      <c r="H830" s="51" t="s">
        <v>4461</v>
      </c>
      <c r="I830" s="14" t="s">
        <v>147</v>
      </c>
      <c r="J830" s="14">
        <v>21.26329615</v>
      </c>
      <c r="K830" s="14">
        <v>26.01426496</v>
      </c>
      <c r="L830" s="14">
        <v>21.86342539</v>
      </c>
      <c r="M830" s="14">
        <v>66.59491291</v>
      </c>
      <c r="N830" s="14">
        <v>67.5481256</v>
      </c>
      <c r="O830" s="14">
        <v>47.04058385</v>
      </c>
      <c r="P830" s="14" t="s">
        <v>4462</v>
      </c>
      <c r="Q830" s="14" t="s">
        <v>4463</v>
      </c>
      <c r="T830" s="14" t="s">
        <v>4464</v>
      </c>
      <c r="U830" s="14" t="s">
        <v>4465</v>
      </c>
    </row>
    <row r="831" spans="1:21">
      <c r="A831" s="14" t="s">
        <v>4466</v>
      </c>
      <c r="B831" s="14">
        <v>2905.557068</v>
      </c>
      <c r="C831" s="14">
        <v>1888.814111</v>
      </c>
      <c r="D831" s="14">
        <v>3922.300025</v>
      </c>
      <c r="E831" s="14">
        <v>2.077033727</v>
      </c>
      <c r="F831" s="14">
        <v>1.054524643</v>
      </c>
      <c r="G831" s="51" t="s">
        <v>4467</v>
      </c>
      <c r="H831" s="51" t="s">
        <v>4468</v>
      </c>
      <c r="I831" s="14" t="s">
        <v>164</v>
      </c>
      <c r="J831" s="14">
        <v>109.6079035</v>
      </c>
      <c r="K831" s="14">
        <v>104.7992833</v>
      </c>
      <c r="L831" s="14">
        <v>106.78547</v>
      </c>
      <c r="M831" s="14">
        <v>43.21187236</v>
      </c>
      <c r="N831" s="14">
        <v>39.63682941</v>
      </c>
      <c r="O831" s="14">
        <v>44.47313768</v>
      </c>
      <c r="P831" s="14" t="s">
        <v>4469</v>
      </c>
      <c r="Q831" s="14" t="s">
        <v>4470</v>
      </c>
      <c r="R831" s="14" t="s">
        <v>4471</v>
      </c>
      <c r="S831" s="14" t="s">
        <v>4472</v>
      </c>
      <c r="T831" s="14" t="s">
        <v>4473</v>
      </c>
      <c r="U831" s="14" t="s">
        <v>4474</v>
      </c>
    </row>
    <row r="832" spans="1:15">
      <c r="A832" s="14" t="s">
        <v>4475</v>
      </c>
      <c r="B832" s="14">
        <v>288.6542767</v>
      </c>
      <c r="C832" s="14">
        <v>180.4216764</v>
      </c>
      <c r="D832" s="14">
        <v>396.886877</v>
      </c>
      <c r="E832" s="14">
        <v>2.202955187</v>
      </c>
      <c r="F832" s="14">
        <v>1.139440148</v>
      </c>
      <c r="G832" s="51" t="s">
        <v>4476</v>
      </c>
      <c r="H832" s="51" t="s">
        <v>4477</v>
      </c>
      <c r="I832" s="14" t="s">
        <v>164</v>
      </c>
      <c r="J832" s="14">
        <v>28.07947387</v>
      </c>
      <c r="K832" s="14">
        <v>30.32904123</v>
      </c>
      <c r="L832" s="14">
        <v>29.71875891</v>
      </c>
      <c r="M832" s="14">
        <v>12.60823618</v>
      </c>
      <c r="N832" s="14">
        <v>9.568561288</v>
      </c>
      <c r="O832" s="14">
        <v>10.67865437</v>
      </c>
    </row>
    <row r="833" spans="1:21">
      <c r="A833" s="14" t="s">
        <v>4478</v>
      </c>
      <c r="B833" s="14">
        <v>27.42196008</v>
      </c>
      <c r="C833" s="14">
        <v>8.107746369</v>
      </c>
      <c r="D833" s="14">
        <v>46.7361738</v>
      </c>
      <c r="E833" s="14">
        <v>5.774329644</v>
      </c>
      <c r="F833" s="14">
        <v>2.52965347</v>
      </c>
      <c r="G833" s="14">
        <v>0.000493295</v>
      </c>
      <c r="H833" s="14">
        <v>0.001962275</v>
      </c>
      <c r="I833" s="14" t="s">
        <v>164</v>
      </c>
      <c r="J833" s="14">
        <v>1.18798837</v>
      </c>
      <c r="K833" s="14">
        <v>0.804035955</v>
      </c>
      <c r="L833" s="14">
        <v>0.907194499</v>
      </c>
      <c r="M833" s="14">
        <v>0.070099073</v>
      </c>
      <c r="N833" s="14">
        <v>0.269006952</v>
      </c>
      <c r="O833" s="14">
        <v>0.068583758</v>
      </c>
      <c r="P833" s="14" t="s">
        <v>4479</v>
      </c>
      <c r="Q833" s="14" t="s">
        <v>4480</v>
      </c>
      <c r="T833" s="14" t="s">
        <v>4481</v>
      </c>
      <c r="U833" s="14" t="s">
        <v>4482</v>
      </c>
    </row>
    <row r="834" spans="1:21">
      <c r="A834" s="14" t="s">
        <v>4483</v>
      </c>
      <c r="B834" s="14">
        <v>153.6981987</v>
      </c>
      <c r="C834" s="14">
        <v>98.23920853</v>
      </c>
      <c r="D834" s="14">
        <v>209.1571889</v>
      </c>
      <c r="E834" s="14">
        <v>2.127350154</v>
      </c>
      <c r="F834" s="14">
        <v>1.089057515</v>
      </c>
      <c r="G834" s="14">
        <v>0.004177857</v>
      </c>
      <c r="H834" s="14">
        <v>0.01266942</v>
      </c>
      <c r="I834" s="14" t="s">
        <v>164</v>
      </c>
      <c r="J834" s="14">
        <v>2.269256064</v>
      </c>
      <c r="K834" s="14">
        <v>3.738997865</v>
      </c>
      <c r="L834" s="14">
        <v>3.846114003</v>
      </c>
      <c r="M834" s="14">
        <v>1.210152569</v>
      </c>
      <c r="N834" s="14">
        <v>0.829284087</v>
      </c>
      <c r="O834" s="14">
        <v>1.821527676</v>
      </c>
      <c r="P834" s="14" t="s">
        <v>4484</v>
      </c>
      <c r="Q834" s="14" t="s">
        <v>4485</v>
      </c>
      <c r="T834" s="14" t="s">
        <v>4486</v>
      </c>
      <c r="U834" s="14" t="s">
        <v>4487</v>
      </c>
    </row>
    <row r="835" spans="1:21">
      <c r="A835" s="14" t="s">
        <v>4488</v>
      </c>
      <c r="B835" s="14">
        <v>17.73241379</v>
      </c>
      <c r="C835" s="14">
        <v>2.246328349</v>
      </c>
      <c r="D835" s="14">
        <v>33.21849923</v>
      </c>
      <c r="E835" s="14">
        <v>14.5624977</v>
      </c>
      <c r="F835" s="14">
        <v>3.864185917</v>
      </c>
      <c r="G835" s="14">
        <v>0.001465665</v>
      </c>
      <c r="H835" s="14">
        <v>0.005121202</v>
      </c>
      <c r="I835" s="14" t="s">
        <v>164</v>
      </c>
      <c r="J835" s="14">
        <v>2.131761624</v>
      </c>
      <c r="K835" s="14">
        <v>0.25748181</v>
      </c>
      <c r="L835" s="14">
        <v>0.465248175</v>
      </c>
      <c r="M835" s="14">
        <v>0.024318986</v>
      </c>
      <c r="N835" s="14">
        <v>0.02333118</v>
      </c>
      <c r="O835" s="14">
        <v>0.118966441</v>
      </c>
      <c r="P835" s="14" t="s">
        <v>4209</v>
      </c>
      <c r="Q835" s="14" t="s">
        <v>4210</v>
      </c>
      <c r="T835" s="14" t="s">
        <v>4211</v>
      </c>
      <c r="U835" s="14" t="s">
        <v>4212</v>
      </c>
    </row>
    <row r="836" spans="1:21">
      <c r="A836" s="14" t="s">
        <v>4489</v>
      </c>
      <c r="B836" s="14">
        <v>1146.961057</v>
      </c>
      <c r="C836" s="14">
        <v>1708.922497</v>
      </c>
      <c r="D836" s="14">
        <v>584.9996167</v>
      </c>
      <c r="E836" s="14">
        <v>0.34240032</v>
      </c>
      <c r="F836" s="14">
        <v>-1.546244046</v>
      </c>
      <c r="G836" s="51" t="s">
        <v>4490</v>
      </c>
      <c r="H836" s="51" t="s">
        <v>4491</v>
      </c>
      <c r="I836" s="14" t="s">
        <v>147</v>
      </c>
      <c r="J836" s="14">
        <v>4.971434502</v>
      </c>
      <c r="K836" s="14">
        <v>5.701005154</v>
      </c>
      <c r="L836" s="14">
        <v>6.14785874</v>
      </c>
      <c r="M836" s="14">
        <v>14.88736555</v>
      </c>
      <c r="N836" s="14">
        <v>14.61753136</v>
      </c>
      <c r="O836" s="14">
        <v>10.50720895</v>
      </c>
      <c r="P836" s="14" t="s">
        <v>4492</v>
      </c>
      <c r="Q836" s="14" t="s">
        <v>4493</v>
      </c>
      <c r="R836" s="14" t="s">
        <v>4494</v>
      </c>
      <c r="S836" s="14" t="s">
        <v>4495</v>
      </c>
      <c r="T836" s="14" t="s">
        <v>4496</v>
      </c>
      <c r="U836" s="14" t="s">
        <v>4497</v>
      </c>
    </row>
    <row r="837" spans="1:21">
      <c r="A837" s="14" t="s">
        <v>4498</v>
      </c>
      <c r="B837" s="14">
        <v>4397.3915</v>
      </c>
      <c r="C837" s="14">
        <v>6195.392901</v>
      </c>
      <c r="D837" s="14">
        <v>2599.390098</v>
      </c>
      <c r="E837" s="14">
        <v>0.419610718</v>
      </c>
      <c r="F837" s="14">
        <v>-1.252876566</v>
      </c>
      <c r="G837" s="51" t="s">
        <v>4131</v>
      </c>
      <c r="H837" s="51" t="s">
        <v>4132</v>
      </c>
      <c r="I837" s="14" t="s">
        <v>147</v>
      </c>
      <c r="J837" s="14">
        <v>21.85152975</v>
      </c>
      <c r="K837" s="14">
        <v>18.86188771</v>
      </c>
      <c r="L837" s="14">
        <v>25.7819964</v>
      </c>
      <c r="M837" s="14">
        <v>42.28439635</v>
      </c>
      <c r="N837" s="14">
        <v>41.78524861</v>
      </c>
      <c r="O837" s="14">
        <v>46.33337401</v>
      </c>
      <c r="P837" s="14" t="s">
        <v>4499</v>
      </c>
      <c r="Q837" s="14" t="s">
        <v>4500</v>
      </c>
      <c r="T837" s="14" t="s">
        <v>4501</v>
      </c>
      <c r="U837" s="14" t="s">
        <v>4502</v>
      </c>
    </row>
    <row r="838" spans="1:15">
      <c r="A838" s="14" t="s">
        <v>4503</v>
      </c>
      <c r="B838" s="14">
        <v>3730.517054</v>
      </c>
      <c r="C838" s="14">
        <v>5027.552919</v>
      </c>
      <c r="D838" s="14">
        <v>2433.481189</v>
      </c>
      <c r="E838" s="14">
        <v>0.484051505</v>
      </c>
      <c r="F838" s="14">
        <v>-1.046767529</v>
      </c>
      <c r="G838" s="51" t="s">
        <v>4504</v>
      </c>
      <c r="H838" s="51" t="s">
        <v>4505</v>
      </c>
      <c r="I838" s="14" t="s">
        <v>147</v>
      </c>
      <c r="J838" s="14">
        <v>39.72999982</v>
      </c>
      <c r="K838" s="14">
        <v>46.90118513</v>
      </c>
      <c r="L838" s="14">
        <v>42.4369859</v>
      </c>
      <c r="M838" s="14">
        <v>74.71516529</v>
      </c>
      <c r="N838" s="14">
        <v>75.51957839</v>
      </c>
      <c r="O838" s="14">
        <v>68.46623973</v>
      </c>
    </row>
    <row r="839" spans="1:21">
      <c r="A839" s="14" t="s">
        <v>4506</v>
      </c>
      <c r="B839" s="14">
        <v>4681.235469</v>
      </c>
      <c r="C839" s="14">
        <v>7206.07616</v>
      </c>
      <c r="D839" s="14">
        <v>2156.394778</v>
      </c>
      <c r="E839" s="14">
        <v>0.299253881</v>
      </c>
      <c r="F839" s="14">
        <v>-1.740558139</v>
      </c>
      <c r="G839" s="51" t="s">
        <v>4507</v>
      </c>
      <c r="H839" s="51" t="s">
        <v>4508</v>
      </c>
      <c r="I839" s="14" t="s">
        <v>147</v>
      </c>
      <c r="J839" s="14">
        <v>23.23673553</v>
      </c>
      <c r="K839" s="14">
        <v>28.12669965</v>
      </c>
      <c r="L839" s="14">
        <v>24.13306432</v>
      </c>
      <c r="M839" s="14">
        <v>82.62238465</v>
      </c>
      <c r="N839" s="14">
        <v>81.31709812</v>
      </c>
      <c r="O839" s="14">
        <v>40.13255438</v>
      </c>
      <c r="P839" s="14" t="s">
        <v>4509</v>
      </c>
      <c r="Q839" s="14" t="s">
        <v>4510</v>
      </c>
      <c r="R839" s="14" t="s">
        <v>841</v>
      </c>
      <c r="S839" s="14" t="s">
        <v>842</v>
      </c>
      <c r="T839" s="14" t="s">
        <v>4511</v>
      </c>
      <c r="U839" s="14" t="s">
        <v>4512</v>
      </c>
    </row>
    <row r="840" spans="1:21">
      <c r="A840" s="14" t="s">
        <v>4513</v>
      </c>
      <c r="B840" s="14">
        <v>1150.676407</v>
      </c>
      <c r="C840" s="14">
        <v>1781.965568</v>
      </c>
      <c r="D840" s="14">
        <v>519.3872453</v>
      </c>
      <c r="E840" s="14">
        <v>0.291467383</v>
      </c>
      <c r="F840" s="14">
        <v>-1.778593649</v>
      </c>
      <c r="G840" s="51" t="s">
        <v>4514</v>
      </c>
      <c r="H840" s="14">
        <v>0.00011202</v>
      </c>
      <c r="I840" s="14" t="s">
        <v>147</v>
      </c>
      <c r="J840" s="14">
        <v>7.142500285</v>
      </c>
      <c r="K840" s="14">
        <v>12.38223622</v>
      </c>
      <c r="L840" s="14">
        <v>6.844789309</v>
      </c>
      <c r="M840" s="14">
        <v>30.21033039</v>
      </c>
      <c r="N840" s="14">
        <v>28.84527579</v>
      </c>
      <c r="O840" s="14">
        <v>14.23701487</v>
      </c>
      <c r="P840" s="14" t="s">
        <v>4159</v>
      </c>
      <c r="Q840" s="14" t="s">
        <v>4160</v>
      </c>
      <c r="R840" s="14" t="s">
        <v>3188</v>
      </c>
      <c r="S840" s="14" t="s">
        <v>3189</v>
      </c>
      <c r="T840" s="14" t="s">
        <v>4161</v>
      </c>
      <c r="U840" s="14" t="s">
        <v>4162</v>
      </c>
    </row>
    <row r="841" spans="1:21">
      <c r="A841" s="14" t="s">
        <v>4515</v>
      </c>
      <c r="B841" s="14">
        <v>738.4003468</v>
      </c>
      <c r="C841" s="14">
        <v>401.6287509</v>
      </c>
      <c r="D841" s="14">
        <v>1075.171943</v>
      </c>
      <c r="E841" s="14">
        <v>2.676001449</v>
      </c>
      <c r="F841" s="14">
        <v>1.420078897</v>
      </c>
      <c r="G841" s="51" t="s">
        <v>4516</v>
      </c>
      <c r="H841" s="51" t="s">
        <v>4517</v>
      </c>
      <c r="I841" s="14" t="s">
        <v>164</v>
      </c>
      <c r="J841" s="14">
        <v>21.52288452</v>
      </c>
      <c r="K841" s="14">
        <v>25.00980905</v>
      </c>
      <c r="L841" s="14">
        <v>24.70368666</v>
      </c>
      <c r="M841" s="14">
        <v>7.055289086</v>
      </c>
      <c r="N841" s="14">
        <v>6.122363096</v>
      </c>
      <c r="O841" s="14">
        <v>8.861920066</v>
      </c>
      <c r="P841" s="14" t="s">
        <v>4518</v>
      </c>
      <c r="Q841" s="14" t="s">
        <v>4519</v>
      </c>
      <c r="R841" s="14" t="s">
        <v>556</v>
      </c>
      <c r="S841" s="14" t="s">
        <v>557</v>
      </c>
      <c r="T841" s="14" t="s">
        <v>4520</v>
      </c>
      <c r="U841" s="14" t="s">
        <v>4521</v>
      </c>
    </row>
    <row r="842" spans="1:21">
      <c r="A842" s="14" t="s">
        <v>4522</v>
      </c>
      <c r="B842" s="14">
        <v>6304.079449</v>
      </c>
      <c r="C842" s="14">
        <v>8985.729935</v>
      </c>
      <c r="D842" s="14">
        <v>3622.428963</v>
      </c>
      <c r="E842" s="14">
        <v>0.403147803</v>
      </c>
      <c r="F842" s="14">
        <v>-1.310619233</v>
      </c>
      <c r="G842" s="51" t="s">
        <v>4523</v>
      </c>
      <c r="H842" s="14">
        <v>0.000217185</v>
      </c>
      <c r="I842" s="14" t="s">
        <v>147</v>
      </c>
      <c r="J842" s="14">
        <v>79.42677745</v>
      </c>
      <c r="K842" s="14">
        <v>65.00076689</v>
      </c>
      <c r="L842" s="14">
        <v>87.25902606</v>
      </c>
      <c r="M842" s="14">
        <v>197.7541653</v>
      </c>
      <c r="N842" s="14">
        <v>166.6794408</v>
      </c>
      <c r="O842" s="14">
        <v>100.29713</v>
      </c>
      <c r="P842" s="14" t="s">
        <v>3728</v>
      </c>
      <c r="Q842" s="14" t="s">
        <v>3729</v>
      </c>
      <c r="T842" s="14" t="s">
        <v>3730</v>
      </c>
      <c r="U842" s="14" t="s">
        <v>3731</v>
      </c>
    </row>
    <row r="843" spans="1:21">
      <c r="A843" s="14" t="s">
        <v>4524</v>
      </c>
      <c r="B843" s="14">
        <v>26.08397549</v>
      </c>
      <c r="C843" s="14">
        <v>11.35006636</v>
      </c>
      <c r="D843" s="14">
        <v>40.81788462</v>
      </c>
      <c r="E843" s="14">
        <v>3.594092</v>
      </c>
      <c r="F843" s="14">
        <v>1.845627339</v>
      </c>
      <c r="G843" s="14">
        <v>0.000722057</v>
      </c>
      <c r="H843" s="14">
        <v>0.00275064</v>
      </c>
      <c r="I843" s="14" t="s">
        <v>164</v>
      </c>
      <c r="J843" s="14">
        <v>2.115488634</v>
      </c>
      <c r="K843" s="14">
        <v>2.555162999</v>
      </c>
      <c r="L843" s="14">
        <v>4.073794081</v>
      </c>
      <c r="M843" s="14">
        <v>0.482666897</v>
      </c>
      <c r="N843" s="14">
        <v>0.810357776</v>
      </c>
      <c r="O843" s="14">
        <v>0.708349803</v>
      </c>
      <c r="P843" s="14" t="s">
        <v>3728</v>
      </c>
      <c r="Q843" s="14" t="s">
        <v>3729</v>
      </c>
      <c r="T843" s="14" t="s">
        <v>3730</v>
      </c>
      <c r="U843" s="14" t="s">
        <v>3731</v>
      </c>
    </row>
    <row r="844" spans="1:21">
      <c r="A844" s="14" t="s">
        <v>4525</v>
      </c>
      <c r="B844" s="14">
        <v>30.7926143</v>
      </c>
      <c r="C844" s="14">
        <v>52.05343617</v>
      </c>
      <c r="D844" s="14">
        <v>9.531792425</v>
      </c>
      <c r="E844" s="14">
        <v>0.182556983</v>
      </c>
      <c r="F844" s="14">
        <v>-2.453581237</v>
      </c>
      <c r="G844" s="51" t="s">
        <v>527</v>
      </c>
      <c r="H844" s="51" t="s">
        <v>4526</v>
      </c>
      <c r="I844" s="14" t="s">
        <v>147</v>
      </c>
      <c r="J844" s="14">
        <v>0.145474546</v>
      </c>
      <c r="K844" s="14">
        <v>0.122020397</v>
      </c>
      <c r="L844" s="14">
        <v>0.08170755</v>
      </c>
      <c r="M844" s="14">
        <v>0.34228494</v>
      </c>
      <c r="N844" s="14">
        <v>0.696567379</v>
      </c>
      <c r="O844" s="14">
        <v>0.537846969</v>
      </c>
      <c r="P844" s="14" t="s">
        <v>4527</v>
      </c>
      <c r="Q844" s="14" t="s">
        <v>4528</v>
      </c>
      <c r="R844" s="14" t="s">
        <v>4529</v>
      </c>
      <c r="S844" s="14" t="s">
        <v>4530</v>
      </c>
      <c r="T844" s="14" t="s">
        <v>4531</v>
      </c>
      <c r="U844" s="14" t="s">
        <v>4532</v>
      </c>
    </row>
    <row r="845" spans="1:15">
      <c r="A845" s="14" t="s">
        <v>4533</v>
      </c>
      <c r="B845" s="14">
        <v>342.0435592</v>
      </c>
      <c r="C845" s="14">
        <v>145.7755499</v>
      </c>
      <c r="D845" s="14">
        <v>538.3115685</v>
      </c>
      <c r="E845" s="14">
        <v>3.687465604</v>
      </c>
      <c r="F845" s="14">
        <v>1.882629592</v>
      </c>
      <c r="G845" s="51" t="s">
        <v>4534</v>
      </c>
      <c r="H845" s="51" t="s">
        <v>4535</v>
      </c>
      <c r="I845" s="14" t="s">
        <v>164</v>
      </c>
      <c r="J845" s="14">
        <v>13.14670328</v>
      </c>
      <c r="K845" s="14">
        <v>9.319935225</v>
      </c>
      <c r="L845" s="14">
        <v>13.18397259</v>
      </c>
      <c r="M845" s="14">
        <v>1.999273611</v>
      </c>
      <c r="N845" s="14">
        <v>2.473766949</v>
      </c>
      <c r="O845" s="14">
        <v>3.564774569</v>
      </c>
    </row>
    <row r="846" spans="1:15">
      <c r="A846" s="14" t="s">
        <v>4536</v>
      </c>
      <c r="B846" s="14">
        <v>9847.565826</v>
      </c>
      <c r="C846" s="14">
        <v>15157.06241</v>
      </c>
      <c r="D846" s="14">
        <v>4538.069243</v>
      </c>
      <c r="E846" s="14">
        <v>0.299405031</v>
      </c>
      <c r="F846" s="14">
        <v>-1.739829631</v>
      </c>
      <c r="G846" s="51" t="s">
        <v>4537</v>
      </c>
      <c r="H846" s="14">
        <v>0.000334378</v>
      </c>
      <c r="I846" s="14" t="s">
        <v>147</v>
      </c>
      <c r="J846" s="14">
        <v>80.3029646</v>
      </c>
      <c r="K846" s="14">
        <v>125.5440055</v>
      </c>
      <c r="L846" s="14">
        <v>89.02724318</v>
      </c>
      <c r="M846" s="14">
        <v>327.726614</v>
      </c>
      <c r="N846" s="14">
        <v>340.8305576</v>
      </c>
      <c r="O846" s="14">
        <v>125.235696</v>
      </c>
    </row>
    <row r="847" spans="1:15">
      <c r="A847" s="14" t="s">
        <v>4538</v>
      </c>
      <c r="B847" s="14">
        <v>25.05639369</v>
      </c>
      <c r="C847" s="14">
        <v>46.75462881</v>
      </c>
      <c r="D847" s="14">
        <v>3.358158582</v>
      </c>
      <c r="E847" s="14">
        <v>0.071296887</v>
      </c>
      <c r="F847" s="14">
        <v>-3.810017102</v>
      </c>
      <c r="G847" s="14">
        <v>0.000732985</v>
      </c>
      <c r="H847" s="14">
        <v>0.002783935</v>
      </c>
      <c r="I847" s="14" t="s">
        <v>147</v>
      </c>
      <c r="J847" s="14">
        <v>0.059597637</v>
      </c>
      <c r="K847" s="14">
        <v>0.539881214</v>
      </c>
      <c r="L847" s="14">
        <v>0</v>
      </c>
      <c r="M847" s="14">
        <v>2.804528222</v>
      </c>
      <c r="N847" s="14">
        <v>1.956808638</v>
      </c>
      <c r="O847" s="14">
        <v>2.145233569</v>
      </c>
    </row>
    <row r="848" spans="1:21">
      <c r="A848" s="14" t="s">
        <v>4539</v>
      </c>
      <c r="B848" s="14">
        <v>4986.422294</v>
      </c>
      <c r="C848" s="14">
        <v>7014.699451</v>
      </c>
      <c r="D848" s="14">
        <v>2958.145137</v>
      </c>
      <c r="E848" s="14">
        <v>0.421669756</v>
      </c>
      <c r="F848" s="14">
        <v>-1.245814544</v>
      </c>
      <c r="G848" s="51" t="s">
        <v>4540</v>
      </c>
      <c r="H848" s="51" t="s">
        <v>4541</v>
      </c>
      <c r="I848" s="14" t="s">
        <v>147</v>
      </c>
      <c r="J848" s="14">
        <v>68.29875076</v>
      </c>
      <c r="K848" s="14">
        <v>68.67873775</v>
      </c>
      <c r="L848" s="14">
        <v>58.66970287</v>
      </c>
      <c r="M848" s="14">
        <v>119.8266251</v>
      </c>
      <c r="N848" s="14">
        <v>111.0843844</v>
      </c>
      <c r="O848" s="14">
        <v>153.6989189</v>
      </c>
      <c r="P848" s="14" t="s">
        <v>4542</v>
      </c>
      <c r="Q848" s="14" t="s">
        <v>4543</v>
      </c>
      <c r="T848" s="14" t="s">
        <v>4544</v>
      </c>
      <c r="U848" s="14" t="s">
        <v>4545</v>
      </c>
    </row>
    <row r="849" spans="1:21">
      <c r="A849" s="14" t="s">
        <v>4546</v>
      </c>
      <c r="B849" s="14">
        <v>498.7318637</v>
      </c>
      <c r="C849" s="14">
        <v>917.9192701</v>
      </c>
      <c r="D849" s="14">
        <v>79.54445729</v>
      </c>
      <c r="E849" s="14">
        <v>0.086507554</v>
      </c>
      <c r="F849" s="14">
        <v>-3.531030066</v>
      </c>
      <c r="G849" s="51" t="s">
        <v>4547</v>
      </c>
      <c r="H849" s="51" t="s">
        <v>4548</v>
      </c>
      <c r="I849" s="14" t="s">
        <v>147</v>
      </c>
      <c r="J849" s="14">
        <v>1.910421268</v>
      </c>
      <c r="K849" s="14">
        <v>2.350206307</v>
      </c>
      <c r="L849" s="14">
        <v>1.407972576</v>
      </c>
      <c r="M849" s="14">
        <v>15.84097353</v>
      </c>
      <c r="N849" s="14">
        <v>16.33976847</v>
      </c>
      <c r="O849" s="14">
        <v>22.2112877</v>
      </c>
      <c r="P849" s="14" t="s">
        <v>4549</v>
      </c>
      <c r="Q849" s="14" t="s">
        <v>4550</v>
      </c>
      <c r="T849" s="14" t="s">
        <v>4551</v>
      </c>
      <c r="U849" s="14" t="s">
        <v>4552</v>
      </c>
    </row>
    <row r="850" spans="1:21">
      <c r="A850" s="14" t="s">
        <v>17</v>
      </c>
      <c r="B850" s="14">
        <v>698.0848368</v>
      </c>
      <c r="C850" s="14">
        <v>309.9595901</v>
      </c>
      <c r="D850" s="14">
        <v>1086.210083</v>
      </c>
      <c r="E850" s="14">
        <v>3.504358829</v>
      </c>
      <c r="F850" s="14">
        <v>1.809150507</v>
      </c>
      <c r="G850" s="51" t="s">
        <v>4553</v>
      </c>
      <c r="H850" s="51" t="s">
        <v>4554</v>
      </c>
      <c r="I850" s="14" t="s">
        <v>164</v>
      </c>
      <c r="J850" s="14">
        <v>16.90388345</v>
      </c>
      <c r="K850" s="14">
        <v>24.39968491</v>
      </c>
      <c r="L850" s="14">
        <v>23.60669436</v>
      </c>
      <c r="M850" s="14">
        <v>5.164106383</v>
      </c>
      <c r="N850" s="14">
        <v>4.274338584</v>
      </c>
      <c r="O850" s="14">
        <v>5.861531597</v>
      </c>
      <c r="P850" s="14" t="s">
        <v>18</v>
      </c>
      <c r="Q850" s="14" t="s">
        <v>4555</v>
      </c>
      <c r="R850" s="14" t="s">
        <v>341</v>
      </c>
      <c r="S850" s="14" t="s">
        <v>342</v>
      </c>
      <c r="T850" s="14" t="s">
        <v>4556</v>
      </c>
      <c r="U850" s="14" t="s">
        <v>4557</v>
      </c>
    </row>
    <row r="851" spans="1:21">
      <c r="A851" s="14" t="s">
        <v>4558</v>
      </c>
      <c r="B851" s="14">
        <v>7.25548229</v>
      </c>
      <c r="C851" s="14">
        <v>12.5922409</v>
      </c>
      <c r="D851" s="14">
        <v>1.918723679</v>
      </c>
      <c r="E851" s="14">
        <v>0.153994277</v>
      </c>
      <c r="F851" s="14">
        <v>-2.699051362</v>
      </c>
      <c r="G851" s="14">
        <v>0.018537926</v>
      </c>
      <c r="H851" s="14">
        <v>0.045616256</v>
      </c>
      <c r="I851" s="14" t="s">
        <v>147</v>
      </c>
      <c r="J851" s="14">
        <v>0.02107445</v>
      </c>
      <c r="K851" s="14">
        <v>0.021212063</v>
      </c>
      <c r="L851" s="14">
        <v>0.081166087</v>
      </c>
      <c r="M851" s="14">
        <v>0.180311873</v>
      </c>
      <c r="N851" s="14">
        <v>0.363274455</v>
      </c>
      <c r="O851" s="14">
        <v>0.105848469</v>
      </c>
      <c r="P851" s="14" t="s">
        <v>4559</v>
      </c>
      <c r="Q851" s="14" t="s">
        <v>4560</v>
      </c>
      <c r="T851" s="14" t="s">
        <v>4561</v>
      </c>
      <c r="U851" s="14" t="s">
        <v>4562</v>
      </c>
    </row>
    <row r="852" spans="1:21">
      <c r="A852" s="14" t="s">
        <v>4563</v>
      </c>
      <c r="B852" s="14">
        <v>898.974342</v>
      </c>
      <c r="C852" s="14">
        <v>1337.785246</v>
      </c>
      <c r="D852" s="14">
        <v>460.1634386</v>
      </c>
      <c r="E852" s="14">
        <v>0.344030365</v>
      </c>
      <c r="F852" s="14">
        <v>-1.539392189</v>
      </c>
      <c r="G852" s="51" t="s">
        <v>4564</v>
      </c>
      <c r="H852" s="51" t="s">
        <v>4565</v>
      </c>
      <c r="I852" s="14" t="s">
        <v>147</v>
      </c>
      <c r="J852" s="14">
        <v>3.328927755</v>
      </c>
      <c r="K852" s="14">
        <v>4.362668166</v>
      </c>
      <c r="L852" s="14">
        <v>4.083854365</v>
      </c>
      <c r="M852" s="14">
        <v>10.29404882</v>
      </c>
      <c r="N852" s="14">
        <v>11.10347213</v>
      </c>
      <c r="O852" s="14">
        <v>6.400793511</v>
      </c>
      <c r="P852" s="14" t="s">
        <v>4566</v>
      </c>
      <c r="Q852" s="14" t="s">
        <v>4567</v>
      </c>
      <c r="T852" s="14" t="s">
        <v>4568</v>
      </c>
      <c r="U852" s="14" t="s">
        <v>4569</v>
      </c>
    </row>
    <row r="853" spans="1:21">
      <c r="A853" s="14" t="s">
        <v>4570</v>
      </c>
      <c r="B853" s="14">
        <v>1054.411462</v>
      </c>
      <c r="C853" s="14">
        <v>1637.367456</v>
      </c>
      <c r="D853" s="14">
        <v>471.4554674</v>
      </c>
      <c r="E853" s="14">
        <v>0.287962312</v>
      </c>
      <c r="F853" s="14">
        <v>-1.796048088</v>
      </c>
      <c r="G853" s="51" t="s">
        <v>4571</v>
      </c>
      <c r="H853" s="51" t="s">
        <v>4572</v>
      </c>
      <c r="I853" s="14" t="s">
        <v>147</v>
      </c>
      <c r="J853" s="14">
        <v>10.62327876</v>
      </c>
      <c r="K853" s="14">
        <v>22.58628052</v>
      </c>
      <c r="L853" s="14">
        <v>21.79140351</v>
      </c>
      <c r="M853" s="14">
        <v>49.33207635</v>
      </c>
      <c r="N853" s="14">
        <v>60.25034181</v>
      </c>
      <c r="O853" s="14">
        <v>46.78355302</v>
      </c>
      <c r="P853" s="14" t="s">
        <v>4573</v>
      </c>
      <c r="Q853" s="14" t="s">
        <v>4574</v>
      </c>
      <c r="T853" s="14" t="s">
        <v>4575</v>
      </c>
      <c r="U853" s="14" t="s">
        <v>4576</v>
      </c>
    </row>
    <row r="854" spans="1:21">
      <c r="A854" s="14" t="s">
        <v>4577</v>
      </c>
      <c r="B854" s="14">
        <v>802.2245284</v>
      </c>
      <c r="C854" s="14">
        <v>520.3931818</v>
      </c>
      <c r="D854" s="14">
        <v>1084.055875</v>
      </c>
      <c r="E854" s="14">
        <v>2.08418019</v>
      </c>
      <c r="F854" s="14">
        <v>1.059480013</v>
      </c>
      <c r="G854" s="51" t="s">
        <v>4578</v>
      </c>
      <c r="H854" s="51" t="s">
        <v>4579</v>
      </c>
      <c r="I854" s="14" t="s">
        <v>164</v>
      </c>
      <c r="J854" s="14">
        <v>7.058635045</v>
      </c>
      <c r="K854" s="14">
        <v>7.131311584</v>
      </c>
      <c r="L854" s="14">
        <v>7.49575199</v>
      </c>
      <c r="M854" s="14">
        <v>2.7343649</v>
      </c>
      <c r="N854" s="14">
        <v>2.910560526</v>
      </c>
      <c r="O854" s="14">
        <v>2.918461947</v>
      </c>
      <c r="P854" s="14" t="s">
        <v>4580</v>
      </c>
      <c r="Q854" s="14" t="s">
        <v>4581</v>
      </c>
      <c r="T854" s="14" t="s">
        <v>4582</v>
      </c>
      <c r="U854" s="14" t="s">
        <v>4583</v>
      </c>
    </row>
    <row r="855" spans="1:19">
      <c r="A855" s="14" t="s">
        <v>4584</v>
      </c>
      <c r="B855" s="14">
        <v>97.34717365</v>
      </c>
      <c r="C855" s="14">
        <v>60.87333672</v>
      </c>
      <c r="D855" s="14">
        <v>133.8210106</v>
      </c>
      <c r="E855" s="14">
        <v>2.193831653</v>
      </c>
      <c r="F855" s="14">
        <v>1.133452823</v>
      </c>
      <c r="G855" s="14">
        <v>0.001611312</v>
      </c>
      <c r="H855" s="14">
        <v>0.005563539</v>
      </c>
      <c r="I855" s="14" t="s">
        <v>164</v>
      </c>
      <c r="J855" s="14">
        <v>1.023676124</v>
      </c>
      <c r="K855" s="14">
        <v>0.837631275</v>
      </c>
      <c r="L855" s="14">
        <v>1.127465545</v>
      </c>
      <c r="M855" s="14">
        <v>0.22053824</v>
      </c>
      <c r="N855" s="14">
        <v>0.435250819</v>
      </c>
      <c r="O855" s="14">
        <v>0.474696018</v>
      </c>
      <c r="R855" s="14" t="s">
        <v>4585</v>
      </c>
      <c r="S855" s="14" t="s">
        <v>4586</v>
      </c>
    </row>
    <row r="856" spans="1:15">
      <c r="A856" s="14" t="s">
        <v>4587</v>
      </c>
      <c r="B856" s="14">
        <v>14.8666084</v>
      </c>
      <c r="C856" s="14">
        <v>29.08425055</v>
      </c>
      <c r="D856" s="14">
        <v>0.648966256</v>
      </c>
      <c r="E856" s="14">
        <v>0.022338642</v>
      </c>
      <c r="F856" s="14">
        <v>-5.484314717</v>
      </c>
      <c r="G856" s="14">
        <v>0.018915726</v>
      </c>
      <c r="H856" s="14">
        <v>0.046404879</v>
      </c>
      <c r="I856" s="14" t="s">
        <v>147</v>
      </c>
      <c r="J856" s="14">
        <v>0</v>
      </c>
      <c r="K856" s="14">
        <v>0.073212238</v>
      </c>
      <c r="L856" s="14">
        <v>0.070035043</v>
      </c>
      <c r="M856" s="14">
        <v>0</v>
      </c>
      <c r="N856" s="14">
        <v>0.059705775</v>
      </c>
      <c r="O856" s="14">
        <v>5.662615254</v>
      </c>
    </row>
    <row r="857" spans="1:21">
      <c r="A857" s="14" t="s">
        <v>4588</v>
      </c>
      <c r="B857" s="14">
        <v>462.0051281</v>
      </c>
      <c r="C857" s="14">
        <v>658.4816529</v>
      </c>
      <c r="D857" s="14">
        <v>265.5286034</v>
      </c>
      <c r="E857" s="14">
        <v>0.403208138</v>
      </c>
      <c r="F857" s="14">
        <v>-1.310403338</v>
      </c>
      <c r="G857" s="51" t="s">
        <v>4589</v>
      </c>
      <c r="H857" s="14">
        <v>0.000163418</v>
      </c>
      <c r="I857" s="14" t="s">
        <v>147</v>
      </c>
      <c r="J857" s="14">
        <v>3.877839926</v>
      </c>
      <c r="K857" s="14">
        <v>2.858653651</v>
      </c>
      <c r="L857" s="14">
        <v>2.029912017</v>
      </c>
      <c r="M857" s="14">
        <v>6.878716729</v>
      </c>
      <c r="N857" s="14">
        <v>5.621968295</v>
      </c>
      <c r="O857" s="14">
        <v>5.312693323</v>
      </c>
      <c r="P857" s="14" t="s">
        <v>4590</v>
      </c>
      <c r="Q857" s="14" t="s">
        <v>4591</v>
      </c>
      <c r="R857" s="14" t="s">
        <v>4592</v>
      </c>
      <c r="S857" s="14" t="s">
        <v>4593</v>
      </c>
      <c r="T857" s="14" t="s">
        <v>4594</v>
      </c>
      <c r="U857" s="14" t="s">
        <v>4595</v>
      </c>
    </row>
    <row r="858" spans="1:21">
      <c r="A858" s="14" t="s">
        <v>4596</v>
      </c>
      <c r="B858" s="14">
        <v>3147.231801</v>
      </c>
      <c r="C858" s="14">
        <v>4850.510529</v>
      </c>
      <c r="D858" s="14">
        <v>1443.953072</v>
      </c>
      <c r="E858" s="14">
        <v>0.297709794</v>
      </c>
      <c r="F858" s="14">
        <v>-1.748021409</v>
      </c>
      <c r="G858" s="51" t="s">
        <v>4597</v>
      </c>
      <c r="H858" s="51" t="s">
        <v>4598</v>
      </c>
      <c r="I858" s="14" t="s">
        <v>147</v>
      </c>
      <c r="J858" s="14">
        <v>16.29973773</v>
      </c>
      <c r="K858" s="14">
        <v>14.9014315</v>
      </c>
      <c r="L858" s="14">
        <v>17.62776947</v>
      </c>
      <c r="M858" s="14">
        <v>51.43113086</v>
      </c>
      <c r="N858" s="14">
        <v>54.09494677</v>
      </c>
      <c r="O858" s="14">
        <v>27.1395786</v>
      </c>
      <c r="P858" s="14" t="s">
        <v>4599</v>
      </c>
      <c r="Q858" s="14" t="s">
        <v>4600</v>
      </c>
      <c r="T858" s="14" t="s">
        <v>4601</v>
      </c>
      <c r="U858" s="14" t="s">
        <v>4602</v>
      </c>
    </row>
    <row r="859" spans="1:21">
      <c r="A859" s="14" t="s">
        <v>4603</v>
      </c>
      <c r="B859" s="14">
        <v>7798.309127</v>
      </c>
      <c r="C859" s="14">
        <v>11059.26752</v>
      </c>
      <c r="D859" s="14">
        <v>4537.350732</v>
      </c>
      <c r="E859" s="14">
        <v>0.410271651</v>
      </c>
      <c r="F859" s="14">
        <v>-1.285348626</v>
      </c>
      <c r="G859" s="51" t="s">
        <v>4604</v>
      </c>
      <c r="H859" s="51" t="s">
        <v>4605</v>
      </c>
      <c r="I859" s="14" t="s">
        <v>147</v>
      </c>
      <c r="J859" s="14">
        <v>146.1955942</v>
      </c>
      <c r="K859" s="14">
        <v>142.6360082</v>
      </c>
      <c r="L859" s="14">
        <v>171.5726594</v>
      </c>
      <c r="M859" s="14">
        <v>220.6154967</v>
      </c>
      <c r="N859" s="14">
        <v>339.680001</v>
      </c>
      <c r="O859" s="14">
        <v>369.8304586</v>
      </c>
      <c r="P859" s="14" t="s">
        <v>4606</v>
      </c>
      <c r="Q859" s="14" t="s">
        <v>4607</v>
      </c>
      <c r="R859" s="14" t="s">
        <v>3462</v>
      </c>
      <c r="S859" s="14" t="s">
        <v>3463</v>
      </c>
      <c r="T859" s="14" t="s">
        <v>4608</v>
      </c>
      <c r="U859" s="14" t="s">
        <v>4609</v>
      </c>
    </row>
    <row r="860" spans="1:15">
      <c r="A860" s="14" t="s">
        <v>4610</v>
      </c>
      <c r="B860" s="14">
        <v>142.6336012</v>
      </c>
      <c r="C860" s="14">
        <v>94.68741308</v>
      </c>
      <c r="D860" s="14">
        <v>190.5797893</v>
      </c>
      <c r="E860" s="14">
        <v>2.01453105</v>
      </c>
      <c r="F860" s="14">
        <v>1.010444042</v>
      </c>
      <c r="G860" s="14">
        <v>0.001734926</v>
      </c>
      <c r="H860" s="14">
        <v>0.005924893</v>
      </c>
      <c r="I860" s="14" t="s">
        <v>164</v>
      </c>
      <c r="J860" s="14">
        <v>5.55506351</v>
      </c>
      <c r="K860" s="14">
        <v>5.277217274</v>
      </c>
      <c r="L860" s="14">
        <v>7.211716549</v>
      </c>
      <c r="M860" s="14">
        <v>2.056022379</v>
      </c>
      <c r="N860" s="14">
        <v>3.227742627</v>
      </c>
      <c r="O860" s="14">
        <v>2.03770222</v>
      </c>
    </row>
    <row r="861" spans="1:15">
      <c r="A861" s="14" t="s">
        <v>4611</v>
      </c>
      <c r="B861" s="14">
        <v>23.76489284</v>
      </c>
      <c r="C861" s="14">
        <v>47.52978567</v>
      </c>
      <c r="D861" s="14">
        <v>0</v>
      </c>
      <c r="E861" s="14">
        <v>0.003791922</v>
      </c>
      <c r="F861" s="14">
        <v>-8.042855029</v>
      </c>
      <c r="G861" s="14">
        <v>0.002542972</v>
      </c>
      <c r="H861" s="14">
        <v>0.008241988</v>
      </c>
      <c r="I861" s="14" t="s">
        <v>147</v>
      </c>
      <c r="J861" s="14">
        <v>0</v>
      </c>
      <c r="K861" s="14">
        <v>0</v>
      </c>
      <c r="L861" s="14">
        <v>0</v>
      </c>
      <c r="M861" s="14">
        <v>0</v>
      </c>
      <c r="N861" s="14">
        <v>0.449341243</v>
      </c>
      <c r="O861" s="14">
        <v>8.305620064</v>
      </c>
    </row>
    <row r="862" spans="1:15">
      <c r="A862" s="14" t="s">
        <v>4612</v>
      </c>
      <c r="B862" s="14">
        <v>2186.996851</v>
      </c>
      <c r="C862" s="14">
        <v>1357.051895</v>
      </c>
      <c r="D862" s="14">
        <v>3016.941808</v>
      </c>
      <c r="E862" s="14">
        <v>2.22258274</v>
      </c>
      <c r="F862" s="14">
        <v>1.152237127</v>
      </c>
      <c r="G862" s="51" t="s">
        <v>4613</v>
      </c>
      <c r="H862" s="51" t="s">
        <v>4614</v>
      </c>
      <c r="I862" s="14" t="s">
        <v>164</v>
      </c>
      <c r="J862" s="14">
        <v>82.26296434</v>
      </c>
      <c r="K862" s="14">
        <v>83.48254943</v>
      </c>
      <c r="L862" s="14">
        <v>92.53492446</v>
      </c>
      <c r="M862" s="14">
        <v>27.38488872</v>
      </c>
      <c r="N862" s="14">
        <v>26.82907318</v>
      </c>
      <c r="O862" s="14">
        <v>42.44773557</v>
      </c>
    </row>
    <row r="863" spans="1:21">
      <c r="A863" s="14" t="s">
        <v>4615</v>
      </c>
      <c r="B863" s="14">
        <v>624.5319523</v>
      </c>
      <c r="C863" s="14">
        <v>409.9476985</v>
      </c>
      <c r="D863" s="14">
        <v>839.1162061</v>
      </c>
      <c r="E863" s="14">
        <v>2.047619038</v>
      </c>
      <c r="F863" s="14">
        <v>1.033947325</v>
      </c>
      <c r="G863" s="51" t="s">
        <v>4616</v>
      </c>
      <c r="H863" s="51" t="s">
        <v>4617</v>
      </c>
      <c r="I863" s="14" t="s">
        <v>164</v>
      </c>
      <c r="J863" s="14">
        <v>17.97059858</v>
      </c>
      <c r="K863" s="14">
        <v>20.14188663</v>
      </c>
      <c r="L863" s="14">
        <v>17.61988514</v>
      </c>
      <c r="M863" s="14">
        <v>7.359237088</v>
      </c>
      <c r="N863" s="14">
        <v>7.51058945</v>
      </c>
      <c r="O863" s="14">
        <v>7.530773537</v>
      </c>
      <c r="P863" s="14" t="s">
        <v>3980</v>
      </c>
      <c r="Q863" s="14" t="s">
        <v>3981</v>
      </c>
      <c r="T863" s="14" t="s">
        <v>3982</v>
      </c>
      <c r="U863" s="14" t="s">
        <v>3983</v>
      </c>
    </row>
    <row r="864" spans="1:21">
      <c r="A864" s="14" t="s">
        <v>4618</v>
      </c>
      <c r="B864" s="14">
        <v>348.5506697</v>
      </c>
      <c r="C864" s="14">
        <v>92.06362903</v>
      </c>
      <c r="D864" s="14">
        <v>605.0377104</v>
      </c>
      <c r="E864" s="14">
        <v>6.581989606</v>
      </c>
      <c r="F864" s="14">
        <v>2.718523748</v>
      </c>
      <c r="G864" s="51" t="s">
        <v>4619</v>
      </c>
      <c r="H864" s="51" t="s">
        <v>4620</v>
      </c>
      <c r="I864" s="14" t="s">
        <v>164</v>
      </c>
      <c r="J864" s="14">
        <v>1.829941715</v>
      </c>
      <c r="K864" s="14">
        <v>1.374504242</v>
      </c>
      <c r="L864" s="14">
        <v>1.836034677</v>
      </c>
      <c r="M864" s="14">
        <v>0.211579518</v>
      </c>
      <c r="N864" s="14">
        <v>0.290945782</v>
      </c>
      <c r="O864" s="14">
        <v>0.117303317</v>
      </c>
      <c r="P864" s="14" t="s">
        <v>4621</v>
      </c>
      <c r="Q864" s="14" t="s">
        <v>4622</v>
      </c>
      <c r="T864" s="14" t="s">
        <v>1429</v>
      </c>
      <c r="U864" s="14" t="s">
        <v>1430</v>
      </c>
    </row>
    <row r="865" spans="1:21">
      <c r="A865" s="14" t="s">
        <v>4623</v>
      </c>
      <c r="B865" s="14">
        <v>969.0718555</v>
      </c>
      <c r="C865" s="14">
        <v>507.2604538</v>
      </c>
      <c r="D865" s="14">
        <v>1430.883257</v>
      </c>
      <c r="E865" s="14">
        <v>2.819547988</v>
      </c>
      <c r="F865" s="14">
        <v>1.495463897</v>
      </c>
      <c r="G865" s="51" t="s">
        <v>4624</v>
      </c>
      <c r="H865" s="51" t="s">
        <v>4625</v>
      </c>
      <c r="I865" s="14" t="s">
        <v>164</v>
      </c>
      <c r="J865" s="14">
        <v>11.62676558</v>
      </c>
      <c r="K865" s="14">
        <v>11.37653366</v>
      </c>
      <c r="L865" s="14">
        <v>10.41482696</v>
      </c>
      <c r="M865" s="14">
        <v>3.056291271</v>
      </c>
      <c r="N865" s="14">
        <v>3.014476782</v>
      </c>
      <c r="O865" s="14">
        <v>3.726478044</v>
      </c>
      <c r="P865" s="14" t="s">
        <v>1775</v>
      </c>
      <c r="Q865" s="14" t="s">
        <v>1776</v>
      </c>
      <c r="T865" s="14" t="s">
        <v>1777</v>
      </c>
      <c r="U865" s="14" t="s">
        <v>1778</v>
      </c>
    </row>
    <row r="866" spans="1:15">
      <c r="A866" s="14" t="s">
        <v>4626</v>
      </c>
      <c r="B866" s="14">
        <v>110.9274513</v>
      </c>
      <c r="C866" s="14">
        <v>68.50729789</v>
      </c>
      <c r="D866" s="14">
        <v>153.3476047</v>
      </c>
      <c r="E866" s="14">
        <v>2.241144522</v>
      </c>
      <c r="F866" s="14">
        <v>1.164235685</v>
      </c>
      <c r="G866" s="14">
        <v>0.012169532</v>
      </c>
      <c r="H866" s="14">
        <v>0.031897569</v>
      </c>
      <c r="I866" s="14" t="s">
        <v>164</v>
      </c>
      <c r="J866" s="14">
        <v>9.741504631</v>
      </c>
      <c r="K866" s="14">
        <v>18.34232792</v>
      </c>
      <c r="L866" s="14">
        <v>10.83505777</v>
      </c>
      <c r="M866" s="14">
        <v>5.101460014</v>
      </c>
      <c r="N866" s="14">
        <v>6.066106779</v>
      </c>
      <c r="O866" s="14">
        <v>2.952530769</v>
      </c>
    </row>
    <row r="867" spans="1:21">
      <c r="A867" s="14" t="s">
        <v>4627</v>
      </c>
      <c r="B867" s="14">
        <v>5.462027384</v>
      </c>
      <c r="C867" s="14">
        <v>0.648076722</v>
      </c>
      <c r="D867" s="14">
        <v>10.27597805</v>
      </c>
      <c r="E867" s="14">
        <v>15.52599645</v>
      </c>
      <c r="F867" s="14">
        <v>3.956613958</v>
      </c>
      <c r="G867" s="14">
        <v>0.007564245</v>
      </c>
      <c r="H867" s="14">
        <v>0.021202501</v>
      </c>
      <c r="I867" s="14" t="s">
        <v>164</v>
      </c>
      <c r="J867" s="14">
        <v>0.130644201</v>
      </c>
      <c r="K867" s="14">
        <v>0.082185807</v>
      </c>
      <c r="L867" s="14">
        <v>0.298752901</v>
      </c>
      <c r="M867" s="14">
        <v>0</v>
      </c>
      <c r="N867" s="14">
        <v>0.013404773</v>
      </c>
      <c r="O867" s="14">
        <v>0.013670275</v>
      </c>
      <c r="P867" s="14" t="s">
        <v>226</v>
      </c>
      <c r="Q867" s="14" t="s">
        <v>227</v>
      </c>
      <c r="T867" s="14" t="s">
        <v>228</v>
      </c>
      <c r="U867" s="14" t="s">
        <v>229</v>
      </c>
    </row>
    <row r="868" spans="1:21">
      <c r="A868" s="14" t="s">
        <v>4628</v>
      </c>
      <c r="B868" s="14">
        <v>2445.149037</v>
      </c>
      <c r="C868" s="14">
        <v>3966.361897</v>
      </c>
      <c r="D868" s="14">
        <v>923.9361774</v>
      </c>
      <c r="E868" s="14">
        <v>0.232956644</v>
      </c>
      <c r="F868" s="14">
        <v>-2.101866621</v>
      </c>
      <c r="G868" s="51" t="s">
        <v>4629</v>
      </c>
      <c r="H868" s="51" t="s">
        <v>4630</v>
      </c>
      <c r="I868" s="14" t="s">
        <v>147</v>
      </c>
      <c r="J868" s="14">
        <v>8.816405442</v>
      </c>
      <c r="K868" s="14">
        <v>9.297954246</v>
      </c>
      <c r="L868" s="14">
        <v>9.300029804</v>
      </c>
      <c r="M868" s="14">
        <v>37.21346423</v>
      </c>
      <c r="N868" s="14">
        <v>38.7253052</v>
      </c>
      <c r="O868" s="14">
        <v>19.28694543</v>
      </c>
      <c r="P868" s="14" t="s">
        <v>4631</v>
      </c>
      <c r="Q868" s="14" t="s">
        <v>4632</v>
      </c>
      <c r="T868" s="14" t="s">
        <v>4633</v>
      </c>
      <c r="U868" s="14" t="s">
        <v>4634</v>
      </c>
    </row>
    <row r="869" spans="1:21">
      <c r="A869" s="14" t="s">
        <v>4635</v>
      </c>
      <c r="B869" s="14">
        <v>4807.325074</v>
      </c>
      <c r="C869" s="14">
        <v>7639.789545</v>
      </c>
      <c r="D869" s="14">
        <v>1974.860602</v>
      </c>
      <c r="E869" s="14">
        <v>0.258497563</v>
      </c>
      <c r="F869" s="14">
        <v>-1.951777415</v>
      </c>
      <c r="G869" s="51" t="s">
        <v>4636</v>
      </c>
      <c r="H869" s="51" t="s">
        <v>1848</v>
      </c>
      <c r="I869" s="14" t="s">
        <v>147</v>
      </c>
      <c r="J869" s="14">
        <v>37.16338351</v>
      </c>
      <c r="K869" s="14">
        <v>40.89508381</v>
      </c>
      <c r="L869" s="14">
        <v>30.91685199</v>
      </c>
      <c r="M869" s="14">
        <v>133.9149218</v>
      </c>
      <c r="N869" s="14">
        <v>127.7865927</v>
      </c>
      <c r="O869" s="14">
        <v>81.15641567</v>
      </c>
      <c r="P869" s="14" t="s">
        <v>4637</v>
      </c>
      <c r="Q869" s="14" t="s">
        <v>4638</v>
      </c>
      <c r="T869" s="14" t="s">
        <v>4639</v>
      </c>
      <c r="U869" s="14" t="s">
        <v>4640</v>
      </c>
    </row>
    <row r="870" spans="1:15">
      <c r="A870" s="14" t="s">
        <v>4641</v>
      </c>
      <c r="B870" s="14">
        <v>970.3437421</v>
      </c>
      <c r="C870" s="14">
        <v>551.6666156</v>
      </c>
      <c r="D870" s="14">
        <v>1389.020869</v>
      </c>
      <c r="E870" s="14">
        <v>2.517840803</v>
      </c>
      <c r="F870" s="14">
        <v>1.332187068</v>
      </c>
      <c r="G870" s="51" t="s">
        <v>4642</v>
      </c>
      <c r="H870" s="51" t="s">
        <v>4643</v>
      </c>
      <c r="I870" s="14" t="s">
        <v>164</v>
      </c>
      <c r="J870" s="14">
        <v>19.96538903</v>
      </c>
      <c r="K870" s="14">
        <v>28.70581265</v>
      </c>
      <c r="L870" s="14">
        <v>21.95834301</v>
      </c>
      <c r="M870" s="14">
        <v>7.520229792</v>
      </c>
      <c r="N870" s="14">
        <v>7.338922391</v>
      </c>
      <c r="O870" s="14">
        <v>8.286167743</v>
      </c>
    </row>
    <row r="871" spans="1:15">
      <c r="A871" s="14" t="s">
        <v>4644</v>
      </c>
      <c r="B871" s="14">
        <v>33.38841268</v>
      </c>
      <c r="C871" s="14">
        <v>8.572139513</v>
      </c>
      <c r="D871" s="14">
        <v>58.20468586</v>
      </c>
      <c r="E871" s="14">
        <v>6.814411721</v>
      </c>
      <c r="F871" s="14">
        <v>2.768589116</v>
      </c>
      <c r="G871" s="14">
        <v>0.006881527</v>
      </c>
      <c r="H871" s="14">
        <v>0.019553461</v>
      </c>
      <c r="I871" s="14" t="s">
        <v>164</v>
      </c>
      <c r="J871" s="14">
        <v>4.618816851</v>
      </c>
      <c r="K871" s="14">
        <v>4.561260573</v>
      </c>
      <c r="L871" s="14">
        <v>6.209333306</v>
      </c>
      <c r="M871" s="14">
        <v>1.193006859</v>
      </c>
      <c r="N871" s="14">
        <v>0</v>
      </c>
      <c r="O871" s="14">
        <v>0.656560077</v>
      </c>
    </row>
    <row r="872" spans="1:15">
      <c r="A872" s="14" t="s">
        <v>4645</v>
      </c>
      <c r="B872" s="14">
        <v>554.5109609</v>
      </c>
      <c r="C872" s="14">
        <v>984.7238356</v>
      </c>
      <c r="D872" s="14">
        <v>124.2980862</v>
      </c>
      <c r="E872" s="14">
        <v>0.126294646</v>
      </c>
      <c r="F872" s="14">
        <v>-2.98513461</v>
      </c>
      <c r="G872" s="51" t="s">
        <v>4646</v>
      </c>
      <c r="H872" s="51" t="s">
        <v>4647</v>
      </c>
      <c r="I872" s="14" t="s">
        <v>147</v>
      </c>
      <c r="J872" s="14">
        <v>1.638551993</v>
      </c>
      <c r="K872" s="14">
        <v>0.812674664</v>
      </c>
      <c r="L872" s="14">
        <v>2.034977086</v>
      </c>
      <c r="M872" s="14">
        <v>13.16601143</v>
      </c>
      <c r="N872" s="14">
        <v>10.22388498</v>
      </c>
      <c r="O872" s="14">
        <v>5.148586216</v>
      </c>
    </row>
    <row r="873" spans="1:21">
      <c r="A873" s="14" t="s">
        <v>4648</v>
      </c>
      <c r="B873" s="14">
        <v>2178.071853</v>
      </c>
      <c r="C873" s="14">
        <v>3294.973464</v>
      </c>
      <c r="D873" s="14">
        <v>1061.170243</v>
      </c>
      <c r="E873" s="14">
        <v>0.322080611</v>
      </c>
      <c r="F873" s="14">
        <v>-1.634506282</v>
      </c>
      <c r="G873" s="51" t="s">
        <v>4649</v>
      </c>
      <c r="H873" s="51" t="s">
        <v>4650</v>
      </c>
      <c r="I873" s="14" t="s">
        <v>147</v>
      </c>
      <c r="J873" s="14">
        <v>24.38452031</v>
      </c>
      <c r="K873" s="14">
        <v>26.75339816</v>
      </c>
      <c r="L873" s="14">
        <v>24.7059649</v>
      </c>
      <c r="M873" s="14">
        <v>68.16410839</v>
      </c>
      <c r="N873" s="14">
        <v>66.034791</v>
      </c>
      <c r="O873" s="14">
        <v>58.70750673</v>
      </c>
      <c r="P873" s="14" t="s">
        <v>4651</v>
      </c>
      <c r="Q873" s="14" t="s">
        <v>4652</v>
      </c>
      <c r="T873" s="14" t="s">
        <v>4653</v>
      </c>
      <c r="U873" s="14" t="s">
        <v>4654</v>
      </c>
    </row>
    <row r="874" spans="1:21">
      <c r="A874" s="14" t="s">
        <v>4655</v>
      </c>
      <c r="B874" s="14">
        <v>2062.231388</v>
      </c>
      <c r="C874" s="14">
        <v>2803.869283</v>
      </c>
      <c r="D874" s="14">
        <v>1320.593494</v>
      </c>
      <c r="E874" s="14">
        <v>0.471041359</v>
      </c>
      <c r="F874" s="14">
        <v>-1.086074355</v>
      </c>
      <c r="G874" s="14">
        <v>0.001148293</v>
      </c>
      <c r="H874" s="14">
        <v>0.004138082</v>
      </c>
      <c r="I874" s="14" t="s">
        <v>147</v>
      </c>
      <c r="J874" s="14">
        <v>14.39423187</v>
      </c>
      <c r="K874" s="14">
        <v>13.11771662</v>
      </c>
      <c r="L874" s="14">
        <v>18.33240977</v>
      </c>
      <c r="M874" s="14">
        <v>28.81152203</v>
      </c>
      <c r="N874" s="14">
        <v>33.3610827</v>
      </c>
      <c r="O874" s="14">
        <v>16.57032574</v>
      </c>
      <c r="P874" s="14" t="s">
        <v>4656</v>
      </c>
      <c r="Q874" s="14" t="s">
        <v>4657</v>
      </c>
      <c r="T874" s="14" t="s">
        <v>4658</v>
      </c>
      <c r="U874" s="14" t="s">
        <v>4659</v>
      </c>
    </row>
    <row r="875" spans="1:15">
      <c r="A875" s="14" t="s">
        <v>4660</v>
      </c>
      <c r="B875" s="14">
        <v>2206.285982</v>
      </c>
      <c r="C875" s="14">
        <v>208.1971672</v>
      </c>
      <c r="D875" s="14">
        <v>4204.374796</v>
      </c>
      <c r="E875" s="14">
        <v>20.17357146</v>
      </c>
      <c r="F875" s="14">
        <v>4.334394611</v>
      </c>
      <c r="G875" s="51" t="s">
        <v>4661</v>
      </c>
      <c r="H875" s="51" t="s">
        <v>4662</v>
      </c>
      <c r="I875" s="14" t="s">
        <v>164</v>
      </c>
      <c r="J875" s="14">
        <v>62.07018958</v>
      </c>
      <c r="K875" s="14">
        <v>46.41185541</v>
      </c>
      <c r="L875" s="14">
        <v>55.88845307</v>
      </c>
      <c r="M875" s="14">
        <v>0.905168961</v>
      </c>
      <c r="N875" s="14">
        <v>1.705033504</v>
      </c>
      <c r="O875" s="14">
        <v>4.330810462</v>
      </c>
    </row>
    <row r="876" spans="1:21">
      <c r="A876" s="14" t="s">
        <v>4663</v>
      </c>
      <c r="B876" s="14">
        <v>737.1433963</v>
      </c>
      <c r="C876" s="14">
        <v>1109.010926</v>
      </c>
      <c r="D876" s="14">
        <v>365.2758667</v>
      </c>
      <c r="E876" s="14">
        <v>0.329307969</v>
      </c>
      <c r="F876" s="14">
        <v>-1.602490669</v>
      </c>
      <c r="G876" s="51" t="s">
        <v>4664</v>
      </c>
      <c r="H876" s="51" t="s">
        <v>4665</v>
      </c>
      <c r="I876" s="14" t="s">
        <v>147</v>
      </c>
      <c r="J876" s="14">
        <v>3.198511832</v>
      </c>
      <c r="K876" s="14">
        <v>4.823408565</v>
      </c>
      <c r="L876" s="14">
        <v>4.483499473</v>
      </c>
      <c r="M876" s="14">
        <v>8.46131114</v>
      </c>
      <c r="N876" s="14">
        <v>9.063906489</v>
      </c>
      <c r="O876" s="14">
        <v>14.11586314</v>
      </c>
      <c r="P876" s="14" t="s">
        <v>4666</v>
      </c>
      <c r="Q876" s="14" t="s">
        <v>4667</v>
      </c>
      <c r="T876" s="14" t="s">
        <v>4668</v>
      </c>
      <c r="U876" s="14" t="s">
        <v>4669</v>
      </c>
    </row>
    <row r="877" spans="1:21">
      <c r="A877" s="14" t="s">
        <v>4670</v>
      </c>
      <c r="B877" s="14">
        <v>1220.538357</v>
      </c>
      <c r="C877" s="14">
        <v>733.8212162</v>
      </c>
      <c r="D877" s="14">
        <v>1707.255498</v>
      </c>
      <c r="E877" s="14">
        <v>2.325474775</v>
      </c>
      <c r="F877" s="14">
        <v>1.217525291</v>
      </c>
      <c r="G877" s="51" t="s">
        <v>4671</v>
      </c>
      <c r="H877" s="51" t="s">
        <v>4672</v>
      </c>
      <c r="I877" s="14" t="s">
        <v>164</v>
      </c>
      <c r="J877" s="14">
        <v>6.626907428</v>
      </c>
      <c r="K877" s="14">
        <v>7.589481389</v>
      </c>
      <c r="L877" s="14">
        <v>7.348462416</v>
      </c>
      <c r="M877" s="14">
        <v>1.884035212</v>
      </c>
      <c r="N877" s="14">
        <v>2.687298996</v>
      </c>
      <c r="O877" s="14">
        <v>3.124547503</v>
      </c>
      <c r="P877" s="14" t="s">
        <v>4673</v>
      </c>
      <c r="Q877" s="14" t="s">
        <v>4674</v>
      </c>
      <c r="T877" s="14" t="s">
        <v>4675</v>
      </c>
      <c r="U877" s="14" t="s">
        <v>4676</v>
      </c>
    </row>
    <row r="878" spans="1:21">
      <c r="A878" s="14" t="s">
        <v>4677</v>
      </c>
      <c r="B878" s="14">
        <v>22.76986208</v>
      </c>
      <c r="C878" s="14">
        <v>41.22909077</v>
      </c>
      <c r="D878" s="14">
        <v>4.310633388</v>
      </c>
      <c r="E878" s="14">
        <v>0.103975719</v>
      </c>
      <c r="F878" s="14">
        <v>-3.265681432</v>
      </c>
      <c r="G878" s="51" t="s">
        <v>4678</v>
      </c>
      <c r="H878" s="51" t="s">
        <v>4679</v>
      </c>
      <c r="I878" s="14" t="s">
        <v>147</v>
      </c>
      <c r="J878" s="14">
        <v>0.042700926</v>
      </c>
      <c r="K878" s="14">
        <v>0.114612687</v>
      </c>
      <c r="L878" s="14">
        <v>0.027409709</v>
      </c>
      <c r="M878" s="14">
        <v>0.621089665</v>
      </c>
      <c r="N878" s="14">
        <v>0.443975458</v>
      </c>
      <c r="O878" s="14">
        <v>0.381279195</v>
      </c>
      <c r="Q878" s="14" t="s">
        <v>4680</v>
      </c>
      <c r="T878" s="14" t="s">
        <v>4681</v>
      </c>
      <c r="U878" s="14" t="s">
        <v>4682</v>
      </c>
    </row>
    <row r="879" spans="1:21">
      <c r="A879" s="14" t="s">
        <v>4683</v>
      </c>
      <c r="B879" s="14">
        <v>5905.782401</v>
      </c>
      <c r="C879" s="14">
        <v>7905.055782</v>
      </c>
      <c r="D879" s="14">
        <v>3906.50902</v>
      </c>
      <c r="E879" s="14">
        <v>0.494195996</v>
      </c>
      <c r="F879" s="14">
        <v>-1.016844774</v>
      </c>
      <c r="G879" s="51" t="s">
        <v>4684</v>
      </c>
      <c r="H879" s="14">
        <v>0.00045873</v>
      </c>
      <c r="I879" s="14" t="s">
        <v>147</v>
      </c>
      <c r="J879" s="14">
        <v>71.94394383</v>
      </c>
      <c r="K879" s="14">
        <v>80.94341948</v>
      </c>
      <c r="L879" s="14">
        <v>78.67442895</v>
      </c>
      <c r="M879" s="14">
        <v>141.3785796</v>
      </c>
      <c r="N879" s="14">
        <v>148.1183912</v>
      </c>
      <c r="O879" s="14">
        <v>91.38487839</v>
      </c>
      <c r="P879" s="14" t="s">
        <v>4685</v>
      </c>
      <c r="Q879" s="14" t="s">
        <v>4686</v>
      </c>
      <c r="T879" s="14" t="s">
        <v>4687</v>
      </c>
      <c r="U879" s="14" t="s">
        <v>4688</v>
      </c>
    </row>
    <row r="880" spans="1:21">
      <c r="A880" s="14" t="s">
        <v>4689</v>
      </c>
      <c r="B880" s="14">
        <v>7548.617513</v>
      </c>
      <c r="C880" s="14">
        <v>10562.83641</v>
      </c>
      <c r="D880" s="14">
        <v>4534.39862</v>
      </c>
      <c r="E880" s="14">
        <v>0.429268182</v>
      </c>
      <c r="F880" s="14">
        <v>-1.220048851</v>
      </c>
      <c r="G880" s="51" t="s">
        <v>4690</v>
      </c>
      <c r="H880" s="51" t="s">
        <v>4691</v>
      </c>
      <c r="I880" s="14" t="s">
        <v>147</v>
      </c>
      <c r="J880" s="14">
        <v>23.24059349</v>
      </c>
      <c r="K880" s="14">
        <v>17.81905195</v>
      </c>
      <c r="L880" s="14">
        <v>21.19921577</v>
      </c>
      <c r="M880" s="14">
        <v>34.1747163</v>
      </c>
      <c r="N880" s="14">
        <v>33.37796899</v>
      </c>
      <c r="O880" s="14">
        <v>53.14479522</v>
      </c>
      <c r="P880" s="14" t="s">
        <v>3681</v>
      </c>
      <c r="Q880" s="14" t="s">
        <v>3682</v>
      </c>
      <c r="R880" s="14" t="s">
        <v>3683</v>
      </c>
      <c r="S880" s="14" t="s">
        <v>3684</v>
      </c>
      <c r="T880" s="14" t="s">
        <v>3685</v>
      </c>
      <c r="U880" s="14" t="s">
        <v>3686</v>
      </c>
    </row>
    <row r="881" spans="1:21">
      <c r="A881" s="14" t="s">
        <v>4692</v>
      </c>
      <c r="B881" s="14">
        <v>1201.856632</v>
      </c>
      <c r="C881" s="14">
        <v>731.2004316</v>
      </c>
      <c r="D881" s="14">
        <v>1672.512832</v>
      </c>
      <c r="E881" s="14">
        <v>2.286439821</v>
      </c>
      <c r="F881" s="14">
        <v>1.193102948</v>
      </c>
      <c r="G881" s="51" t="s">
        <v>4693</v>
      </c>
      <c r="H881" s="51" t="s">
        <v>4694</v>
      </c>
      <c r="I881" s="14" t="s">
        <v>164</v>
      </c>
      <c r="J881" s="14">
        <v>19.26661011</v>
      </c>
      <c r="K881" s="14">
        <v>19.21230322</v>
      </c>
      <c r="L881" s="14">
        <v>21.99682204</v>
      </c>
      <c r="M881" s="14">
        <v>6.420243705</v>
      </c>
      <c r="N881" s="14">
        <v>5.992989693</v>
      </c>
      <c r="O881" s="14">
        <v>9.566991342</v>
      </c>
      <c r="P881" s="14" t="s">
        <v>4695</v>
      </c>
      <c r="Q881" s="14" t="s">
        <v>4696</v>
      </c>
      <c r="T881" s="14" t="s">
        <v>4697</v>
      </c>
      <c r="U881" s="14" t="s">
        <v>4698</v>
      </c>
    </row>
    <row r="882" spans="1:21">
      <c r="A882" s="14" t="s">
        <v>4699</v>
      </c>
      <c r="B882" s="14">
        <v>1446.359906</v>
      </c>
      <c r="C882" s="14">
        <v>760.0855388</v>
      </c>
      <c r="D882" s="14">
        <v>2132.634273</v>
      </c>
      <c r="E882" s="14">
        <v>2.806980873</v>
      </c>
      <c r="F882" s="14">
        <v>1.489019233</v>
      </c>
      <c r="G882" s="51" t="s">
        <v>4700</v>
      </c>
      <c r="H882" s="51" t="s">
        <v>1791</v>
      </c>
      <c r="I882" s="14" t="s">
        <v>164</v>
      </c>
      <c r="J882" s="14">
        <v>10.28652837</v>
      </c>
      <c r="K882" s="14">
        <v>9.543368376</v>
      </c>
      <c r="L882" s="14">
        <v>9.886660018</v>
      </c>
      <c r="M882" s="14">
        <v>3.078023051</v>
      </c>
      <c r="N882" s="14">
        <v>3.221108741</v>
      </c>
      <c r="O882" s="14">
        <v>2.341411234</v>
      </c>
      <c r="P882" s="14" t="s">
        <v>4701</v>
      </c>
      <c r="Q882" s="14" t="s">
        <v>4702</v>
      </c>
      <c r="T882" s="14" t="s">
        <v>4703</v>
      </c>
      <c r="U882" s="14" t="s">
        <v>4704</v>
      </c>
    </row>
    <row r="883" spans="1:21">
      <c r="A883" s="14" t="s">
        <v>4705</v>
      </c>
      <c r="B883" s="14">
        <v>318.6680316</v>
      </c>
      <c r="C883" s="14">
        <v>175.2712511</v>
      </c>
      <c r="D883" s="14">
        <v>462.0648121</v>
      </c>
      <c r="E883" s="14">
        <v>2.639574843</v>
      </c>
      <c r="F883" s="14">
        <v>1.400305573</v>
      </c>
      <c r="G883" s="51" t="s">
        <v>4706</v>
      </c>
      <c r="H883" s="51" t="s">
        <v>4707</v>
      </c>
      <c r="I883" s="14" t="s">
        <v>164</v>
      </c>
      <c r="J883" s="14">
        <v>11.02288426</v>
      </c>
      <c r="K883" s="14">
        <v>8.712914428</v>
      </c>
      <c r="L883" s="14">
        <v>9.31418852</v>
      </c>
      <c r="M883" s="14">
        <v>3.356839807</v>
      </c>
      <c r="N883" s="14">
        <v>2.777459003</v>
      </c>
      <c r="O883" s="14">
        <v>2.901979145</v>
      </c>
      <c r="P883" s="14" t="s">
        <v>4708</v>
      </c>
      <c r="Q883" s="14" t="s">
        <v>4709</v>
      </c>
      <c r="T883" s="14" t="s">
        <v>4710</v>
      </c>
      <c r="U883" s="14" t="s">
        <v>4711</v>
      </c>
    </row>
    <row r="884" spans="1:21">
      <c r="A884" s="14" t="s">
        <v>4712</v>
      </c>
      <c r="B884" s="14">
        <v>4891.352279</v>
      </c>
      <c r="C884" s="14">
        <v>3244.632809</v>
      </c>
      <c r="D884" s="14">
        <v>6538.071748</v>
      </c>
      <c r="E884" s="14">
        <v>2.014749958</v>
      </c>
      <c r="F884" s="14">
        <v>1.010600803</v>
      </c>
      <c r="G884" s="51" t="s">
        <v>4713</v>
      </c>
      <c r="H884" s="51" t="s">
        <v>4714</v>
      </c>
      <c r="I884" s="14" t="s">
        <v>164</v>
      </c>
      <c r="J884" s="14">
        <v>55.87278449</v>
      </c>
      <c r="K884" s="14">
        <v>49.30433053</v>
      </c>
      <c r="L884" s="14">
        <v>52.90558464</v>
      </c>
      <c r="M884" s="14">
        <v>18.61642192</v>
      </c>
      <c r="N884" s="14">
        <v>20.29752175</v>
      </c>
      <c r="O884" s="14">
        <v>26.11162621</v>
      </c>
      <c r="P884" s="14" t="s">
        <v>4715</v>
      </c>
      <c r="Q884" s="14" t="s">
        <v>4716</v>
      </c>
      <c r="T884" s="14" t="s">
        <v>4717</v>
      </c>
      <c r="U884" s="14" t="s">
        <v>4718</v>
      </c>
    </row>
    <row r="885" spans="1:21">
      <c r="A885" s="14" t="s">
        <v>4719</v>
      </c>
      <c r="B885" s="14">
        <v>831.7604671</v>
      </c>
      <c r="C885" s="14">
        <v>551.7553914</v>
      </c>
      <c r="D885" s="14">
        <v>1111.765543</v>
      </c>
      <c r="E885" s="14">
        <v>2.014009342</v>
      </c>
      <c r="F885" s="14">
        <v>1.010070376</v>
      </c>
      <c r="G885" s="14">
        <v>0.001001117</v>
      </c>
      <c r="H885" s="14">
        <v>0.003674613</v>
      </c>
      <c r="I885" s="14" t="s">
        <v>164</v>
      </c>
      <c r="J885" s="14">
        <v>11.29410692</v>
      </c>
      <c r="K885" s="14">
        <v>12.34192736</v>
      </c>
      <c r="L885" s="14">
        <v>13.41579604</v>
      </c>
      <c r="M885" s="14">
        <v>3.801289118</v>
      </c>
      <c r="N885" s="14">
        <v>3.646885623</v>
      </c>
      <c r="O885" s="14">
        <v>7.999785039</v>
      </c>
      <c r="P885" s="14" t="s">
        <v>4720</v>
      </c>
      <c r="Q885" s="14" t="s">
        <v>4721</v>
      </c>
      <c r="T885" s="14" t="s">
        <v>4481</v>
      </c>
      <c r="U885" s="14" t="s">
        <v>4482</v>
      </c>
    </row>
    <row r="886" spans="1:21">
      <c r="A886" s="14" t="s">
        <v>4722</v>
      </c>
      <c r="B886" s="14">
        <v>8.512921759</v>
      </c>
      <c r="C886" s="14">
        <v>3.007010528</v>
      </c>
      <c r="D886" s="14">
        <v>14.01883299</v>
      </c>
      <c r="E886" s="14">
        <v>4.654710297</v>
      </c>
      <c r="F886" s="14">
        <v>2.218691379</v>
      </c>
      <c r="G886" s="14">
        <v>0.010259512</v>
      </c>
      <c r="H886" s="14">
        <v>0.027606865</v>
      </c>
      <c r="I886" s="14" t="s">
        <v>164</v>
      </c>
      <c r="J886" s="14">
        <v>1.262698132</v>
      </c>
      <c r="K886" s="14">
        <v>0.602025814</v>
      </c>
      <c r="L886" s="14">
        <v>0.959832778</v>
      </c>
      <c r="M886" s="14">
        <v>0.113721877</v>
      </c>
      <c r="N886" s="14">
        <v>0.21820528</v>
      </c>
      <c r="O886" s="14">
        <v>0.166895367</v>
      </c>
      <c r="P886" s="14" t="s">
        <v>4723</v>
      </c>
      <c r="Q886" s="14" t="s">
        <v>4724</v>
      </c>
      <c r="T886" s="14" t="s">
        <v>4725</v>
      </c>
      <c r="U886" s="14" t="s">
        <v>4726</v>
      </c>
    </row>
    <row r="887" spans="1:21">
      <c r="A887" s="14" t="s">
        <v>4727</v>
      </c>
      <c r="B887" s="14">
        <v>78.16906645</v>
      </c>
      <c r="C887" s="14">
        <v>156.3381329</v>
      </c>
      <c r="D887" s="14">
        <v>0</v>
      </c>
      <c r="E887" s="14">
        <v>0.001152583</v>
      </c>
      <c r="F887" s="14">
        <v>-9.760913679</v>
      </c>
      <c r="G887" s="51" t="s">
        <v>4728</v>
      </c>
      <c r="H887" s="51" t="s">
        <v>4729</v>
      </c>
      <c r="I887" s="14" t="s">
        <v>147</v>
      </c>
      <c r="J887" s="14">
        <v>0</v>
      </c>
      <c r="K887" s="14">
        <v>0</v>
      </c>
      <c r="L887" s="14">
        <v>0</v>
      </c>
      <c r="M887" s="14">
        <v>7.599683119</v>
      </c>
      <c r="N887" s="14">
        <v>6.299418578</v>
      </c>
      <c r="O887" s="14">
        <v>14.33545617</v>
      </c>
      <c r="P887" s="14" t="s">
        <v>1541</v>
      </c>
      <c r="Q887" s="14" t="s">
        <v>1542</v>
      </c>
      <c r="R887" s="14" t="s">
        <v>4730</v>
      </c>
      <c r="S887" s="14" t="s">
        <v>4731</v>
      </c>
      <c r="T887" s="14" t="s">
        <v>1543</v>
      </c>
      <c r="U887" s="14" t="s">
        <v>1544</v>
      </c>
    </row>
    <row r="888" spans="1:15">
      <c r="A888" s="14" t="s">
        <v>4732</v>
      </c>
      <c r="B888" s="14">
        <v>42.48859229</v>
      </c>
      <c r="C888" s="14">
        <v>81.63739143</v>
      </c>
      <c r="D888" s="14">
        <v>3.339793158</v>
      </c>
      <c r="E888" s="14">
        <v>0.040437288</v>
      </c>
      <c r="F888" s="14">
        <v>-4.628169955</v>
      </c>
      <c r="G888" s="51" t="s">
        <v>4733</v>
      </c>
      <c r="H888" s="51" t="s">
        <v>876</v>
      </c>
      <c r="I888" s="14" t="s">
        <v>147</v>
      </c>
      <c r="J888" s="14">
        <v>0.457308599</v>
      </c>
      <c r="K888" s="14">
        <v>0.460294765</v>
      </c>
      <c r="L888" s="14">
        <v>0</v>
      </c>
      <c r="M888" s="14">
        <v>4.46048728</v>
      </c>
      <c r="N888" s="14">
        <v>4.95498821</v>
      </c>
      <c r="O888" s="14">
        <v>9.570320149</v>
      </c>
    </row>
    <row r="889" spans="1:15">
      <c r="A889" s="14" t="s">
        <v>4734</v>
      </c>
      <c r="B889" s="14">
        <v>34.89123869</v>
      </c>
      <c r="C889" s="14">
        <v>13.70318101</v>
      </c>
      <c r="D889" s="14">
        <v>56.07929637</v>
      </c>
      <c r="E889" s="14">
        <v>4.061926477</v>
      </c>
      <c r="F889" s="14">
        <v>2.022164126</v>
      </c>
      <c r="G889" s="14">
        <v>0.000345379</v>
      </c>
      <c r="H889" s="14">
        <v>0.001434088</v>
      </c>
      <c r="I889" s="14" t="s">
        <v>164</v>
      </c>
      <c r="J889" s="14">
        <v>5.987355177</v>
      </c>
      <c r="K889" s="14">
        <v>3.529778927</v>
      </c>
      <c r="L889" s="14">
        <v>5.023717362</v>
      </c>
      <c r="M889" s="14">
        <v>0.58545707</v>
      </c>
      <c r="N889" s="14">
        <v>0.702095692</v>
      </c>
      <c r="O889" s="14">
        <v>1.718404151</v>
      </c>
    </row>
    <row r="890" spans="1:15">
      <c r="A890" s="14" t="s">
        <v>4735</v>
      </c>
      <c r="B890" s="14">
        <v>883.4856675</v>
      </c>
      <c r="C890" s="14">
        <v>481.4807126</v>
      </c>
      <c r="D890" s="14">
        <v>1285.490622</v>
      </c>
      <c r="E890" s="14">
        <v>2.668690391</v>
      </c>
      <c r="F890" s="14">
        <v>1.41613194</v>
      </c>
      <c r="G890" s="51" t="s">
        <v>4736</v>
      </c>
      <c r="H890" s="51" t="s">
        <v>4737</v>
      </c>
      <c r="I890" s="14" t="s">
        <v>164</v>
      </c>
      <c r="J890" s="14">
        <v>14.72671702</v>
      </c>
      <c r="K890" s="14">
        <v>15.82396536</v>
      </c>
      <c r="L890" s="14">
        <v>13.41785158</v>
      </c>
      <c r="M890" s="14">
        <v>4.196810325</v>
      </c>
      <c r="N890" s="14">
        <v>4.276827934</v>
      </c>
      <c r="O890" s="14">
        <v>5.146802645</v>
      </c>
    </row>
    <row r="891" spans="1:15">
      <c r="A891" s="14" t="s">
        <v>4738</v>
      </c>
      <c r="B891" s="14">
        <v>4.237586514</v>
      </c>
      <c r="C891" s="14">
        <v>0</v>
      </c>
      <c r="D891" s="14">
        <v>8.475173027</v>
      </c>
      <c r="E891" s="14">
        <v>45.72234399</v>
      </c>
      <c r="F891" s="14">
        <v>5.514827461</v>
      </c>
      <c r="G891" s="14">
        <v>0.001768121</v>
      </c>
      <c r="H891" s="14">
        <v>0.006023245</v>
      </c>
      <c r="I891" s="14" t="s">
        <v>164</v>
      </c>
      <c r="J891" s="14">
        <v>0.994822091</v>
      </c>
      <c r="K891" s="14">
        <v>1.287409049</v>
      </c>
      <c r="L891" s="14">
        <v>1.368376986</v>
      </c>
      <c r="M891" s="14">
        <v>0</v>
      </c>
      <c r="N891" s="14">
        <v>0</v>
      </c>
      <c r="O891" s="14">
        <v>0</v>
      </c>
    </row>
    <row r="892" spans="1:21">
      <c r="A892" s="14" t="s">
        <v>4739</v>
      </c>
      <c r="B892" s="14">
        <v>9285.548135</v>
      </c>
      <c r="C892" s="14">
        <v>14022.29238</v>
      </c>
      <c r="D892" s="14">
        <v>4548.803888</v>
      </c>
      <c r="E892" s="14">
        <v>0.324377953</v>
      </c>
      <c r="F892" s="14">
        <v>-1.624252329</v>
      </c>
      <c r="G892" s="51" t="s">
        <v>4740</v>
      </c>
      <c r="H892" s="51" t="s">
        <v>4741</v>
      </c>
      <c r="I892" s="14" t="s">
        <v>147</v>
      </c>
      <c r="J892" s="14">
        <v>70.31217345</v>
      </c>
      <c r="K892" s="14">
        <v>69.19795363</v>
      </c>
      <c r="L892" s="14">
        <v>61.62349064</v>
      </c>
      <c r="M892" s="14">
        <v>160.4024293</v>
      </c>
      <c r="N892" s="14">
        <v>155.8297132</v>
      </c>
      <c r="O892" s="14">
        <v>196.752746</v>
      </c>
      <c r="P892" s="14" t="s">
        <v>4742</v>
      </c>
      <c r="Q892" s="14" t="s">
        <v>4743</v>
      </c>
      <c r="R892" s="14" t="s">
        <v>1536</v>
      </c>
      <c r="S892" s="14" t="s">
        <v>1537</v>
      </c>
      <c r="T892" s="14" t="s">
        <v>4744</v>
      </c>
      <c r="U892" s="14" t="s">
        <v>4745</v>
      </c>
    </row>
    <row r="893" spans="1:15">
      <c r="A893" s="14" t="s">
        <v>4746</v>
      </c>
      <c r="B893" s="14">
        <v>13.68406926</v>
      </c>
      <c r="C893" s="14">
        <v>3.641105926</v>
      </c>
      <c r="D893" s="14">
        <v>23.72703259</v>
      </c>
      <c r="E893" s="14">
        <v>6.490717073</v>
      </c>
      <c r="F893" s="14">
        <v>2.698377871</v>
      </c>
      <c r="G893" s="14">
        <v>0.004022525</v>
      </c>
      <c r="H893" s="14">
        <v>0.012260992</v>
      </c>
      <c r="I893" s="14" t="s">
        <v>164</v>
      </c>
      <c r="J893" s="14">
        <v>0.774721676</v>
      </c>
      <c r="K893" s="14">
        <v>0.222794431</v>
      </c>
      <c r="L893" s="14">
        <v>0.596752264</v>
      </c>
      <c r="M893" s="14">
        <v>0.07575403</v>
      </c>
      <c r="N893" s="14">
        <v>0.01816925</v>
      </c>
      <c r="O893" s="14">
        <v>0.111174709</v>
      </c>
    </row>
    <row r="894" spans="1:21">
      <c r="A894" s="14" t="s">
        <v>4747</v>
      </c>
      <c r="B894" s="14">
        <v>20.73368537</v>
      </c>
      <c r="C894" s="14">
        <v>1.937239503</v>
      </c>
      <c r="D894" s="14">
        <v>39.53013124</v>
      </c>
      <c r="E894" s="14">
        <v>19.8658565</v>
      </c>
      <c r="F894" s="14">
        <v>4.31221909</v>
      </c>
      <c r="G894" s="51" t="s">
        <v>4748</v>
      </c>
      <c r="H894" s="51" t="s">
        <v>2815</v>
      </c>
      <c r="I894" s="14" t="s">
        <v>164</v>
      </c>
      <c r="J894" s="14">
        <v>0.677330396</v>
      </c>
      <c r="K894" s="14">
        <v>0.493183221</v>
      </c>
      <c r="L894" s="14">
        <v>0.555035907</v>
      </c>
      <c r="M894" s="14">
        <v>0.012330219</v>
      </c>
      <c r="N894" s="14">
        <v>0.011829381</v>
      </c>
      <c r="O894" s="14">
        <v>0.048254719</v>
      </c>
      <c r="P894" s="14" t="s">
        <v>4749</v>
      </c>
      <c r="Q894" s="14" t="s">
        <v>4750</v>
      </c>
      <c r="R894" s="14" t="s">
        <v>4751</v>
      </c>
      <c r="S894" s="14" t="s">
        <v>4752</v>
      </c>
      <c r="T894" s="14" t="s">
        <v>4753</v>
      </c>
      <c r="U894" s="14" t="s">
        <v>4754</v>
      </c>
    </row>
    <row r="895" spans="1:21">
      <c r="A895" s="14" t="s">
        <v>4755</v>
      </c>
      <c r="B895" s="14">
        <v>242.0238998</v>
      </c>
      <c r="C895" s="14">
        <v>49.10933159</v>
      </c>
      <c r="D895" s="14">
        <v>434.9384679</v>
      </c>
      <c r="E895" s="14">
        <v>8.830612069</v>
      </c>
      <c r="F895" s="14">
        <v>3.142513438</v>
      </c>
      <c r="G895" s="51" t="s">
        <v>4756</v>
      </c>
      <c r="H895" s="51" t="s">
        <v>4757</v>
      </c>
      <c r="I895" s="14" t="s">
        <v>164</v>
      </c>
      <c r="J895" s="14">
        <v>3.932134368</v>
      </c>
      <c r="K895" s="14">
        <v>3.329706892</v>
      </c>
      <c r="L895" s="14">
        <v>2.62779612</v>
      </c>
      <c r="M895" s="14">
        <v>0.205847087</v>
      </c>
      <c r="N895" s="14">
        <v>0.345600223</v>
      </c>
      <c r="O895" s="14">
        <v>0.377620012</v>
      </c>
      <c r="P895" s="14" t="s">
        <v>2619</v>
      </c>
      <c r="Q895" s="14" t="s">
        <v>2620</v>
      </c>
      <c r="T895" s="14" t="s">
        <v>2621</v>
      </c>
      <c r="U895" s="14" t="s">
        <v>2622</v>
      </c>
    </row>
    <row r="896" spans="1:21">
      <c r="A896" s="14" t="s">
        <v>4758</v>
      </c>
      <c r="B896" s="14">
        <v>1789.453016</v>
      </c>
      <c r="C896" s="14">
        <v>995.1182952</v>
      </c>
      <c r="D896" s="14">
        <v>2583.787736</v>
      </c>
      <c r="E896" s="14">
        <v>2.596085625</v>
      </c>
      <c r="F896" s="14">
        <v>1.376337968</v>
      </c>
      <c r="G896" s="51" t="s">
        <v>4759</v>
      </c>
      <c r="H896" s="51" t="s">
        <v>4760</v>
      </c>
      <c r="I896" s="14" t="s">
        <v>164</v>
      </c>
      <c r="J896" s="14">
        <v>19.1811331</v>
      </c>
      <c r="K896" s="14">
        <v>21.83165835</v>
      </c>
      <c r="L896" s="14">
        <v>18.99304984</v>
      </c>
      <c r="M896" s="14">
        <v>5.638914378</v>
      </c>
      <c r="N896" s="14">
        <v>6.625357487</v>
      </c>
      <c r="O896" s="14">
        <v>6.80796329</v>
      </c>
      <c r="P896" s="14" t="s">
        <v>4761</v>
      </c>
      <c r="Q896" s="14" t="s">
        <v>4762</v>
      </c>
      <c r="T896" s="14" t="s">
        <v>4763</v>
      </c>
      <c r="U896" s="14" t="s">
        <v>4764</v>
      </c>
    </row>
    <row r="897" spans="1:21">
      <c r="A897" s="14" t="s">
        <v>4765</v>
      </c>
      <c r="B897" s="14">
        <v>32.8561981</v>
      </c>
      <c r="C897" s="14">
        <v>8.894444803</v>
      </c>
      <c r="D897" s="14">
        <v>56.8179514</v>
      </c>
      <c r="E897" s="14">
        <v>6.342674334</v>
      </c>
      <c r="F897" s="14">
        <v>2.665091269</v>
      </c>
      <c r="G897" s="51" t="s">
        <v>4766</v>
      </c>
      <c r="H897" s="51" t="s">
        <v>4767</v>
      </c>
      <c r="I897" s="14" t="s">
        <v>164</v>
      </c>
      <c r="J897" s="14">
        <v>0.732352942</v>
      </c>
      <c r="K897" s="14">
        <v>1.340245657</v>
      </c>
      <c r="L897" s="14">
        <v>0.785275802</v>
      </c>
      <c r="M897" s="14">
        <v>0.099685934</v>
      </c>
      <c r="N897" s="14">
        <v>0.081974416</v>
      </c>
      <c r="O897" s="14">
        <v>0.195062093</v>
      </c>
      <c r="P897" s="14" t="s">
        <v>3520</v>
      </c>
      <c r="Q897" s="14" t="s">
        <v>3521</v>
      </c>
      <c r="T897" s="14" t="s">
        <v>4768</v>
      </c>
      <c r="U897" s="14" t="s">
        <v>4769</v>
      </c>
    </row>
    <row r="898" spans="1:21">
      <c r="A898" s="14" t="s">
        <v>4770</v>
      </c>
      <c r="B898" s="14">
        <v>3.789837675</v>
      </c>
      <c r="C898" s="14">
        <v>0</v>
      </c>
      <c r="D898" s="14">
        <v>7.57967535</v>
      </c>
      <c r="E898" s="14">
        <v>40.85501818</v>
      </c>
      <c r="F898" s="14">
        <v>5.352441389</v>
      </c>
      <c r="G898" s="14">
        <v>0.004216127</v>
      </c>
      <c r="H898" s="14">
        <v>0.012761576</v>
      </c>
      <c r="I898" s="14" t="s">
        <v>164</v>
      </c>
      <c r="J898" s="14">
        <v>0.038550375</v>
      </c>
      <c r="K898" s="14">
        <v>0.04850263</v>
      </c>
      <c r="L898" s="14">
        <v>0.02319888</v>
      </c>
      <c r="M898" s="14">
        <v>0</v>
      </c>
      <c r="N898" s="14">
        <v>0</v>
      </c>
      <c r="O898" s="14">
        <v>0</v>
      </c>
      <c r="P898" s="14" t="s">
        <v>4771</v>
      </c>
      <c r="Q898" s="14" t="s">
        <v>4772</v>
      </c>
      <c r="R898" s="14" t="s">
        <v>294</v>
      </c>
      <c r="S898" s="14" t="s">
        <v>295</v>
      </c>
      <c r="T898" s="14" t="s">
        <v>4773</v>
      </c>
      <c r="U898" s="14" t="s">
        <v>4774</v>
      </c>
    </row>
    <row r="899" spans="1:15">
      <c r="A899" s="14" t="s">
        <v>4775</v>
      </c>
      <c r="B899" s="14">
        <v>6565.655594</v>
      </c>
      <c r="C899" s="14">
        <v>1902.695173</v>
      </c>
      <c r="D899" s="14">
        <v>11228.61602</v>
      </c>
      <c r="E899" s="14">
        <v>5.900428486</v>
      </c>
      <c r="F899" s="14">
        <v>2.560819726</v>
      </c>
      <c r="G899" s="51" t="s">
        <v>4776</v>
      </c>
      <c r="H899" s="51" t="s">
        <v>4777</v>
      </c>
      <c r="I899" s="14" t="s">
        <v>164</v>
      </c>
      <c r="J899" s="14">
        <v>1001.326205</v>
      </c>
      <c r="K899" s="14">
        <v>861.6104268</v>
      </c>
      <c r="L899" s="14">
        <v>968.3732722</v>
      </c>
      <c r="M899" s="14">
        <v>103.8869836</v>
      </c>
      <c r="N899" s="14">
        <v>101.3750277</v>
      </c>
      <c r="O899" s="14">
        <v>196.4553935</v>
      </c>
    </row>
    <row r="900" spans="1:15">
      <c r="A900" s="14" t="s">
        <v>4778</v>
      </c>
      <c r="B900" s="14">
        <v>3736.927611</v>
      </c>
      <c r="C900" s="14">
        <v>996.1029738</v>
      </c>
      <c r="D900" s="14">
        <v>6477.752249</v>
      </c>
      <c r="E900" s="14">
        <v>6.50133832</v>
      </c>
      <c r="F900" s="14">
        <v>2.700736732</v>
      </c>
      <c r="G900" s="51" t="s">
        <v>4779</v>
      </c>
      <c r="H900" s="51" t="s">
        <v>4780</v>
      </c>
      <c r="I900" s="14" t="s">
        <v>164</v>
      </c>
      <c r="J900" s="14">
        <v>391.9835901</v>
      </c>
      <c r="K900" s="14">
        <v>375.203447</v>
      </c>
      <c r="L900" s="14">
        <v>442.0541854</v>
      </c>
      <c r="M900" s="14">
        <v>38.20107381</v>
      </c>
      <c r="N900" s="14">
        <v>34.93066487</v>
      </c>
      <c r="O900" s="14">
        <v>83.30823325</v>
      </c>
    </row>
    <row r="901" spans="1:21">
      <c r="A901" s="14" t="s">
        <v>4781</v>
      </c>
      <c r="B901" s="14">
        <v>692.4864945</v>
      </c>
      <c r="C901" s="14">
        <v>376.2420833</v>
      </c>
      <c r="D901" s="14">
        <v>1008.730906</v>
      </c>
      <c r="E901" s="14">
        <v>2.678661739</v>
      </c>
      <c r="F901" s="14">
        <v>1.421512409</v>
      </c>
      <c r="G901" s="51" t="s">
        <v>4782</v>
      </c>
      <c r="H901" s="51" t="s">
        <v>4783</v>
      </c>
      <c r="I901" s="14" t="s">
        <v>164</v>
      </c>
      <c r="J901" s="14">
        <v>13.80351282</v>
      </c>
      <c r="K901" s="14">
        <v>12.2951458</v>
      </c>
      <c r="L901" s="14">
        <v>14.36109687</v>
      </c>
      <c r="M901" s="14">
        <v>3.193173446</v>
      </c>
      <c r="N901" s="14">
        <v>3.715273134</v>
      </c>
      <c r="O901" s="14">
        <v>5.672210837</v>
      </c>
      <c r="P901" s="14" t="s">
        <v>4784</v>
      </c>
      <c r="Q901" s="14" t="s">
        <v>4785</v>
      </c>
      <c r="T901" s="14" t="s">
        <v>2771</v>
      </c>
      <c r="U901" s="14" t="s">
        <v>2772</v>
      </c>
    </row>
    <row r="902" spans="1:21">
      <c r="A902" s="14" t="s">
        <v>4786</v>
      </c>
      <c r="B902" s="14">
        <v>85.66687208</v>
      </c>
      <c r="C902" s="14">
        <v>29.88489194</v>
      </c>
      <c r="D902" s="14">
        <v>141.4488522</v>
      </c>
      <c r="E902" s="14">
        <v>4.714376241</v>
      </c>
      <c r="F902" s="14">
        <v>2.237066901</v>
      </c>
      <c r="G902" s="51" t="s">
        <v>4787</v>
      </c>
      <c r="H902" s="51" t="s">
        <v>4788</v>
      </c>
      <c r="I902" s="14" t="s">
        <v>164</v>
      </c>
      <c r="J902" s="14">
        <v>1.583929572</v>
      </c>
      <c r="K902" s="14">
        <v>2.3736945</v>
      </c>
      <c r="L902" s="14">
        <v>1.050614591</v>
      </c>
      <c r="M902" s="14">
        <v>0.180693566</v>
      </c>
      <c r="N902" s="14">
        <v>0.260031038</v>
      </c>
      <c r="O902" s="14">
        <v>0.451790422</v>
      </c>
      <c r="P902" s="14" t="s">
        <v>4784</v>
      </c>
      <c r="Q902" s="14" t="s">
        <v>4785</v>
      </c>
      <c r="T902" s="14" t="s">
        <v>2771</v>
      </c>
      <c r="U902" s="14" t="s">
        <v>2772</v>
      </c>
    </row>
    <row r="903" spans="1:21">
      <c r="A903" s="14" t="s">
        <v>4789</v>
      </c>
      <c r="B903" s="14">
        <v>814.8795774</v>
      </c>
      <c r="C903" s="14">
        <v>541.3924109</v>
      </c>
      <c r="D903" s="14">
        <v>1088.366744</v>
      </c>
      <c r="E903" s="14">
        <v>2.011084239</v>
      </c>
      <c r="F903" s="14">
        <v>1.007973513</v>
      </c>
      <c r="G903" s="14">
        <v>0.000292029</v>
      </c>
      <c r="H903" s="14">
        <v>0.001232389</v>
      </c>
      <c r="I903" s="14" t="s">
        <v>164</v>
      </c>
      <c r="J903" s="14">
        <v>34.29147763</v>
      </c>
      <c r="K903" s="14">
        <v>20.12529162</v>
      </c>
      <c r="L903" s="14">
        <v>31.07238844</v>
      </c>
      <c r="M903" s="14">
        <v>12.83053791</v>
      </c>
      <c r="N903" s="14">
        <v>12.01174181</v>
      </c>
      <c r="O903" s="14">
        <v>9.843083217</v>
      </c>
      <c r="P903" s="14" t="s">
        <v>4790</v>
      </c>
      <c r="Q903" s="14" t="s">
        <v>4791</v>
      </c>
      <c r="T903" s="14" t="s">
        <v>4792</v>
      </c>
      <c r="U903" s="14" t="s">
        <v>4793</v>
      </c>
    </row>
    <row r="904" spans="1:15">
      <c r="A904" s="14" t="s">
        <v>4794</v>
      </c>
      <c r="B904" s="14">
        <v>1327.340703</v>
      </c>
      <c r="C904" s="14">
        <v>2016.236633</v>
      </c>
      <c r="D904" s="14">
        <v>638.4447723</v>
      </c>
      <c r="E904" s="14">
        <v>0.316622059</v>
      </c>
      <c r="F904" s="14">
        <v>-1.659166324</v>
      </c>
      <c r="G904" s="51" t="s">
        <v>4795</v>
      </c>
      <c r="H904" s="51" t="s">
        <v>4796</v>
      </c>
      <c r="I904" s="14" t="s">
        <v>147</v>
      </c>
      <c r="J904" s="14">
        <v>17.80574253</v>
      </c>
      <c r="K904" s="14">
        <v>18.08593255</v>
      </c>
      <c r="L904" s="14">
        <v>16.5692896</v>
      </c>
      <c r="M904" s="14">
        <v>44.10108768</v>
      </c>
      <c r="N904" s="14">
        <v>46.2310415</v>
      </c>
      <c r="O904" s="14">
        <v>45.98792853</v>
      </c>
    </row>
    <row r="905" spans="1:21">
      <c r="A905" s="14" t="s">
        <v>4797</v>
      </c>
      <c r="B905" s="14">
        <v>470.9581092</v>
      </c>
      <c r="C905" s="14">
        <v>721.9472982</v>
      </c>
      <c r="D905" s="14">
        <v>219.9689203</v>
      </c>
      <c r="E905" s="14">
        <v>0.304671891</v>
      </c>
      <c r="F905" s="14">
        <v>-1.714671689</v>
      </c>
      <c r="G905" s="51" t="s">
        <v>1443</v>
      </c>
      <c r="H905" s="51" t="s">
        <v>4798</v>
      </c>
      <c r="I905" s="14" t="s">
        <v>147</v>
      </c>
      <c r="J905" s="14">
        <v>3.431571871</v>
      </c>
      <c r="K905" s="14">
        <v>7.789319483</v>
      </c>
      <c r="L905" s="14">
        <v>4.511787826</v>
      </c>
      <c r="M905" s="14">
        <v>15.14588939</v>
      </c>
      <c r="N905" s="14">
        <v>16.45386136</v>
      </c>
      <c r="O905" s="14">
        <v>10.51953899</v>
      </c>
      <c r="P905" s="14" t="s">
        <v>4799</v>
      </c>
      <c r="Q905" s="14" t="s">
        <v>4800</v>
      </c>
      <c r="T905" s="14" t="s">
        <v>4801</v>
      </c>
      <c r="U905" s="14" t="s">
        <v>4802</v>
      </c>
    </row>
    <row r="906" spans="1:21">
      <c r="A906" s="14" t="s">
        <v>4803</v>
      </c>
      <c r="B906" s="14">
        <v>1448.299312</v>
      </c>
      <c r="C906" s="14">
        <v>919.4788457</v>
      </c>
      <c r="D906" s="14">
        <v>1977.119779</v>
      </c>
      <c r="E906" s="14">
        <v>2.150201098</v>
      </c>
      <c r="F906" s="14">
        <v>1.104471595</v>
      </c>
      <c r="G906" s="14">
        <v>0.000491162</v>
      </c>
      <c r="H906" s="14">
        <v>0.001955099</v>
      </c>
      <c r="I906" s="14" t="s">
        <v>164</v>
      </c>
      <c r="J906" s="14">
        <v>26.47497497</v>
      </c>
      <c r="K906" s="14">
        <v>16.98342543</v>
      </c>
      <c r="L906" s="14">
        <v>18.82057694</v>
      </c>
      <c r="M906" s="14">
        <v>5.63403535</v>
      </c>
      <c r="N906" s="14">
        <v>10.8274541</v>
      </c>
      <c r="O906" s="14">
        <v>7.340952869</v>
      </c>
      <c r="P906" s="14" t="s">
        <v>4804</v>
      </c>
      <c r="Q906" s="14" t="s">
        <v>4805</v>
      </c>
      <c r="R906" s="14" t="s">
        <v>4806</v>
      </c>
      <c r="S906" s="14" t="s">
        <v>4807</v>
      </c>
      <c r="T906" s="14" t="s">
        <v>4808</v>
      </c>
      <c r="U906" s="14" t="s">
        <v>4809</v>
      </c>
    </row>
    <row r="907" spans="1:21">
      <c r="A907" s="14" t="s">
        <v>4810</v>
      </c>
      <c r="B907" s="14">
        <v>1450.304514</v>
      </c>
      <c r="C907" s="14">
        <v>2262.307063</v>
      </c>
      <c r="D907" s="14">
        <v>638.3019636</v>
      </c>
      <c r="E907" s="14">
        <v>0.282113006</v>
      </c>
      <c r="F907" s="14">
        <v>-1.825654917</v>
      </c>
      <c r="G907" s="51" t="s">
        <v>4811</v>
      </c>
      <c r="H907" s="51" t="s">
        <v>4812</v>
      </c>
      <c r="I907" s="14" t="s">
        <v>147</v>
      </c>
      <c r="J907" s="14">
        <v>17.63548252</v>
      </c>
      <c r="K907" s="14">
        <v>23.45620276</v>
      </c>
      <c r="L907" s="14">
        <v>16.80704591</v>
      </c>
      <c r="M907" s="14">
        <v>60.04736636</v>
      </c>
      <c r="N907" s="14">
        <v>52.80762597</v>
      </c>
      <c r="O907" s="14">
        <v>55.91229611</v>
      </c>
      <c r="P907" s="14" t="s">
        <v>4813</v>
      </c>
      <c r="Q907" s="14" t="s">
        <v>4814</v>
      </c>
      <c r="T907" s="14" t="s">
        <v>4815</v>
      </c>
      <c r="U907" s="14" t="s">
        <v>4816</v>
      </c>
    </row>
    <row r="908" spans="1:21">
      <c r="A908" s="14" t="s">
        <v>4817</v>
      </c>
      <c r="B908" s="14">
        <v>2493.379303</v>
      </c>
      <c r="C908" s="14">
        <v>3549.801714</v>
      </c>
      <c r="D908" s="14">
        <v>1436.956892</v>
      </c>
      <c r="E908" s="14">
        <v>0.404816996</v>
      </c>
      <c r="F908" s="14">
        <v>-1.304658231</v>
      </c>
      <c r="G908" s="14">
        <v>0.008966938</v>
      </c>
      <c r="H908" s="14">
        <v>0.024596252</v>
      </c>
      <c r="I908" s="14" t="s">
        <v>147</v>
      </c>
      <c r="J908" s="14">
        <v>13.33401779</v>
      </c>
      <c r="K908" s="14">
        <v>14.57890923</v>
      </c>
      <c r="L908" s="14">
        <v>13.79855071</v>
      </c>
      <c r="M908" s="14">
        <v>37.04691739</v>
      </c>
      <c r="N908" s="14">
        <v>35.62867281</v>
      </c>
      <c r="O908" s="14">
        <v>9.869976109</v>
      </c>
      <c r="P908" s="14" t="s">
        <v>4818</v>
      </c>
      <c r="Q908" s="14" t="s">
        <v>4819</v>
      </c>
      <c r="T908" s="14" t="s">
        <v>4820</v>
      </c>
      <c r="U908" s="14" t="s">
        <v>4821</v>
      </c>
    </row>
    <row r="909" spans="1:21">
      <c r="A909" s="14" t="s">
        <v>4822</v>
      </c>
      <c r="B909" s="14">
        <v>4820.460872</v>
      </c>
      <c r="C909" s="14">
        <v>6518.754272</v>
      </c>
      <c r="D909" s="14">
        <v>3122.167472</v>
      </c>
      <c r="E909" s="14">
        <v>0.478973943</v>
      </c>
      <c r="F909" s="14">
        <v>-1.061980921</v>
      </c>
      <c r="G909" s="51" t="s">
        <v>2830</v>
      </c>
      <c r="H909" s="14">
        <v>0.000110173</v>
      </c>
      <c r="I909" s="14" t="s">
        <v>147</v>
      </c>
      <c r="J909" s="14">
        <v>17.65532758</v>
      </c>
      <c r="K909" s="14">
        <v>16.08787242</v>
      </c>
      <c r="L909" s="14">
        <v>16.60468293</v>
      </c>
      <c r="M909" s="14">
        <v>32.72165118</v>
      </c>
      <c r="N909" s="14">
        <v>31.67224483</v>
      </c>
      <c r="O909" s="14">
        <v>21.09031585</v>
      </c>
      <c r="P909" s="14" t="s">
        <v>4823</v>
      </c>
      <c r="Q909" s="14" t="s">
        <v>4824</v>
      </c>
      <c r="T909" s="14" t="s">
        <v>4825</v>
      </c>
      <c r="U909" s="14" t="s">
        <v>4826</v>
      </c>
    </row>
    <row r="910" spans="1:15">
      <c r="A910" s="14" t="s">
        <v>4827</v>
      </c>
      <c r="B910" s="14">
        <v>103.8982153</v>
      </c>
      <c r="C910" s="14">
        <v>155.260568</v>
      </c>
      <c r="D910" s="14">
        <v>52.53586257</v>
      </c>
      <c r="E910" s="14">
        <v>0.3377739</v>
      </c>
      <c r="F910" s="14">
        <v>-1.565870241</v>
      </c>
      <c r="G910" s="14">
        <v>0.000372206</v>
      </c>
      <c r="H910" s="14">
        <v>0.001532973</v>
      </c>
      <c r="I910" s="14" t="s">
        <v>147</v>
      </c>
      <c r="J910" s="14">
        <v>1.094730548</v>
      </c>
      <c r="K910" s="14">
        <v>1.550792661</v>
      </c>
      <c r="L910" s="14">
        <v>0.566069631</v>
      </c>
      <c r="M910" s="14">
        <v>2.34161414</v>
      </c>
      <c r="N910" s="14">
        <v>2.279782266</v>
      </c>
      <c r="O910" s="14">
        <v>3.292246139</v>
      </c>
    </row>
    <row r="911" spans="1:21">
      <c r="A911" s="14" t="s">
        <v>4828</v>
      </c>
      <c r="B911" s="14">
        <v>8205.60035</v>
      </c>
      <c r="C911" s="14">
        <v>12981.78655</v>
      </c>
      <c r="D911" s="14">
        <v>3429.414148</v>
      </c>
      <c r="E911" s="14">
        <v>0.264173992</v>
      </c>
      <c r="F911" s="14">
        <v>-1.920439658</v>
      </c>
      <c r="G911" s="51" t="s">
        <v>4614</v>
      </c>
      <c r="H911" s="51" t="s">
        <v>4829</v>
      </c>
      <c r="I911" s="14" t="s">
        <v>147</v>
      </c>
      <c r="J911" s="14">
        <v>14.32717927</v>
      </c>
      <c r="K911" s="14">
        <v>21.09429265</v>
      </c>
      <c r="L911" s="14">
        <v>16.54811374</v>
      </c>
      <c r="M911" s="14">
        <v>64.86893957</v>
      </c>
      <c r="N911" s="14">
        <v>59.47174255</v>
      </c>
      <c r="O911" s="14">
        <v>35.2378427</v>
      </c>
      <c r="P911" s="14" t="s">
        <v>4830</v>
      </c>
      <c r="Q911" s="14" t="s">
        <v>4831</v>
      </c>
      <c r="T911" s="14" t="s">
        <v>4832</v>
      </c>
      <c r="U911" s="14" t="s">
        <v>4833</v>
      </c>
    </row>
    <row r="912" spans="1:21">
      <c r="A912" s="14" t="s">
        <v>4834</v>
      </c>
      <c r="B912" s="14">
        <v>105.1523629</v>
      </c>
      <c r="C912" s="14">
        <v>163.4733874</v>
      </c>
      <c r="D912" s="14">
        <v>46.83133837</v>
      </c>
      <c r="E912" s="14">
        <v>0.286599404</v>
      </c>
      <c r="F912" s="14">
        <v>-1.802892486</v>
      </c>
      <c r="G912" s="14">
        <v>0.007224064</v>
      </c>
      <c r="H912" s="14">
        <v>0.020383693</v>
      </c>
      <c r="I912" s="14" t="s">
        <v>147</v>
      </c>
      <c r="J912" s="14">
        <v>0.522519783</v>
      </c>
      <c r="K912" s="14">
        <v>1.324568901</v>
      </c>
      <c r="L912" s="14">
        <v>0.894414008</v>
      </c>
      <c r="M912" s="14">
        <v>3.675869075</v>
      </c>
      <c r="N912" s="14">
        <v>3.113539443</v>
      </c>
      <c r="O912" s="14">
        <v>0.874802113</v>
      </c>
      <c r="P912" s="14" t="s">
        <v>4835</v>
      </c>
      <c r="Q912" s="14" t="s">
        <v>4836</v>
      </c>
      <c r="R912" s="14" t="s">
        <v>341</v>
      </c>
      <c r="S912" s="14" t="s">
        <v>342</v>
      </c>
      <c r="T912" s="14" t="s">
        <v>4837</v>
      </c>
      <c r="U912" s="14" t="s">
        <v>4838</v>
      </c>
    </row>
    <row r="913" spans="1:21">
      <c r="A913" s="14" t="s">
        <v>4839</v>
      </c>
      <c r="B913" s="14">
        <v>170.5282387</v>
      </c>
      <c r="C913" s="14">
        <v>247.7521838</v>
      </c>
      <c r="D913" s="14">
        <v>93.30429349</v>
      </c>
      <c r="E913" s="14">
        <v>0.376363959</v>
      </c>
      <c r="F913" s="14">
        <v>-1.409799614</v>
      </c>
      <c r="G913" s="14">
        <v>0.00139217</v>
      </c>
      <c r="H913" s="14">
        <v>0.004898028</v>
      </c>
      <c r="I913" s="14" t="s">
        <v>147</v>
      </c>
      <c r="J913" s="14">
        <v>2.529138548</v>
      </c>
      <c r="K913" s="14">
        <v>1.155473926</v>
      </c>
      <c r="L913" s="14">
        <v>1.3816622</v>
      </c>
      <c r="M913" s="14">
        <v>2.977304983</v>
      </c>
      <c r="N913" s="14">
        <v>2.650240826</v>
      </c>
      <c r="O913" s="14">
        <v>5.660723578</v>
      </c>
      <c r="P913" s="14" t="s">
        <v>4840</v>
      </c>
      <c r="Q913" s="14" t="s">
        <v>4841</v>
      </c>
      <c r="T913" s="14" t="s">
        <v>4842</v>
      </c>
      <c r="U913" s="14" t="s">
        <v>4843</v>
      </c>
    </row>
    <row r="914" spans="1:21">
      <c r="A914" s="14" t="s">
        <v>4844</v>
      </c>
      <c r="B914" s="14">
        <v>715.2574806</v>
      </c>
      <c r="C914" s="14">
        <v>324.4533539</v>
      </c>
      <c r="D914" s="14">
        <v>1106.061607</v>
      </c>
      <c r="E914" s="14">
        <v>3.410751357</v>
      </c>
      <c r="F914" s="14">
        <v>1.770089587</v>
      </c>
      <c r="G914" s="51" t="s">
        <v>4845</v>
      </c>
      <c r="H914" s="51" t="s">
        <v>4846</v>
      </c>
      <c r="I914" s="14" t="s">
        <v>164</v>
      </c>
      <c r="J914" s="14">
        <v>7.026864416</v>
      </c>
      <c r="K914" s="14">
        <v>6.108283162</v>
      </c>
      <c r="L914" s="14">
        <v>7.869327313</v>
      </c>
      <c r="M914" s="14">
        <v>1.564658827</v>
      </c>
      <c r="N914" s="14">
        <v>2.169404289</v>
      </c>
      <c r="O914" s="14">
        <v>1.284434289</v>
      </c>
      <c r="P914" s="14" t="s">
        <v>4847</v>
      </c>
      <c r="Q914" s="14" t="s">
        <v>4848</v>
      </c>
      <c r="T914" s="14" t="s">
        <v>4849</v>
      </c>
      <c r="U914" s="14" t="s">
        <v>4850</v>
      </c>
    </row>
    <row r="915" spans="1:21">
      <c r="A915" s="14" t="s">
        <v>4851</v>
      </c>
      <c r="B915" s="14">
        <v>283.0549124</v>
      </c>
      <c r="C915" s="14">
        <v>497.7760271</v>
      </c>
      <c r="D915" s="14">
        <v>68.3337977</v>
      </c>
      <c r="E915" s="14">
        <v>0.137188949</v>
      </c>
      <c r="F915" s="14">
        <v>-2.865763818</v>
      </c>
      <c r="G915" s="51" t="s">
        <v>4852</v>
      </c>
      <c r="H915" s="51" t="s">
        <v>4853</v>
      </c>
      <c r="I915" s="14" t="s">
        <v>147</v>
      </c>
      <c r="J915" s="14">
        <v>1.314037399</v>
      </c>
      <c r="K915" s="14">
        <v>1.010539513</v>
      </c>
      <c r="L915" s="14">
        <v>0.725013805</v>
      </c>
      <c r="M915" s="14">
        <v>6.695171021</v>
      </c>
      <c r="N915" s="14">
        <v>6.629249616</v>
      </c>
      <c r="O915" s="14">
        <v>4.820137377</v>
      </c>
      <c r="P915" s="14" t="s">
        <v>4854</v>
      </c>
      <c r="Q915" s="14" t="s">
        <v>4855</v>
      </c>
      <c r="T915" s="14" t="s">
        <v>4856</v>
      </c>
      <c r="U915" s="14" t="s">
        <v>4857</v>
      </c>
    </row>
    <row r="916" spans="1:21">
      <c r="A916" s="14" t="s">
        <v>4858</v>
      </c>
      <c r="B916" s="14">
        <v>2299.101153</v>
      </c>
      <c r="C916" s="14">
        <v>1307.619129</v>
      </c>
      <c r="D916" s="14">
        <v>3290.583177</v>
      </c>
      <c r="E916" s="14">
        <v>2.517085693</v>
      </c>
      <c r="F916" s="14">
        <v>1.331754333</v>
      </c>
      <c r="G916" s="51" t="s">
        <v>4859</v>
      </c>
      <c r="H916" s="51" t="s">
        <v>4860</v>
      </c>
      <c r="I916" s="14" t="s">
        <v>164</v>
      </c>
      <c r="J916" s="14">
        <v>9.027989042</v>
      </c>
      <c r="K916" s="14">
        <v>8.03187257</v>
      </c>
      <c r="L916" s="14">
        <v>9.405478875</v>
      </c>
      <c r="M916" s="14">
        <v>2.844958077</v>
      </c>
      <c r="N916" s="14">
        <v>3.208623702</v>
      </c>
      <c r="O916" s="14">
        <v>2.550208516</v>
      </c>
      <c r="P916" s="14" t="s">
        <v>4861</v>
      </c>
      <c r="Q916" s="14" t="s">
        <v>4862</v>
      </c>
      <c r="T916" s="14" t="s">
        <v>549</v>
      </c>
      <c r="U916" s="14" t="s">
        <v>550</v>
      </c>
    </row>
    <row r="917" spans="1:21">
      <c r="A917" s="14" t="s">
        <v>4863</v>
      </c>
      <c r="B917" s="14">
        <v>112.1605056</v>
      </c>
      <c r="C917" s="14">
        <v>186.4100595</v>
      </c>
      <c r="D917" s="14">
        <v>37.91095171</v>
      </c>
      <c r="E917" s="14">
        <v>0.203472238</v>
      </c>
      <c r="F917" s="14">
        <v>-2.297096128</v>
      </c>
      <c r="G917" s="51" t="s">
        <v>4864</v>
      </c>
      <c r="H917" s="51" t="s">
        <v>578</v>
      </c>
      <c r="I917" s="14" t="s">
        <v>147</v>
      </c>
      <c r="J917" s="14">
        <v>0.351785769</v>
      </c>
      <c r="K917" s="14">
        <v>0.170484351</v>
      </c>
      <c r="L917" s="14">
        <v>0.225811153</v>
      </c>
      <c r="M917" s="14">
        <v>1.114763109</v>
      </c>
      <c r="N917" s="14">
        <v>1.267337188</v>
      </c>
      <c r="O917" s="14">
        <v>0.594412719</v>
      </c>
      <c r="Q917" s="14" t="s">
        <v>4680</v>
      </c>
      <c r="T917" s="14" t="s">
        <v>4681</v>
      </c>
      <c r="U917" s="14" t="s">
        <v>4682</v>
      </c>
    </row>
    <row r="918" spans="1:21">
      <c r="A918" s="14" t="s">
        <v>4865</v>
      </c>
      <c r="B918" s="14">
        <v>634.7412204</v>
      </c>
      <c r="C918" s="14">
        <v>1015.801725</v>
      </c>
      <c r="D918" s="14">
        <v>253.6807162</v>
      </c>
      <c r="E918" s="14">
        <v>0.249840899</v>
      </c>
      <c r="F918" s="14">
        <v>-2.000918431</v>
      </c>
      <c r="G918" s="51" t="s">
        <v>4866</v>
      </c>
      <c r="H918" s="51" t="s">
        <v>4867</v>
      </c>
      <c r="I918" s="14" t="s">
        <v>147</v>
      </c>
      <c r="J918" s="14">
        <v>0.73975982</v>
      </c>
      <c r="K918" s="14">
        <v>1.229987865</v>
      </c>
      <c r="L918" s="14">
        <v>1.636434617</v>
      </c>
      <c r="M918" s="14">
        <v>4.122086613</v>
      </c>
      <c r="N918" s="14">
        <v>3.839356736</v>
      </c>
      <c r="O918" s="14">
        <v>3.86444968</v>
      </c>
      <c r="P918" s="14" t="s">
        <v>4868</v>
      </c>
      <c r="Q918" s="14" t="s">
        <v>4869</v>
      </c>
      <c r="T918" s="14" t="s">
        <v>4870</v>
      </c>
      <c r="U918" s="14" t="s">
        <v>4871</v>
      </c>
    </row>
    <row r="919" spans="1:21">
      <c r="A919" s="14" t="s">
        <v>4872</v>
      </c>
      <c r="B919" s="14">
        <v>92.70959197</v>
      </c>
      <c r="C919" s="14">
        <v>17.10897747</v>
      </c>
      <c r="D919" s="14">
        <v>168.3102065</v>
      </c>
      <c r="E919" s="14">
        <v>9.797286988</v>
      </c>
      <c r="F919" s="14">
        <v>3.292382301</v>
      </c>
      <c r="G919" s="51" t="s">
        <v>4873</v>
      </c>
      <c r="H919" s="51" t="s">
        <v>894</v>
      </c>
      <c r="I919" s="14" t="s">
        <v>164</v>
      </c>
      <c r="J919" s="14">
        <v>1.317816276</v>
      </c>
      <c r="K919" s="14">
        <v>0.42913635</v>
      </c>
      <c r="L919" s="14">
        <v>1.082261798</v>
      </c>
      <c r="M919" s="14">
        <v>0.047374648</v>
      </c>
      <c r="N919" s="14">
        <v>0.077265596</v>
      </c>
      <c r="O919" s="14">
        <v>0.115876404</v>
      </c>
      <c r="P919" s="14" t="s">
        <v>4874</v>
      </c>
      <c r="Q919" s="14" t="s">
        <v>4875</v>
      </c>
      <c r="T919" s="14" t="s">
        <v>4876</v>
      </c>
      <c r="U919" s="14" t="s">
        <v>4877</v>
      </c>
    </row>
    <row r="920" spans="1:21">
      <c r="A920" s="14" t="s">
        <v>4878</v>
      </c>
      <c r="B920" s="14">
        <v>101.7567918</v>
      </c>
      <c r="C920" s="14">
        <v>137.5408101</v>
      </c>
      <c r="D920" s="14">
        <v>65.97277358</v>
      </c>
      <c r="E920" s="14">
        <v>0.478680021</v>
      </c>
      <c r="F920" s="14">
        <v>-1.062866502</v>
      </c>
      <c r="G920" s="14">
        <v>0.000539168</v>
      </c>
      <c r="H920" s="14">
        <v>0.002120132</v>
      </c>
      <c r="I920" s="14" t="s">
        <v>147</v>
      </c>
      <c r="J920" s="14">
        <v>0.582203805</v>
      </c>
      <c r="K920" s="14">
        <v>0.636234564</v>
      </c>
      <c r="L920" s="14">
        <v>0.440451476</v>
      </c>
      <c r="M920" s="14">
        <v>0.811241084</v>
      </c>
      <c r="N920" s="14">
        <v>0.812425015</v>
      </c>
      <c r="O920" s="14">
        <v>1.260180235</v>
      </c>
      <c r="P920" s="14" t="s">
        <v>2824</v>
      </c>
      <c r="Q920" s="14" t="s">
        <v>2825</v>
      </c>
      <c r="T920" s="14" t="s">
        <v>2826</v>
      </c>
      <c r="U920" s="14" t="s">
        <v>2827</v>
      </c>
    </row>
    <row r="921" spans="1:15">
      <c r="A921" s="14" t="s">
        <v>4879</v>
      </c>
      <c r="B921" s="14">
        <v>4.224335314</v>
      </c>
      <c r="C921" s="14">
        <v>8.448670628</v>
      </c>
      <c r="D921" s="14">
        <v>0</v>
      </c>
      <c r="E921" s="14">
        <v>0.021354284</v>
      </c>
      <c r="F921" s="14">
        <v>-5.549330667</v>
      </c>
      <c r="G921" s="14">
        <v>0.001809036</v>
      </c>
      <c r="H921" s="14">
        <v>0.006148512</v>
      </c>
      <c r="I921" s="14" t="s">
        <v>147</v>
      </c>
      <c r="J921" s="14">
        <v>0</v>
      </c>
      <c r="K921" s="14">
        <v>0</v>
      </c>
      <c r="L921" s="14">
        <v>0</v>
      </c>
      <c r="M921" s="14">
        <v>0.743874865</v>
      </c>
      <c r="N921" s="14">
        <v>0.892074526</v>
      </c>
      <c r="O921" s="14">
        <v>0.636820362</v>
      </c>
    </row>
    <row r="922" spans="1:15">
      <c r="A922" s="14" t="s">
        <v>4880</v>
      </c>
      <c r="B922" s="14">
        <v>53.32274037</v>
      </c>
      <c r="C922" s="14">
        <v>103.7506985</v>
      </c>
      <c r="D922" s="14">
        <v>2.894782216</v>
      </c>
      <c r="E922" s="14">
        <v>0.028087889</v>
      </c>
      <c r="F922" s="14">
        <v>-5.153908014</v>
      </c>
      <c r="G922" s="51" t="s">
        <v>4881</v>
      </c>
      <c r="H922" s="51" t="s">
        <v>4882</v>
      </c>
      <c r="I922" s="14" t="s">
        <v>147</v>
      </c>
      <c r="J922" s="14">
        <v>0.10997183</v>
      </c>
      <c r="K922" s="14">
        <v>0.036896644</v>
      </c>
      <c r="L922" s="14">
        <v>0.176477191</v>
      </c>
      <c r="M922" s="14">
        <v>3.795016364</v>
      </c>
      <c r="N922" s="14">
        <v>4.663921382</v>
      </c>
      <c r="O922" s="14">
        <v>0.736458922</v>
      </c>
    </row>
    <row r="923" spans="1:21">
      <c r="A923" s="14" t="s">
        <v>4883</v>
      </c>
      <c r="B923" s="14">
        <v>6607.963021</v>
      </c>
      <c r="C923" s="14">
        <v>8888.603404</v>
      </c>
      <c r="D923" s="14">
        <v>4327.322638</v>
      </c>
      <c r="E923" s="14">
        <v>0.486824949</v>
      </c>
      <c r="F923" s="14">
        <v>-1.038524988</v>
      </c>
      <c r="G923" s="51" t="s">
        <v>4884</v>
      </c>
      <c r="H923" s="51" t="s">
        <v>4885</v>
      </c>
      <c r="I923" s="14" t="s">
        <v>147</v>
      </c>
      <c r="J923" s="14">
        <v>61.49166032</v>
      </c>
      <c r="K923" s="14">
        <v>55.42087336</v>
      </c>
      <c r="L923" s="14">
        <v>53.62990133</v>
      </c>
      <c r="M923" s="14">
        <v>95.02223987</v>
      </c>
      <c r="N923" s="14">
        <v>87.45493891</v>
      </c>
      <c r="O923" s="14">
        <v>106.6867464</v>
      </c>
      <c r="P923" s="14" t="s">
        <v>4886</v>
      </c>
      <c r="Q923" s="14" t="s">
        <v>4887</v>
      </c>
      <c r="T923" s="14" t="s">
        <v>4888</v>
      </c>
      <c r="U923" s="14" t="s">
        <v>4889</v>
      </c>
    </row>
    <row r="924" spans="1:15">
      <c r="A924" s="14" t="s">
        <v>4890</v>
      </c>
      <c r="B924" s="14">
        <v>42.93683737</v>
      </c>
      <c r="C924" s="14">
        <v>60.75562861</v>
      </c>
      <c r="D924" s="14">
        <v>25.11804613</v>
      </c>
      <c r="E924" s="14">
        <v>0.414408095</v>
      </c>
      <c r="F924" s="14">
        <v>-1.270875911</v>
      </c>
      <c r="G924" s="14">
        <v>0.001147576</v>
      </c>
      <c r="H924" s="14">
        <v>0.004136336</v>
      </c>
      <c r="I924" s="14" t="s">
        <v>147</v>
      </c>
      <c r="J924" s="14">
        <v>0.951679296</v>
      </c>
      <c r="K924" s="14">
        <v>0.919577892</v>
      </c>
      <c r="L924" s="14">
        <v>1.02628274</v>
      </c>
      <c r="M924" s="14">
        <v>2.149624654</v>
      </c>
      <c r="N924" s="14">
        <v>2.031062537</v>
      </c>
      <c r="O924" s="14">
        <v>1.52956853</v>
      </c>
    </row>
    <row r="925" spans="1:15">
      <c r="A925" s="14" t="s">
        <v>4891</v>
      </c>
      <c r="B925" s="14">
        <v>72.93412357</v>
      </c>
      <c r="C925" s="14">
        <v>42.72642363</v>
      </c>
      <c r="D925" s="14">
        <v>103.1418235</v>
      </c>
      <c r="E925" s="14">
        <v>2.409632563</v>
      </c>
      <c r="F925" s="14">
        <v>1.268813171</v>
      </c>
      <c r="G925" s="14">
        <v>0.001300884</v>
      </c>
      <c r="H925" s="14">
        <v>0.004609637</v>
      </c>
      <c r="I925" s="14" t="s">
        <v>164</v>
      </c>
      <c r="J925" s="14">
        <v>1.669649092</v>
      </c>
      <c r="K925" s="14">
        <v>1.235699767</v>
      </c>
      <c r="L925" s="14">
        <v>2.222299187</v>
      </c>
      <c r="M925" s="14">
        <v>0.392149036</v>
      </c>
      <c r="N925" s="14">
        <v>0.618076444</v>
      </c>
      <c r="O925" s="14">
        <v>0.753641513</v>
      </c>
    </row>
    <row r="926" spans="1:21">
      <c r="A926" s="14" t="s">
        <v>4892</v>
      </c>
      <c r="B926" s="14">
        <v>41.49141541</v>
      </c>
      <c r="C926" s="14">
        <v>74.46967304</v>
      </c>
      <c r="D926" s="14">
        <v>8.513157779</v>
      </c>
      <c r="E926" s="14">
        <v>0.114226778</v>
      </c>
      <c r="F926" s="14">
        <v>-3.130027194</v>
      </c>
      <c r="G926" s="51" t="s">
        <v>4893</v>
      </c>
      <c r="H926" s="51" t="s">
        <v>4894</v>
      </c>
      <c r="I926" s="14" t="s">
        <v>147</v>
      </c>
      <c r="J926" s="14">
        <v>0.081722185</v>
      </c>
      <c r="K926" s="14">
        <v>0.082255821</v>
      </c>
      <c r="L926" s="14">
        <v>0.069943254</v>
      </c>
      <c r="M926" s="14">
        <v>0.629289619</v>
      </c>
      <c r="N926" s="14">
        <v>0.469566752</v>
      </c>
      <c r="O926" s="14">
        <v>0.585282148</v>
      </c>
      <c r="P926" s="14" t="s">
        <v>4895</v>
      </c>
      <c r="Q926" s="14" t="s">
        <v>4896</v>
      </c>
      <c r="R926" s="14" t="s">
        <v>4897</v>
      </c>
      <c r="S926" s="14" t="s">
        <v>4898</v>
      </c>
      <c r="T926" s="14" t="s">
        <v>4899</v>
      </c>
      <c r="U926" s="14" t="s">
        <v>4900</v>
      </c>
    </row>
    <row r="927" spans="1:21">
      <c r="A927" s="14" t="s">
        <v>4901</v>
      </c>
      <c r="B927" s="14">
        <v>166.4322522</v>
      </c>
      <c r="C927" s="14">
        <v>250.4201014</v>
      </c>
      <c r="D927" s="14">
        <v>82.44440302</v>
      </c>
      <c r="E927" s="14">
        <v>0.329057975</v>
      </c>
      <c r="F927" s="14">
        <v>-1.603586307</v>
      </c>
      <c r="G927" s="14">
        <v>0.000448869</v>
      </c>
      <c r="H927" s="14">
        <v>0.001806529</v>
      </c>
      <c r="I927" s="14" t="s">
        <v>147</v>
      </c>
      <c r="J927" s="14">
        <v>1.833499965</v>
      </c>
      <c r="K927" s="14">
        <v>3.993481433</v>
      </c>
      <c r="L927" s="14">
        <v>1.649621497</v>
      </c>
      <c r="M927" s="14">
        <v>6.094912891</v>
      </c>
      <c r="N927" s="14">
        <v>7.574409359</v>
      </c>
      <c r="O927" s="14">
        <v>4.931558985</v>
      </c>
      <c r="P927" s="14" t="s">
        <v>4895</v>
      </c>
      <c r="Q927" s="14" t="s">
        <v>4896</v>
      </c>
      <c r="R927" s="14" t="s">
        <v>4897</v>
      </c>
      <c r="S927" s="14" t="s">
        <v>4898</v>
      </c>
      <c r="T927" s="14" t="s">
        <v>4899</v>
      </c>
      <c r="U927" s="14" t="s">
        <v>4900</v>
      </c>
    </row>
    <row r="928" spans="1:21">
      <c r="A928" s="14" t="s">
        <v>4902</v>
      </c>
      <c r="B928" s="14">
        <v>881.0337273</v>
      </c>
      <c r="C928" s="14">
        <v>358.3114441</v>
      </c>
      <c r="D928" s="14">
        <v>1403.756011</v>
      </c>
      <c r="E928" s="14">
        <v>3.915471307</v>
      </c>
      <c r="F928" s="14">
        <v>1.969185976</v>
      </c>
      <c r="G928" s="51" t="s">
        <v>4903</v>
      </c>
      <c r="H928" s="51" t="s">
        <v>4904</v>
      </c>
      <c r="I928" s="14" t="s">
        <v>164</v>
      </c>
      <c r="J928" s="14">
        <v>6.090433281</v>
      </c>
      <c r="K928" s="14">
        <v>8.66862511</v>
      </c>
      <c r="L928" s="14">
        <v>9.580897884</v>
      </c>
      <c r="M928" s="14">
        <v>1.389584651</v>
      </c>
      <c r="N928" s="14">
        <v>1.394165585</v>
      </c>
      <c r="O928" s="14">
        <v>2.398354617</v>
      </c>
      <c r="Q928" s="14" t="s">
        <v>4680</v>
      </c>
      <c r="T928" s="14" t="s">
        <v>4681</v>
      </c>
      <c r="U928" s="14" t="s">
        <v>4682</v>
      </c>
    </row>
    <row r="929" spans="1:21">
      <c r="A929" s="14" t="s">
        <v>4905</v>
      </c>
      <c r="B929" s="14">
        <v>2764.316769</v>
      </c>
      <c r="C929" s="14">
        <v>1403.562132</v>
      </c>
      <c r="D929" s="14">
        <v>4125.071406</v>
      </c>
      <c r="E929" s="14">
        <v>2.938490454</v>
      </c>
      <c r="F929" s="14">
        <v>1.555075212</v>
      </c>
      <c r="G929" s="51" t="s">
        <v>4906</v>
      </c>
      <c r="H929" s="51" t="s">
        <v>4907</v>
      </c>
      <c r="I929" s="14" t="s">
        <v>164</v>
      </c>
      <c r="J929" s="14">
        <v>30.847447</v>
      </c>
      <c r="K929" s="14">
        <v>19.10700111</v>
      </c>
      <c r="L929" s="14">
        <v>23.25908185</v>
      </c>
      <c r="M929" s="14">
        <v>5.253517944</v>
      </c>
      <c r="N929" s="14">
        <v>5.862513871</v>
      </c>
      <c r="O929" s="14">
        <v>9.69626799</v>
      </c>
      <c r="P929" s="14" t="s">
        <v>4908</v>
      </c>
      <c r="Q929" s="14" t="s">
        <v>4909</v>
      </c>
      <c r="T929" s="14" t="s">
        <v>4910</v>
      </c>
      <c r="U929" s="14" t="s">
        <v>4911</v>
      </c>
    </row>
    <row r="930" spans="1:15">
      <c r="A930" s="14" t="s">
        <v>4912</v>
      </c>
      <c r="B930" s="14">
        <v>92.71838703</v>
      </c>
      <c r="C930" s="14">
        <v>144.3426144</v>
      </c>
      <c r="D930" s="14">
        <v>41.09415971</v>
      </c>
      <c r="E930" s="14">
        <v>0.284597966</v>
      </c>
      <c r="F930" s="14">
        <v>-1.813002742</v>
      </c>
      <c r="G930" s="14">
        <v>0.000142073</v>
      </c>
      <c r="H930" s="14">
        <v>0.000647762</v>
      </c>
      <c r="I930" s="14" t="s">
        <v>147</v>
      </c>
      <c r="J930" s="14">
        <v>1.710672908</v>
      </c>
      <c r="K930" s="14">
        <v>4.476792785</v>
      </c>
      <c r="L930" s="14">
        <v>2.305968625</v>
      </c>
      <c r="M930" s="14">
        <v>9.484404533</v>
      </c>
      <c r="N930" s="14">
        <v>8.312812993</v>
      </c>
      <c r="O930" s="14">
        <v>6.587215913</v>
      </c>
    </row>
    <row r="931" spans="1:21">
      <c r="A931" s="14" t="s">
        <v>4913</v>
      </c>
      <c r="B931" s="14">
        <v>2450.779649</v>
      </c>
      <c r="C931" s="14">
        <v>3972.424527</v>
      </c>
      <c r="D931" s="14">
        <v>929.1347709</v>
      </c>
      <c r="E931" s="14">
        <v>0.233900539</v>
      </c>
      <c r="F931" s="14">
        <v>-2.096032911</v>
      </c>
      <c r="G931" s="51" t="s">
        <v>4914</v>
      </c>
      <c r="H931" s="51" t="s">
        <v>4915</v>
      </c>
      <c r="I931" s="14" t="s">
        <v>147</v>
      </c>
      <c r="J931" s="14">
        <v>5.93403051</v>
      </c>
      <c r="K931" s="14">
        <v>11.1485904</v>
      </c>
      <c r="L931" s="14">
        <v>7.923627573</v>
      </c>
      <c r="M931" s="14">
        <v>34.78629913</v>
      </c>
      <c r="N931" s="14">
        <v>37.84257463</v>
      </c>
      <c r="O931" s="14">
        <v>13.53925942</v>
      </c>
      <c r="P931" s="14" t="s">
        <v>4916</v>
      </c>
      <c r="Q931" s="14" t="s">
        <v>4917</v>
      </c>
      <c r="T931" s="14" t="s">
        <v>2606</v>
      </c>
      <c r="U931" s="14" t="s">
        <v>2607</v>
      </c>
    </row>
    <row r="932" spans="1:21">
      <c r="A932" s="14" t="s">
        <v>4918</v>
      </c>
      <c r="B932" s="14">
        <v>11061.37638</v>
      </c>
      <c r="C932" s="14">
        <v>15917.16201</v>
      </c>
      <c r="D932" s="14">
        <v>6205.590754</v>
      </c>
      <c r="E932" s="14">
        <v>0.389870478</v>
      </c>
      <c r="F932" s="14">
        <v>-1.35893318</v>
      </c>
      <c r="G932" s="51" t="s">
        <v>869</v>
      </c>
      <c r="H932" s="51" t="s">
        <v>4919</v>
      </c>
      <c r="I932" s="14" t="s">
        <v>147</v>
      </c>
      <c r="J932" s="14">
        <v>25.20401573</v>
      </c>
      <c r="K932" s="14">
        <v>28.84601299</v>
      </c>
      <c r="L932" s="14">
        <v>23.17467667</v>
      </c>
      <c r="M932" s="14">
        <v>57.97197992</v>
      </c>
      <c r="N932" s="14">
        <v>60.46525624</v>
      </c>
      <c r="O932" s="14">
        <v>43.26384663</v>
      </c>
      <c r="P932" s="14" t="s">
        <v>4920</v>
      </c>
      <c r="Q932" s="14" t="s">
        <v>4921</v>
      </c>
      <c r="T932" s="14" t="s">
        <v>4922</v>
      </c>
      <c r="U932" s="14" t="s">
        <v>4923</v>
      </c>
    </row>
    <row r="933" spans="1:21">
      <c r="A933" s="14" t="s">
        <v>4924</v>
      </c>
      <c r="B933" s="14">
        <v>10560.45643</v>
      </c>
      <c r="C933" s="14">
        <v>6898.58697</v>
      </c>
      <c r="D933" s="14">
        <v>14222.32589</v>
      </c>
      <c r="E933" s="14">
        <v>2.061518889</v>
      </c>
      <c r="F933" s="14">
        <v>1.04370768</v>
      </c>
      <c r="G933" s="51" t="s">
        <v>4925</v>
      </c>
      <c r="H933" s="51" t="s">
        <v>4926</v>
      </c>
      <c r="I933" s="14" t="s">
        <v>164</v>
      </c>
      <c r="J933" s="14">
        <v>207.1401399</v>
      </c>
      <c r="K933" s="14">
        <v>176.3585746</v>
      </c>
      <c r="L933" s="14">
        <v>196.4511517</v>
      </c>
      <c r="M933" s="14">
        <v>58.25838093</v>
      </c>
      <c r="N933" s="14">
        <v>66.33239151</v>
      </c>
      <c r="O933" s="14">
        <v>110.539122</v>
      </c>
      <c r="P933" s="14" t="s">
        <v>4927</v>
      </c>
      <c r="Q933" s="14" t="s">
        <v>4928</v>
      </c>
      <c r="R933" s="14" t="s">
        <v>4929</v>
      </c>
      <c r="S933" s="14" t="s">
        <v>4930</v>
      </c>
      <c r="T933" s="14" t="s">
        <v>4931</v>
      </c>
      <c r="U933" s="14" t="s">
        <v>4932</v>
      </c>
    </row>
    <row r="934" spans="1:21">
      <c r="A934" s="14" t="s">
        <v>4933</v>
      </c>
      <c r="B934" s="14">
        <v>660.5779931</v>
      </c>
      <c r="C934" s="14">
        <v>188.2586937</v>
      </c>
      <c r="D934" s="14">
        <v>1132.897292</v>
      </c>
      <c r="E934" s="14">
        <v>6.014191162</v>
      </c>
      <c r="F934" s="14">
        <v>2.588370725</v>
      </c>
      <c r="G934" s="14">
        <v>0.002778517</v>
      </c>
      <c r="H934" s="14">
        <v>0.008900148</v>
      </c>
      <c r="I934" s="14" t="s">
        <v>164</v>
      </c>
      <c r="J934" s="14">
        <v>16.9841533</v>
      </c>
      <c r="K934" s="14">
        <v>19.49275841</v>
      </c>
      <c r="L934" s="14">
        <v>26.03552709</v>
      </c>
      <c r="M934" s="14">
        <v>0.809037132</v>
      </c>
      <c r="N934" s="14">
        <v>0.492572647</v>
      </c>
      <c r="O934" s="14">
        <v>7.793707016</v>
      </c>
      <c r="P934" s="14" t="s">
        <v>4934</v>
      </c>
      <c r="Q934" s="14" t="s">
        <v>4935</v>
      </c>
      <c r="T934" s="14" t="s">
        <v>4936</v>
      </c>
      <c r="U934" s="14" t="s">
        <v>4937</v>
      </c>
    </row>
    <row r="935" spans="1:17">
      <c r="A935" s="14" t="s">
        <v>4938</v>
      </c>
      <c r="B935" s="14">
        <v>104.0731729</v>
      </c>
      <c r="C935" s="14">
        <v>160.8023253</v>
      </c>
      <c r="D935" s="14">
        <v>47.34402054</v>
      </c>
      <c r="E935" s="14">
        <v>0.294556044</v>
      </c>
      <c r="F935" s="14">
        <v>-1.763385939</v>
      </c>
      <c r="G935" s="14">
        <v>0.016341159</v>
      </c>
      <c r="H935" s="14">
        <v>0.041038357</v>
      </c>
      <c r="I935" s="14" t="s">
        <v>147</v>
      </c>
      <c r="J935" s="14">
        <v>0.586816895</v>
      </c>
      <c r="K935" s="14">
        <v>1.143191096</v>
      </c>
      <c r="L935" s="14">
        <v>0.984221972</v>
      </c>
      <c r="M935" s="14">
        <v>2.785719911</v>
      </c>
      <c r="N935" s="14">
        <v>3.99331312</v>
      </c>
      <c r="O935" s="14">
        <v>0.586299777</v>
      </c>
      <c r="P935" s="14" t="s">
        <v>4939</v>
      </c>
      <c r="Q935" s="14" t="s">
        <v>4940</v>
      </c>
    </row>
    <row r="936" spans="1:21">
      <c r="A936" s="14" t="s">
        <v>4941</v>
      </c>
      <c r="B936" s="14">
        <v>15.1918485</v>
      </c>
      <c r="C936" s="14">
        <v>2.525518165</v>
      </c>
      <c r="D936" s="14">
        <v>27.85817884</v>
      </c>
      <c r="E936" s="14">
        <v>10.82683869</v>
      </c>
      <c r="F936" s="14">
        <v>3.43654015</v>
      </c>
      <c r="G936" s="14">
        <v>0.004493427</v>
      </c>
      <c r="H936" s="14">
        <v>0.013484066</v>
      </c>
      <c r="I936" s="14" t="s">
        <v>164</v>
      </c>
      <c r="J936" s="14">
        <v>0.760994996</v>
      </c>
      <c r="K936" s="14">
        <v>0.255321398</v>
      </c>
      <c r="L936" s="14">
        <v>0.773430471</v>
      </c>
      <c r="M936" s="14">
        <v>0.018086202</v>
      </c>
      <c r="N936" s="14">
        <v>0</v>
      </c>
      <c r="O936" s="14">
        <v>0.123866661</v>
      </c>
      <c r="P936" s="14" t="s">
        <v>4942</v>
      </c>
      <c r="Q936" s="14" t="s">
        <v>4943</v>
      </c>
      <c r="T936" s="14" t="s">
        <v>4944</v>
      </c>
      <c r="U936" s="14" t="s">
        <v>4945</v>
      </c>
    </row>
    <row r="937" spans="1:21">
      <c r="A937" s="14" t="s">
        <v>4946</v>
      </c>
      <c r="B937" s="14">
        <v>880.3694976</v>
      </c>
      <c r="C937" s="14">
        <v>1549.088756</v>
      </c>
      <c r="D937" s="14">
        <v>211.6502393</v>
      </c>
      <c r="E937" s="14">
        <v>0.136599821</v>
      </c>
      <c r="F937" s="14">
        <v>-2.871972499</v>
      </c>
      <c r="G937" s="51" t="s">
        <v>4947</v>
      </c>
      <c r="H937" s="51" t="s">
        <v>4948</v>
      </c>
      <c r="I937" s="14" t="s">
        <v>147</v>
      </c>
      <c r="J937" s="14">
        <v>4.669311955</v>
      </c>
      <c r="K937" s="14">
        <v>3.318562448</v>
      </c>
      <c r="L937" s="14">
        <v>3.431942281</v>
      </c>
      <c r="M937" s="14">
        <v>21.86597444</v>
      </c>
      <c r="N937" s="14">
        <v>15.69678273</v>
      </c>
      <c r="O937" s="14">
        <v>32.16454741</v>
      </c>
      <c r="P937" s="14" t="s">
        <v>4949</v>
      </c>
      <c r="Q937" s="14" t="s">
        <v>4950</v>
      </c>
      <c r="R937" s="14" t="s">
        <v>4951</v>
      </c>
      <c r="S937" s="14" t="s">
        <v>4952</v>
      </c>
      <c r="T937" s="14" t="s">
        <v>4953</v>
      </c>
      <c r="U937" s="14" t="s">
        <v>4954</v>
      </c>
    </row>
    <row r="938" spans="1:21">
      <c r="A938" s="14" t="s">
        <v>4955</v>
      </c>
      <c r="B938" s="14">
        <v>230.7598892</v>
      </c>
      <c r="C938" s="14">
        <v>417.4980153</v>
      </c>
      <c r="D938" s="14">
        <v>44.02176316</v>
      </c>
      <c r="E938" s="14">
        <v>0.105461725</v>
      </c>
      <c r="F938" s="14">
        <v>-3.245208596</v>
      </c>
      <c r="G938" s="51" t="s">
        <v>4956</v>
      </c>
      <c r="H938" s="51" t="s">
        <v>4957</v>
      </c>
      <c r="I938" s="14" t="s">
        <v>147</v>
      </c>
      <c r="J938" s="14">
        <v>0.738082291</v>
      </c>
      <c r="K938" s="14">
        <v>0.476578559</v>
      </c>
      <c r="L938" s="14">
        <v>0.643618522</v>
      </c>
      <c r="M938" s="14">
        <v>3.360052862</v>
      </c>
      <c r="N938" s="14">
        <v>6.092779359</v>
      </c>
      <c r="O938" s="14">
        <v>5.082676801</v>
      </c>
      <c r="Q938" s="14" t="s">
        <v>4958</v>
      </c>
      <c r="R938" s="14" t="s">
        <v>4959</v>
      </c>
      <c r="S938" s="14" t="s">
        <v>4960</v>
      </c>
      <c r="T938" s="14" t="s">
        <v>4961</v>
      </c>
      <c r="U938" s="14" t="s">
        <v>4962</v>
      </c>
    </row>
    <row r="939" spans="1:15">
      <c r="A939" s="14" t="s">
        <v>4963</v>
      </c>
      <c r="B939" s="14">
        <v>9.018410391</v>
      </c>
      <c r="C939" s="14">
        <v>1.78657285</v>
      </c>
      <c r="D939" s="14">
        <v>16.25024793</v>
      </c>
      <c r="E939" s="14">
        <v>9.360632609</v>
      </c>
      <c r="F939" s="14">
        <v>3.226606033</v>
      </c>
      <c r="G939" s="14">
        <v>0.006878256</v>
      </c>
      <c r="H939" s="14">
        <v>0.019547282</v>
      </c>
      <c r="I939" s="14" t="s">
        <v>164</v>
      </c>
      <c r="J939" s="14">
        <v>0.405159373</v>
      </c>
      <c r="K939" s="14">
        <v>0.203902505</v>
      </c>
      <c r="L939" s="14">
        <v>0.390107474</v>
      </c>
      <c r="M939" s="14">
        <v>0.069330442</v>
      </c>
      <c r="N939" s="14">
        <v>0.016628582</v>
      </c>
      <c r="O939" s="14">
        <v>0</v>
      </c>
    </row>
    <row r="940" spans="1:21">
      <c r="A940" s="14" t="s">
        <v>4964</v>
      </c>
      <c r="B940" s="14">
        <v>2720.220578</v>
      </c>
      <c r="C940" s="14">
        <v>1097.230847</v>
      </c>
      <c r="D940" s="14">
        <v>4343.21031</v>
      </c>
      <c r="E940" s="14">
        <v>3.957481528</v>
      </c>
      <c r="F940" s="14">
        <v>1.984582616</v>
      </c>
      <c r="G940" s="51" t="s">
        <v>4965</v>
      </c>
      <c r="H940" s="51" t="s">
        <v>4966</v>
      </c>
      <c r="I940" s="14" t="s">
        <v>164</v>
      </c>
      <c r="J940" s="14">
        <v>131.1207499</v>
      </c>
      <c r="K940" s="14">
        <v>82.92222716</v>
      </c>
      <c r="L940" s="14">
        <v>117.0968118</v>
      </c>
      <c r="M940" s="14">
        <v>16.30938892</v>
      </c>
      <c r="N940" s="14">
        <v>17.15381602</v>
      </c>
      <c r="O940" s="14">
        <v>36.86070465</v>
      </c>
      <c r="P940" s="14" t="s">
        <v>4967</v>
      </c>
      <c r="Q940" s="14" t="s">
        <v>4968</v>
      </c>
      <c r="T940" s="14" t="s">
        <v>4969</v>
      </c>
      <c r="U940" s="14" t="s">
        <v>4970</v>
      </c>
    </row>
    <row r="941" spans="1:21">
      <c r="A941" s="14" t="s">
        <v>4971</v>
      </c>
      <c r="B941" s="14">
        <v>2757.468025</v>
      </c>
      <c r="C941" s="14">
        <v>4142.153961</v>
      </c>
      <c r="D941" s="14">
        <v>1372.782089</v>
      </c>
      <c r="E941" s="14">
        <v>0.331402609</v>
      </c>
      <c r="F941" s="14">
        <v>-1.593343133</v>
      </c>
      <c r="G941" s="51" t="s">
        <v>4972</v>
      </c>
      <c r="H941" s="51" t="s">
        <v>1942</v>
      </c>
      <c r="I941" s="14" t="s">
        <v>147</v>
      </c>
      <c r="J941" s="14">
        <v>4.281214215</v>
      </c>
      <c r="K941" s="14">
        <v>4.211234304</v>
      </c>
      <c r="L941" s="14">
        <v>3.758778278</v>
      </c>
      <c r="M941" s="14">
        <v>10.16402433</v>
      </c>
      <c r="N941" s="14">
        <v>10.12873319</v>
      </c>
      <c r="O941" s="14">
        <v>10.10474295</v>
      </c>
      <c r="P941" s="14" t="s">
        <v>4973</v>
      </c>
      <c r="Q941" s="14" t="s">
        <v>4974</v>
      </c>
      <c r="R941" s="14" t="s">
        <v>4975</v>
      </c>
      <c r="S941" s="14" t="s">
        <v>4976</v>
      </c>
      <c r="T941" s="14" t="s">
        <v>4977</v>
      </c>
      <c r="U941" s="14" t="s">
        <v>4978</v>
      </c>
    </row>
    <row r="942" spans="1:21">
      <c r="A942" s="14" t="s">
        <v>4979</v>
      </c>
      <c r="B942" s="14">
        <v>967.0755099</v>
      </c>
      <c r="C942" s="14">
        <v>1298.020476</v>
      </c>
      <c r="D942" s="14">
        <v>636.1305438</v>
      </c>
      <c r="E942" s="14">
        <v>0.490057166</v>
      </c>
      <c r="F942" s="14">
        <v>-1.028978043</v>
      </c>
      <c r="G942" s="51" t="s">
        <v>3928</v>
      </c>
      <c r="H942" s="51" t="s">
        <v>4980</v>
      </c>
      <c r="I942" s="14" t="s">
        <v>147</v>
      </c>
      <c r="J942" s="14">
        <v>13.4953368</v>
      </c>
      <c r="K942" s="14">
        <v>12.29573101</v>
      </c>
      <c r="L942" s="14">
        <v>13.9874008</v>
      </c>
      <c r="M942" s="14">
        <v>21.04506739</v>
      </c>
      <c r="N942" s="14">
        <v>19.93617185</v>
      </c>
      <c r="O942" s="14">
        <v>26.13496946</v>
      </c>
      <c r="P942" s="14" t="s">
        <v>4981</v>
      </c>
      <c r="Q942" s="14" t="s">
        <v>4982</v>
      </c>
      <c r="R942" s="14" t="s">
        <v>565</v>
      </c>
      <c r="S942" s="14" t="s">
        <v>566</v>
      </c>
      <c r="T942" s="14" t="s">
        <v>4983</v>
      </c>
      <c r="U942" s="14" t="s">
        <v>4984</v>
      </c>
    </row>
    <row r="943" spans="1:15">
      <c r="A943" s="14" t="s">
        <v>4985</v>
      </c>
      <c r="B943" s="14">
        <v>18.34543994</v>
      </c>
      <c r="C943" s="14">
        <v>36.06549736</v>
      </c>
      <c r="D943" s="14">
        <v>0.625382524</v>
      </c>
      <c r="E943" s="14">
        <v>0.017918126</v>
      </c>
      <c r="F943" s="14">
        <v>-5.802436418</v>
      </c>
      <c r="G943" s="51" t="s">
        <v>4986</v>
      </c>
      <c r="H943" s="51" t="s">
        <v>4987</v>
      </c>
      <c r="I943" s="14" t="s">
        <v>147</v>
      </c>
      <c r="J943" s="14">
        <v>0</v>
      </c>
      <c r="K943" s="14">
        <v>0</v>
      </c>
      <c r="L943" s="14">
        <v>0.098644552</v>
      </c>
      <c r="M943" s="14">
        <v>0.920390458</v>
      </c>
      <c r="N943" s="14">
        <v>1.345532003</v>
      </c>
      <c r="O943" s="14">
        <v>2.44419962</v>
      </c>
    </row>
    <row r="944" spans="1:21">
      <c r="A944" s="14" t="s">
        <v>4988</v>
      </c>
      <c r="B944" s="14">
        <v>15215.51416</v>
      </c>
      <c r="C944" s="14">
        <v>24023.92654</v>
      </c>
      <c r="D944" s="14">
        <v>6407.101775</v>
      </c>
      <c r="E944" s="14">
        <v>0.266699158</v>
      </c>
      <c r="F944" s="14">
        <v>-1.906714824</v>
      </c>
      <c r="G944" s="51" t="s">
        <v>4989</v>
      </c>
      <c r="H944" s="51" t="s">
        <v>4990</v>
      </c>
      <c r="I944" s="14" t="s">
        <v>147</v>
      </c>
      <c r="J944" s="14">
        <v>37.90384653</v>
      </c>
      <c r="K944" s="14">
        <v>44.07139135</v>
      </c>
      <c r="L944" s="14">
        <v>43.60419689</v>
      </c>
      <c r="M944" s="14">
        <v>155.9346384</v>
      </c>
      <c r="N944" s="14">
        <v>163.3833558</v>
      </c>
      <c r="O944" s="14">
        <v>59.62376934</v>
      </c>
      <c r="P944" s="14" t="s">
        <v>4991</v>
      </c>
      <c r="Q944" s="14" t="s">
        <v>4992</v>
      </c>
      <c r="T944" s="14" t="s">
        <v>4993</v>
      </c>
      <c r="U944" s="14" t="s">
        <v>4994</v>
      </c>
    </row>
    <row r="945" spans="1:21">
      <c r="A945" s="14" t="s">
        <v>4995</v>
      </c>
      <c r="B945" s="14">
        <v>625.6111891</v>
      </c>
      <c r="C945" s="14">
        <v>979.999451</v>
      </c>
      <c r="D945" s="14">
        <v>271.2229272</v>
      </c>
      <c r="E945" s="14">
        <v>0.276785026</v>
      </c>
      <c r="F945" s="14">
        <v>-1.853162197</v>
      </c>
      <c r="G945" s="51" t="s">
        <v>4996</v>
      </c>
      <c r="H945" s="51" t="s">
        <v>4997</v>
      </c>
      <c r="I945" s="14" t="s">
        <v>147</v>
      </c>
      <c r="J945" s="14">
        <v>4.162819009</v>
      </c>
      <c r="K945" s="14">
        <v>4.160390355</v>
      </c>
      <c r="L945" s="14">
        <v>3.753231463</v>
      </c>
      <c r="M945" s="14">
        <v>13.00078275</v>
      </c>
      <c r="N945" s="14">
        <v>11.74825218</v>
      </c>
      <c r="O945" s="14">
        <v>11.00818455</v>
      </c>
      <c r="P945" s="14" t="s">
        <v>4998</v>
      </c>
      <c r="Q945" s="14" t="s">
        <v>4999</v>
      </c>
      <c r="T945" s="14" t="s">
        <v>5000</v>
      </c>
      <c r="U945" s="14" t="s">
        <v>5001</v>
      </c>
    </row>
    <row r="946" spans="1:21">
      <c r="A946" s="14" t="s">
        <v>5002</v>
      </c>
      <c r="B946" s="14">
        <v>51.5527395</v>
      </c>
      <c r="C946" s="14">
        <v>22.34986478</v>
      </c>
      <c r="D946" s="14">
        <v>80.75561421</v>
      </c>
      <c r="E946" s="14">
        <v>3.621824158</v>
      </c>
      <c r="F946" s="14">
        <v>1.856716504</v>
      </c>
      <c r="G946" s="14">
        <v>0.000172175</v>
      </c>
      <c r="H946" s="14">
        <v>0.000770203</v>
      </c>
      <c r="I946" s="14" t="s">
        <v>164</v>
      </c>
      <c r="J946" s="14">
        <v>1.881740199</v>
      </c>
      <c r="K946" s="14">
        <v>3.615871095</v>
      </c>
      <c r="L946" s="14">
        <v>2.865989577</v>
      </c>
      <c r="M946" s="14">
        <v>0.848912751</v>
      </c>
      <c r="N946" s="14">
        <v>0.393173588</v>
      </c>
      <c r="O946" s="14">
        <v>0.658721591</v>
      </c>
      <c r="P946" s="14" t="s">
        <v>5003</v>
      </c>
      <c r="Q946" s="14" t="s">
        <v>5004</v>
      </c>
      <c r="R946" s="14" t="s">
        <v>1450</v>
      </c>
      <c r="S946" s="14" t="s">
        <v>1451</v>
      </c>
      <c r="T946" s="14" t="s">
        <v>5005</v>
      </c>
      <c r="U946" s="14" t="s">
        <v>5006</v>
      </c>
    </row>
    <row r="947" spans="1:15">
      <c r="A947" s="14" t="s">
        <v>5007</v>
      </c>
      <c r="B947" s="14">
        <v>47.10566162</v>
      </c>
      <c r="C947" s="14">
        <v>94.21132324</v>
      </c>
      <c r="D947" s="14">
        <v>0</v>
      </c>
      <c r="E947" s="14">
        <v>0.001915052</v>
      </c>
      <c r="F947" s="14">
        <v>-9.028400441</v>
      </c>
      <c r="G947" s="51" t="s">
        <v>5008</v>
      </c>
      <c r="H947" s="51" t="s">
        <v>5009</v>
      </c>
      <c r="I947" s="14" t="s">
        <v>147</v>
      </c>
      <c r="J947" s="14">
        <v>0</v>
      </c>
      <c r="K947" s="14">
        <v>0</v>
      </c>
      <c r="L947" s="14">
        <v>0</v>
      </c>
      <c r="M947" s="14">
        <v>3.183122069</v>
      </c>
      <c r="N947" s="14">
        <v>3.240796772</v>
      </c>
      <c r="O947" s="14">
        <v>2.415181725</v>
      </c>
    </row>
    <row r="948" spans="1:21">
      <c r="A948" s="14" t="s">
        <v>5010</v>
      </c>
      <c r="B948" s="14">
        <v>4.263465924</v>
      </c>
      <c r="C948" s="14">
        <v>0</v>
      </c>
      <c r="D948" s="14">
        <v>8.526931847</v>
      </c>
      <c r="E948" s="14">
        <v>45.97842175</v>
      </c>
      <c r="F948" s="14">
        <v>5.52288504</v>
      </c>
      <c r="G948" s="14">
        <v>0.002278443</v>
      </c>
      <c r="H948" s="14">
        <v>0.007511736</v>
      </c>
      <c r="I948" s="14" t="s">
        <v>164</v>
      </c>
      <c r="J948" s="14">
        <v>0.11219798</v>
      </c>
      <c r="K948" s="14">
        <v>0.225861237</v>
      </c>
      <c r="L948" s="14">
        <v>0.144039683</v>
      </c>
      <c r="M948" s="14">
        <v>0</v>
      </c>
      <c r="N948" s="14">
        <v>0</v>
      </c>
      <c r="O948" s="14">
        <v>0</v>
      </c>
      <c r="P948" s="14" t="s">
        <v>5011</v>
      </c>
      <c r="Q948" s="14" t="s">
        <v>5012</v>
      </c>
      <c r="R948" s="14" t="s">
        <v>2754</v>
      </c>
      <c r="S948" s="14" t="s">
        <v>2755</v>
      </c>
      <c r="T948" s="14" t="s">
        <v>5013</v>
      </c>
      <c r="U948" s="14" t="s">
        <v>5014</v>
      </c>
    </row>
    <row r="949" spans="1:21">
      <c r="A949" s="14" t="s">
        <v>5015</v>
      </c>
      <c r="B949" s="14">
        <v>184.4431191</v>
      </c>
      <c r="C949" s="14">
        <v>82.1790301</v>
      </c>
      <c r="D949" s="14">
        <v>286.7072081</v>
      </c>
      <c r="E949" s="14">
        <v>3.486969931</v>
      </c>
      <c r="F949" s="14">
        <v>1.801973923</v>
      </c>
      <c r="G949" s="51" t="s">
        <v>5016</v>
      </c>
      <c r="H949" s="51" t="s">
        <v>5017</v>
      </c>
      <c r="I949" s="14" t="s">
        <v>164</v>
      </c>
      <c r="J949" s="14">
        <v>3.899623916</v>
      </c>
      <c r="K949" s="14">
        <v>4.069865786</v>
      </c>
      <c r="L949" s="14">
        <v>5.939892489</v>
      </c>
      <c r="M949" s="14">
        <v>1.162304477</v>
      </c>
      <c r="N949" s="14">
        <v>0.590343437</v>
      </c>
      <c r="O949" s="14">
        <v>1.565293747</v>
      </c>
      <c r="P949" s="14" t="s">
        <v>2110</v>
      </c>
      <c r="Q949" s="14" t="s">
        <v>2111</v>
      </c>
      <c r="R949" s="14" t="s">
        <v>2112</v>
      </c>
      <c r="S949" s="14" t="s">
        <v>2113</v>
      </c>
      <c r="T949" s="14" t="s">
        <v>2114</v>
      </c>
      <c r="U949" s="14" t="s">
        <v>2115</v>
      </c>
    </row>
    <row r="950" spans="1:21">
      <c r="A950" s="14" t="s">
        <v>5018</v>
      </c>
      <c r="B950" s="14">
        <v>18.62886956</v>
      </c>
      <c r="C950" s="14">
        <v>7.213486748</v>
      </c>
      <c r="D950" s="14">
        <v>30.04425238</v>
      </c>
      <c r="E950" s="14">
        <v>4.12612195</v>
      </c>
      <c r="F950" s="14">
        <v>2.044786461</v>
      </c>
      <c r="G950" s="14">
        <v>0.000854237</v>
      </c>
      <c r="H950" s="14">
        <v>0.003190047</v>
      </c>
      <c r="I950" s="14" t="s">
        <v>164</v>
      </c>
      <c r="J950" s="14">
        <v>2.074318945</v>
      </c>
      <c r="K950" s="14">
        <v>2.839495009</v>
      </c>
      <c r="L950" s="14">
        <v>2.636379014</v>
      </c>
      <c r="M950" s="14">
        <v>0.354955259</v>
      </c>
      <c r="N950" s="14">
        <v>0.340537431</v>
      </c>
      <c r="O950" s="14">
        <v>0.833477463</v>
      </c>
      <c r="P950" s="14" t="s">
        <v>5019</v>
      </c>
      <c r="Q950" s="14" t="s">
        <v>5020</v>
      </c>
      <c r="R950" s="14" t="s">
        <v>5021</v>
      </c>
      <c r="S950" s="14" t="s">
        <v>5022</v>
      </c>
      <c r="T950" s="14" t="s">
        <v>5023</v>
      </c>
      <c r="U950" s="14" t="s">
        <v>5024</v>
      </c>
    </row>
    <row r="951" spans="1:21">
      <c r="A951" s="14" t="s">
        <v>5025</v>
      </c>
      <c r="B951" s="14">
        <v>1217.499419</v>
      </c>
      <c r="C951" s="14">
        <v>325.1071885</v>
      </c>
      <c r="D951" s="14">
        <v>2109.89165</v>
      </c>
      <c r="E951" s="14">
        <v>6.486283537</v>
      </c>
      <c r="F951" s="14">
        <v>2.69739209</v>
      </c>
      <c r="G951" s="51" t="s">
        <v>5026</v>
      </c>
      <c r="H951" s="51" t="s">
        <v>1435</v>
      </c>
      <c r="I951" s="14" t="s">
        <v>164</v>
      </c>
      <c r="J951" s="14">
        <v>36.12272242</v>
      </c>
      <c r="K951" s="14">
        <v>42.91072163</v>
      </c>
      <c r="L951" s="14">
        <v>41.19344243</v>
      </c>
      <c r="M951" s="14">
        <v>2.430660361</v>
      </c>
      <c r="N951" s="14">
        <v>2.239270578</v>
      </c>
      <c r="O951" s="14">
        <v>11.27637103</v>
      </c>
      <c r="P951" s="14" t="s">
        <v>5027</v>
      </c>
      <c r="Q951" s="14" t="s">
        <v>5028</v>
      </c>
      <c r="T951" s="14" t="s">
        <v>5029</v>
      </c>
      <c r="U951" s="14" t="s">
        <v>5030</v>
      </c>
    </row>
    <row r="952" spans="1:17">
      <c r="A952" s="14" t="s">
        <v>5031</v>
      </c>
      <c r="B952" s="14">
        <v>9.315025229</v>
      </c>
      <c r="C952" s="14">
        <v>1.289162782</v>
      </c>
      <c r="D952" s="14">
        <v>17.34088768</v>
      </c>
      <c r="E952" s="14">
        <v>13.20761643</v>
      </c>
      <c r="F952" s="14">
        <v>3.723298222</v>
      </c>
      <c r="G952" s="14">
        <v>0.005147168</v>
      </c>
      <c r="H952" s="14">
        <v>0.015200018</v>
      </c>
      <c r="I952" s="14" t="s">
        <v>164</v>
      </c>
      <c r="J952" s="14">
        <v>0.621703424</v>
      </c>
      <c r="K952" s="14">
        <v>0.113775103</v>
      </c>
      <c r="L952" s="14">
        <v>0.253954397</v>
      </c>
      <c r="M952" s="14">
        <v>0.016118974</v>
      </c>
      <c r="N952" s="14">
        <v>0</v>
      </c>
      <c r="O952" s="14">
        <v>0.047311603</v>
      </c>
      <c r="P952" s="14" t="s">
        <v>5032</v>
      </c>
      <c r="Q952" s="14" t="s">
        <v>5033</v>
      </c>
    </row>
    <row r="953" spans="1:21">
      <c r="A953" s="14" t="s">
        <v>5034</v>
      </c>
      <c r="B953" s="14">
        <v>374.0334317</v>
      </c>
      <c r="C953" s="14">
        <v>231.3666022</v>
      </c>
      <c r="D953" s="14">
        <v>516.7002612</v>
      </c>
      <c r="E953" s="14">
        <v>2.231663458</v>
      </c>
      <c r="F953" s="14">
        <v>1.158119481</v>
      </c>
      <c r="G953" s="51" t="s">
        <v>2290</v>
      </c>
      <c r="H953" s="14">
        <v>0.000105616</v>
      </c>
      <c r="I953" s="14" t="s">
        <v>164</v>
      </c>
      <c r="J953" s="14">
        <v>7.197248648</v>
      </c>
      <c r="K953" s="14">
        <v>5.809463091</v>
      </c>
      <c r="L953" s="14">
        <v>8.907906463</v>
      </c>
      <c r="M953" s="14">
        <v>2.224028294</v>
      </c>
      <c r="N953" s="14">
        <v>2.225462774</v>
      </c>
      <c r="O953" s="14">
        <v>3.720176007</v>
      </c>
      <c r="P953" s="14" t="s">
        <v>5035</v>
      </c>
      <c r="Q953" s="14" t="s">
        <v>5036</v>
      </c>
      <c r="T953" s="14" t="s">
        <v>5037</v>
      </c>
      <c r="U953" s="14" t="s">
        <v>5038</v>
      </c>
    </row>
    <row r="954" spans="1:19">
      <c r="A954" s="14" t="s">
        <v>5039</v>
      </c>
      <c r="B954" s="14">
        <v>2324.484179</v>
      </c>
      <c r="C954" s="14">
        <v>3760.87977</v>
      </c>
      <c r="D954" s="14">
        <v>888.0885889</v>
      </c>
      <c r="E954" s="14">
        <v>0.236137426</v>
      </c>
      <c r="F954" s="14">
        <v>-2.082301378</v>
      </c>
      <c r="G954" s="51" t="s">
        <v>5040</v>
      </c>
      <c r="H954" s="51" t="s">
        <v>5041</v>
      </c>
      <c r="I954" s="14" t="s">
        <v>147</v>
      </c>
      <c r="J954" s="14">
        <v>22.71593551</v>
      </c>
      <c r="K954" s="14">
        <v>26.6976347</v>
      </c>
      <c r="L954" s="14">
        <v>23.19839113</v>
      </c>
      <c r="M954" s="14">
        <v>87.86478078</v>
      </c>
      <c r="N954" s="14">
        <v>85.04965498</v>
      </c>
      <c r="O954" s="14">
        <v>79.34052851</v>
      </c>
      <c r="R954" s="14" t="s">
        <v>5042</v>
      </c>
      <c r="S954" s="14" t="s">
        <v>5043</v>
      </c>
    </row>
    <row r="955" spans="1:21">
      <c r="A955" s="14" t="s">
        <v>5044</v>
      </c>
      <c r="B955" s="14">
        <v>362.3159687</v>
      </c>
      <c r="C955" s="14">
        <v>180.5926853</v>
      </c>
      <c r="D955" s="14">
        <v>544.0392522</v>
      </c>
      <c r="E955" s="14">
        <v>3.008855897</v>
      </c>
      <c r="F955" s="14">
        <v>1.589215013</v>
      </c>
      <c r="G955" s="51" t="s">
        <v>5045</v>
      </c>
      <c r="H955" s="14">
        <v>0.000169152</v>
      </c>
      <c r="I955" s="14" t="s">
        <v>164</v>
      </c>
      <c r="J955" s="14">
        <v>5.584368009</v>
      </c>
      <c r="K955" s="14">
        <v>4.454605907</v>
      </c>
      <c r="L955" s="14">
        <v>5.623804321</v>
      </c>
      <c r="M955" s="14">
        <v>0.95071567</v>
      </c>
      <c r="N955" s="14">
        <v>0.990055981</v>
      </c>
      <c r="O955" s="14">
        <v>2.448637581</v>
      </c>
      <c r="P955" s="14" t="s">
        <v>5046</v>
      </c>
      <c r="Q955" s="14" t="s">
        <v>5047</v>
      </c>
      <c r="T955" s="14" t="s">
        <v>549</v>
      </c>
      <c r="U955" s="14" t="s">
        <v>550</v>
      </c>
    </row>
    <row r="956" spans="1:21">
      <c r="A956" s="14" t="s">
        <v>5048</v>
      </c>
      <c r="B956" s="14">
        <v>256.8923113</v>
      </c>
      <c r="C956" s="14">
        <v>360.5719386</v>
      </c>
      <c r="D956" s="14">
        <v>153.2126841</v>
      </c>
      <c r="E956" s="14">
        <v>0.425159243</v>
      </c>
      <c r="F956" s="14">
        <v>-1.233924791</v>
      </c>
      <c r="G956" s="51" t="s">
        <v>5049</v>
      </c>
      <c r="H956" s="51" t="s">
        <v>5050</v>
      </c>
      <c r="I956" s="14" t="s">
        <v>147</v>
      </c>
      <c r="J956" s="14">
        <v>1.112870756</v>
      </c>
      <c r="K956" s="14">
        <v>0.791401605</v>
      </c>
      <c r="L956" s="14">
        <v>0.902645011</v>
      </c>
      <c r="M956" s="14">
        <v>2.007828982</v>
      </c>
      <c r="N956" s="14">
        <v>1.861733448</v>
      </c>
      <c r="O956" s="14">
        <v>1.523949207</v>
      </c>
      <c r="P956" s="14" t="s">
        <v>5051</v>
      </c>
      <c r="Q956" s="14" t="s">
        <v>5052</v>
      </c>
      <c r="T956" s="14" t="s">
        <v>5053</v>
      </c>
      <c r="U956" s="14" t="s">
        <v>5054</v>
      </c>
    </row>
    <row r="957" spans="1:21">
      <c r="A957" s="14" t="s">
        <v>5055</v>
      </c>
      <c r="B957" s="14">
        <v>115.0407928</v>
      </c>
      <c r="C957" s="14">
        <v>160.508456</v>
      </c>
      <c r="D957" s="14">
        <v>69.57312971</v>
      </c>
      <c r="E957" s="14">
        <v>0.433369253</v>
      </c>
      <c r="F957" s="14">
        <v>-1.206331295</v>
      </c>
      <c r="G957" s="51" t="s">
        <v>5056</v>
      </c>
      <c r="H957" s="51" t="s">
        <v>1179</v>
      </c>
      <c r="I957" s="14" t="s">
        <v>147</v>
      </c>
      <c r="J957" s="14">
        <v>1.198186798</v>
      </c>
      <c r="K957" s="14">
        <v>1.478335821</v>
      </c>
      <c r="L957" s="14">
        <v>1.395572763</v>
      </c>
      <c r="M957" s="14">
        <v>2.364487183</v>
      </c>
      <c r="N957" s="14">
        <v>2.601572991</v>
      </c>
      <c r="O957" s="14">
        <v>2.782520529</v>
      </c>
      <c r="P957" s="14" t="s">
        <v>5057</v>
      </c>
      <c r="Q957" s="14" t="s">
        <v>5058</v>
      </c>
      <c r="R957" s="14" t="s">
        <v>4592</v>
      </c>
      <c r="S957" s="14" t="s">
        <v>4593</v>
      </c>
      <c r="T957" s="14" t="s">
        <v>5059</v>
      </c>
      <c r="U957" s="14" t="s">
        <v>5060</v>
      </c>
    </row>
    <row r="958" spans="1:19">
      <c r="A958" s="14" t="s">
        <v>5061</v>
      </c>
      <c r="B958" s="14">
        <v>1263.406898</v>
      </c>
      <c r="C958" s="14">
        <v>1761.12038</v>
      </c>
      <c r="D958" s="14">
        <v>765.6934164</v>
      </c>
      <c r="E958" s="14">
        <v>0.434756749</v>
      </c>
      <c r="F958" s="14">
        <v>-1.20171967</v>
      </c>
      <c r="G958" s="51" t="s">
        <v>1350</v>
      </c>
      <c r="H958" s="51" t="s">
        <v>1351</v>
      </c>
      <c r="I958" s="14" t="s">
        <v>147</v>
      </c>
      <c r="J958" s="14">
        <v>9.72302033</v>
      </c>
      <c r="K958" s="14">
        <v>7.224475827</v>
      </c>
      <c r="L958" s="14">
        <v>9.670920844</v>
      </c>
      <c r="M958" s="14">
        <v>14.50913767</v>
      </c>
      <c r="N958" s="14">
        <v>14.99272047</v>
      </c>
      <c r="O958" s="14">
        <v>21.29804466</v>
      </c>
      <c r="R958" s="14" t="s">
        <v>5062</v>
      </c>
      <c r="S958" s="14" t="s">
        <v>5063</v>
      </c>
    </row>
    <row r="959" spans="1:21">
      <c r="A959" s="14" t="s">
        <v>5064</v>
      </c>
      <c r="B959" s="14">
        <v>90.85452803</v>
      </c>
      <c r="C959" s="14">
        <v>4.506638022</v>
      </c>
      <c r="D959" s="14">
        <v>177.202418</v>
      </c>
      <c r="E959" s="14">
        <v>38.52262311</v>
      </c>
      <c r="F959" s="14">
        <v>5.267634038</v>
      </c>
      <c r="G959" s="51" t="s">
        <v>5065</v>
      </c>
      <c r="H959" s="51" t="s">
        <v>5066</v>
      </c>
      <c r="I959" s="14" t="s">
        <v>164</v>
      </c>
      <c r="J959" s="14">
        <v>2.248425195</v>
      </c>
      <c r="K959" s="14">
        <v>1.248978929</v>
      </c>
      <c r="L959" s="14">
        <v>2.205742008</v>
      </c>
      <c r="M959" s="14">
        <v>0</v>
      </c>
      <c r="N959" s="14">
        <v>0.052233985</v>
      </c>
      <c r="O959" s="14">
        <v>0.071024741</v>
      </c>
      <c r="P959" s="14" t="s">
        <v>5067</v>
      </c>
      <c r="Q959" s="14" t="s">
        <v>5068</v>
      </c>
      <c r="T959" s="14" t="s">
        <v>5069</v>
      </c>
      <c r="U959" s="14" t="s">
        <v>5070</v>
      </c>
    </row>
    <row r="960" spans="1:21">
      <c r="A960" s="14" t="s">
        <v>5071</v>
      </c>
      <c r="B960" s="14">
        <v>410.4083769</v>
      </c>
      <c r="C960" s="14">
        <v>139.1722038</v>
      </c>
      <c r="D960" s="14">
        <v>681.64455</v>
      </c>
      <c r="E960" s="14">
        <v>4.892788988</v>
      </c>
      <c r="F960" s="14">
        <v>2.290657065</v>
      </c>
      <c r="G960" s="14">
        <v>0.000819408</v>
      </c>
      <c r="H960" s="14">
        <v>0.003072023</v>
      </c>
      <c r="I960" s="14" t="s">
        <v>164</v>
      </c>
      <c r="J960" s="14">
        <v>7.064702484</v>
      </c>
      <c r="K960" s="14">
        <v>13.54290671</v>
      </c>
      <c r="L960" s="14">
        <v>12.5532336</v>
      </c>
      <c r="M960" s="14">
        <v>0.618189751</v>
      </c>
      <c r="N960" s="14">
        <v>0.896209287</v>
      </c>
      <c r="O960" s="14">
        <v>4.34131014</v>
      </c>
      <c r="P960" s="14" t="s">
        <v>5072</v>
      </c>
      <c r="Q960" s="14" t="s">
        <v>5073</v>
      </c>
      <c r="T960" s="14" t="s">
        <v>5074</v>
      </c>
      <c r="U960" s="14" t="s">
        <v>5075</v>
      </c>
    </row>
    <row r="961" spans="1:21">
      <c r="A961" s="14" t="s">
        <v>5076</v>
      </c>
      <c r="B961" s="14">
        <v>458.8289313</v>
      </c>
      <c r="C961" s="14">
        <v>206.8663603</v>
      </c>
      <c r="D961" s="14">
        <v>710.7915024</v>
      </c>
      <c r="E961" s="14">
        <v>3.432996265</v>
      </c>
      <c r="F961" s="14">
        <v>1.779468288</v>
      </c>
      <c r="G961" s="51" t="s">
        <v>5077</v>
      </c>
      <c r="H961" s="14">
        <v>0.000283001</v>
      </c>
      <c r="I961" s="14" t="s">
        <v>164</v>
      </c>
      <c r="J961" s="14">
        <v>5.030928169</v>
      </c>
      <c r="K961" s="14">
        <v>8.758711189</v>
      </c>
      <c r="L961" s="14">
        <v>6.666259333</v>
      </c>
      <c r="M961" s="14">
        <v>1.147307</v>
      </c>
      <c r="N961" s="14">
        <v>0.983608597</v>
      </c>
      <c r="O961" s="14">
        <v>2.913738816</v>
      </c>
      <c r="P961" s="14" t="s">
        <v>5072</v>
      </c>
      <c r="Q961" s="14" t="s">
        <v>5073</v>
      </c>
      <c r="T961" s="14" t="s">
        <v>5074</v>
      </c>
      <c r="U961" s="14" t="s">
        <v>5075</v>
      </c>
    </row>
    <row r="962" spans="1:21">
      <c r="A962" s="14" t="s">
        <v>5078</v>
      </c>
      <c r="B962" s="14">
        <v>2737.516323</v>
      </c>
      <c r="C962" s="14">
        <v>3837.292456</v>
      </c>
      <c r="D962" s="14">
        <v>1637.740189</v>
      </c>
      <c r="E962" s="14">
        <v>0.42680549</v>
      </c>
      <c r="F962" s="14">
        <v>-1.228349362</v>
      </c>
      <c r="G962" s="51" t="s">
        <v>5079</v>
      </c>
      <c r="H962" s="51" t="s">
        <v>5080</v>
      </c>
      <c r="I962" s="14" t="s">
        <v>147</v>
      </c>
      <c r="J962" s="14">
        <v>16.25090801</v>
      </c>
      <c r="K962" s="14">
        <v>18.85601415</v>
      </c>
      <c r="L962" s="14">
        <v>13.49285608</v>
      </c>
      <c r="M962" s="14">
        <v>36.26340579</v>
      </c>
      <c r="N962" s="14">
        <v>33.38882693</v>
      </c>
      <c r="O962" s="14">
        <v>23.09987903</v>
      </c>
      <c r="P962" s="14" t="s">
        <v>5081</v>
      </c>
      <c r="Q962" s="14" t="s">
        <v>5082</v>
      </c>
      <c r="T962" s="14" t="s">
        <v>5083</v>
      </c>
      <c r="U962" s="14" t="s">
        <v>5084</v>
      </c>
    </row>
    <row r="963" spans="1:21">
      <c r="A963" s="14" t="s">
        <v>5085</v>
      </c>
      <c r="B963" s="14">
        <v>1870.921724</v>
      </c>
      <c r="C963" s="14">
        <v>2989.821554</v>
      </c>
      <c r="D963" s="14">
        <v>752.0218932</v>
      </c>
      <c r="E963" s="14">
        <v>0.251476199</v>
      </c>
      <c r="F963" s="14">
        <v>-1.991506233</v>
      </c>
      <c r="G963" s="51" t="s">
        <v>5086</v>
      </c>
      <c r="H963" s="51" t="s">
        <v>5087</v>
      </c>
      <c r="I963" s="14" t="s">
        <v>147</v>
      </c>
      <c r="J963" s="14">
        <v>19.54414901</v>
      </c>
      <c r="K963" s="14">
        <v>18.51737847</v>
      </c>
      <c r="L963" s="14">
        <v>15.18967798</v>
      </c>
      <c r="M963" s="14">
        <v>55.99323284</v>
      </c>
      <c r="N963" s="14">
        <v>59.25213251</v>
      </c>
      <c r="O963" s="14">
        <v>59.11295766</v>
      </c>
      <c r="P963" s="14" t="s">
        <v>4197</v>
      </c>
      <c r="Q963" s="14" t="s">
        <v>4198</v>
      </c>
      <c r="T963" s="14" t="s">
        <v>4199</v>
      </c>
      <c r="U963" s="14" t="s">
        <v>4200</v>
      </c>
    </row>
    <row r="964" spans="1:15">
      <c r="A964" s="14" t="s">
        <v>5088</v>
      </c>
      <c r="B964" s="14">
        <v>43.3536467</v>
      </c>
      <c r="C964" s="14">
        <v>6.799954611</v>
      </c>
      <c r="D964" s="14">
        <v>79.90733879</v>
      </c>
      <c r="E964" s="14">
        <v>11.66997272</v>
      </c>
      <c r="F964" s="14">
        <v>3.544729284</v>
      </c>
      <c r="G964" s="14">
        <v>0.019918063</v>
      </c>
      <c r="H964" s="14">
        <v>0.04838408</v>
      </c>
      <c r="I964" s="14" t="s">
        <v>164</v>
      </c>
      <c r="J964" s="14">
        <v>1.227412376</v>
      </c>
      <c r="K964" s="14">
        <v>1.086580566</v>
      </c>
      <c r="L964" s="14">
        <v>1.267245603</v>
      </c>
      <c r="M964" s="14">
        <v>0</v>
      </c>
      <c r="N964" s="14">
        <v>0</v>
      </c>
      <c r="O964" s="14">
        <v>0.272340466</v>
      </c>
    </row>
    <row r="965" spans="1:21">
      <c r="A965" s="14" t="s">
        <v>5089</v>
      </c>
      <c r="B965" s="14">
        <v>170.5742851</v>
      </c>
      <c r="C965" s="14">
        <v>275.6872796</v>
      </c>
      <c r="D965" s="14">
        <v>65.46129052</v>
      </c>
      <c r="E965" s="14">
        <v>0.237251682</v>
      </c>
      <c r="F965" s="14">
        <v>-2.075509778</v>
      </c>
      <c r="G965" s="51" t="s">
        <v>5090</v>
      </c>
      <c r="H965" s="14">
        <v>0.000136213</v>
      </c>
      <c r="I965" s="14" t="s">
        <v>147</v>
      </c>
      <c r="J965" s="14">
        <v>2.901564432</v>
      </c>
      <c r="K965" s="14">
        <v>6.615852059</v>
      </c>
      <c r="L965" s="14">
        <v>2.166596895</v>
      </c>
      <c r="M965" s="14">
        <v>13.57810051</v>
      </c>
      <c r="N965" s="14">
        <v>15.65133319</v>
      </c>
      <c r="O965" s="14">
        <v>11.15310387</v>
      </c>
      <c r="P965" s="14" t="s">
        <v>5091</v>
      </c>
      <c r="Q965" s="14" t="s">
        <v>5092</v>
      </c>
      <c r="T965" s="14" t="s">
        <v>5093</v>
      </c>
      <c r="U965" s="14" t="s">
        <v>5094</v>
      </c>
    </row>
    <row r="966" spans="1:21">
      <c r="A966" s="14" t="s">
        <v>5095</v>
      </c>
      <c r="B966" s="14">
        <v>212.4803516</v>
      </c>
      <c r="C966" s="14">
        <v>372.1559794</v>
      </c>
      <c r="D966" s="14">
        <v>52.80472382</v>
      </c>
      <c r="E966" s="14">
        <v>0.141844505</v>
      </c>
      <c r="F966" s="14">
        <v>-2.817617833</v>
      </c>
      <c r="G966" s="51" t="s">
        <v>5045</v>
      </c>
      <c r="H966" s="14">
        <v>0.000169317</v>
      </c>
      <c r="I966" s="14" t="s">
        <v>147</v>
      </c>
      <c r="J966" s="14">
        <v>0.757086879</v>
      </c>
      <c r="K966" s="14">
        <v>1.470896193</v>
      </c>
      <c r="L966" s="14">
        <v>0.576387511</v>
      </c>
      <c r="M966" s="14">
        <v>7.215739789</v>
      </c>
      <c r="N966" s="14">
        <v>7.052716267</v>
      </c>
      <c r="O966" s="14">
        <v>1.591761914</v>
      </c>
      <c r="P966" s="14" t="s">
        <v>5096</v>
      </c>
      <c r="Q966" s="14" t="s">
        <v>5097</v>
      </c>
      <c r="R966" s="14" t="s">
        <v>5098</v>
      </c>
      <c r="S966" s="14" t="s">
        <v>5099</v>
      </c>
      <c r="T966" s="14" t="s">
        <v>5100</v>
      </c>
      <c r="U966" s="14" t="s">
        <v>5101</v>
      </c>
    </row>
    <row r="967" spans="1:21">
      <c r="A967" s="14" t="s">
        <v>5102</v>
      </c>
      <c r="B967" s="14">
        <v>10702.33605</v>
      </c>
      <c r="C967" s="14">
        <v>17789.9654</v>
      </c>
      <c r="D967" s="14">
        <v>3614.706706</v>
      </c>
      <c r="E967" s="14">
        <v>0.203190076</v>
      </c>
      <c r="F967" s="14">
        <v>-2.299098155</v>
      </c>
      <c r="G967" s="51" t="s">
        <v>5103</v>
      </c>
      <c r="H967" s="51" t="s">
        <v>1879</v>
      </c>
      <c r="I967" s="14" t="s">
        <v>147</v>
      </c>
      <c r="J967" s="14">
        <v>38.29419062</v>
      </c>
      <c r="K967" s="14">
        <v>45.82892489</v>
      </c>
      <c r="L967" s="14">
        <v>41.20482792</v>
      </c>
      <c r="M967" s="14">
        <v>198.1731055</v>
      </c>
      <c r="N967" s="14">
        <v>200.0405243</v>
      </c>
      <c r="O967" s="14">
        <v>100.9899729</v>
      </c>
      <c r="P967" s="14" t="s">
        <v>5104</v>
      </c>
      <c r="Q967" s="14" t="s">
        <v>5105</v>
      </c>
      <c r="T967" s="14" t="s">
        <v>5106</v>
      </c>
      <c r="U967" s="14" t="s">
        <v>5107</v>
      </c>
    </row>
    <row r="968" spans="1:21">
      <c r="A968" s="14" t="s">
        <v>5108</v>
      </c>
      <c r="B968" s="14">
        <v>442.7521275</v>
      </c>
      <c r="C968" s="14">
        <v>160.4994622</v>
      </c>
      <c r="D968" s="14">
        <v>725.0047927</v>
      </c>
      <c r="E968" s="14">
        <v>4.519722598</v>
      </c>
      <c r="F968" s="14">
        <v>2.176234229</v>
      </c>
      <c r="G968" s="14">
        <v>0.000477079</v>
      </c>
      <c r="H968" s="14">
        <v>0.001905071</v>
      </c>
      <c r="I968" s="14" t="s">
        <v>164</v>
      </c>
      <c r="J968" s="14">
        <v>13.96458339</v>
      </c>
      <c r="K968" s="14">
        <v>8.800404854</v>
      </c>
      <c r="L968" s="14">
        <v>11.17012083</v>
      </c>
      <c r="M968" s="14">
        <v>2.167561794</v>
      </c>
      <c r="N968" s="14">
        <v>3.309477151</v>
      </c>
      <c r="O968" s="14">
        <v>0.530176532</v>
      </c>
      <c r="P968" s="14" t="s">
        <v>5109</v>
      </c>
      <c r="Q968" s="14" t="s">
        <v>5110</v>
      </c>
      <c r="T968" s="14" t="s">
        <v>5111</v>
      </c>
      <c r="U968" s="14" t="s">
        <v>5112</v>
      </c>
    </row>
    <row r="969" spans="1:21">
      <c r="A969" s="14" t="s">
        <v>5113</v>
      </c>
      <c r="B969" s="14">
        <v>173.3665736</v>
      </c>
      <c r="C969" s="14">
        <v>65.4331604</v>
      </c>
      <c r="D969" s="14">
        <v>281.2999868</v>
      </c>
      <c r="E969" s="14">
        <v>4.300403871</v>
      </c>
      <c r="F969" s="14">
        <v>2.104472156</v>
      </c>
      <c r="G969" s="14">
        <v>0.002989231</v>
      </c>
      <c r="H969" s="14">
        <v>0.009471215</v>
      </c>
      <c r="I969" s="14" t="s">
        <v>164</v>
      </c>
      <c r="J969" s="14">
        <v>2.984908892</v>
      </c>
      <c r="K969" s="14">
        <v>1.766442385</v>
      </c>
      <c r="L969" s="14">
        <v>1.364292809</v>
      </c>
      <c r="M969" s="14">
        <v>0.203078997</v>
      </c>
      <c r="N969" s="14">
        <v>0.797032587</v>
      </c>
      <c r="O969" s="14">
        <v>0.150522035</v>
      </c>
      <c r="P969" s="14" t="s">
        <v>5114</v>
      </c>
      <c r="Q969" s="14" t="s">
        <v>5115</v>
      </c>
      <c r="R969" s="14" t="s">
        <v>294</v>
      </c>
      <c r="S969" s="14" t="s">
        <v>295</v>
      </c>
      <c r="T969" s="14" t="s">
        <v>5116</v>
      </c>
      <c r="U969" s="14" t="s">
        <v>5117</v>
      </c>
    </row>
    <row r="970" spans="1:21">
      <c r="A970" s="14" t="s">
        <v>5118</v>
      </c>
      <c r="B970" s="14">
        <v>77759.26535</v>
      </c>
      <c r="C970" s="14">
        <v>124028.613</v>
      </c>
      <c r="D970" s="14">
        <v>31489.91771</v>
      </c>
      <c r="E970" s="14">
        <v>0.253891183</v>
      </c>
      <c r="F970" s="14">
        <v>-1.977717801</v>
      </c>
      <c r="G970" s="51" t="s">
        <v>5119</v>
      </c>
      <c r="H970" s="51" t="s">
        <v>5120</v>
      </c>
      <c r="I970" s="14" t="s">
        <v>147</v>
      </c>
      <c r="J970" s="14">
        <v>219.8189906</v>
      </c>
      <c r="K970" s="14">
        <v>214.6523979</v>
      </c>
      <c r="L970" s="14">
        <v>182.5128755</v>
      </c>
      <c r="M970" s="14">
        <v>675.6807236</v>
      </c>
      <c r="N970" s="14">
        <v>640.8264256</v>
      </c>
      <c r="O970" s="14">
        <v>684.2189482</v>
      </c>
      <c r="Q970" s="14" t="s">
        <v>5121</v>
      </c>
      <c r="R970" s="14" t="s">
        <v>5122</v>
      </c>
      <c r="S970" s="14" t="s">
        <v>5123</v>
      </c>
      <c r="T970" s="14" t="s">
        <v>5124</v>
      </c>
      <c r="U970" s="14" t="s">
        <v>5125</v>
      </c>
    </row>
    <row r="971" spans="1:21">
      <c r="A971" s="14" t="s">
        <v>5126</v>
      </c>
      <c r="B971" s="14">
        <v>2797.770924</v>
      </c>
      <c r="C971" s="14">
        <v>3829.826241</v>
      </c>
      <c r="D971" s="14">
        <v>1765.715607</v>
      </c>
      <c r="E971" s="14">
        <v>0.461073931</v>
      </c>
      <c r="F971" s="14">
        <v>-1.116929997</v>
      </c>
      <c r="G971" s="51" t="s">
        <v>5127</v>
      </c>
      <c r="H971" s="51" t="s">
        <v>5128</v>
      </c>
      <c r="I971" s="14" t="s">
        <v>147</v>
      </c>
      <c r="J971" s="14">
        <v>16.82533711</v>
      </c>
      <c r="K971" s="14">
        <v>18.77490654</v>
      </c>
      <c r="L971" s="14">
        <v>17.21813395</v>
      </c>
      <c r="M971" s="14">
        <v>32.43463475</v>
      </c>
      <c r="N971" s="14">
        <v>33.63120964</v>
      </c>
      <c r="O971" s="14">
        <v>27.70582094</v>
      </c>
      <c r="P971" s="14" t="s">
        <v>5129</v>
      </c>
      <c r="Q971" s="14" t="s">
        <v>5130</v>
      </c>
      <c r="T971" s="14" t="s">
        <v>5131</v>
      </c>
      <c r="U971" s="14" t="s">
        <v>5132</v>
      </c>
    </row>
    <row r="972" spans="1:21">
      <c r="A972" s="14" t="s">
        <v>5133</v>
      </c>
      <c r="B972" s="14">
        <v>76.4128869</v>
      </c>
      <c r="C972" s="14">
        <v>3.399977306</v>
      </c>
      <c r="D972" s="14">
        <v>149.4257965</v>
      </c>
      <c r="E972" s="14">
        <v>43.04576104</v>
      </c>
      <c r="F972" s="14">
        <v>5.427799269</v>
      </c>
      <c r="G972" s="51" t="s">
        <v>5134</v>
      </c>
      <c r="H972" s="51" t="s">
        <v>5135</v>
      </c>
      <c r="I972" s="14" t="s">
        <v>164</v>
      </c>
      <c r="J972" s="14">
        <v>2.675355641</v>
      </c>
      <c r="K972" s="14">
        <v>1.414413323</v>
      </c>
      <c r="L972" s="14">
        <v>2.029547924</v>
      </c>
      <c r="M972" s="14">
        <v>0</v>
      </c>
      <c r="N972" s="14">
        <v>0</v>
      </c>
      <c r="O972" s="14">
        <v>0.124418828</v>
      </c>
      <c r="P972" s="14" t="s">
        <v>5136</v>
      </c>
      <c r="Q972" s="14" t="s">
        <v>5137</v>
      </c>
      <c r="T972" s="14" t="s">
        <v>2363</v>
      </c>
      <c r="U972" s="14" t="s">
        <v>2364</v>
      </c>
    </row>
    <row r="973" spans="1:21">
      <c r="A973" s="14" t="s">
        <v>5138</v>
      </c>
      <c r="B973" s="14">
        <v>90.93617954</v>
      </c>
      <c r="C973" s="14">
        <v>50.5580397</v>
      </c>
      <c r="D973" s="14">
        <v>131.3143194</v>
      </c>
      <c r="E973" s="14">
        <v>2.604067717</v>
      </c>
      <c r="F973" s="14">
        <v>1.380766965</v>
      </c>
      <c r="G973" s="14">
        <v>0.000647503</v>
      </c>
      <c r="H973" s="14">
        <v>0.002497613</v>
      </c>
      <c r="I973" s="14" t="s">
        <v>164</v>
      </c>
      <c r="J973" s="14">
        <v>3.946076136</v>
      </c>
      <c r="K973" s="14">
        <v>4.820787147</v>
      </c>
      <c r="L973" s="14">
        <v>3.190400691</v>
      </c>
      <c r="M973" s="14">
        <v>1.546370304</v>
      </c>
      <c r="N973" s="14">
        <v>1.359928829</v>
      </c>
      <c r="O973" s="14">
        <v>0.832118532</v>
      </c>
      <c r="P973" s="14" t="s">
        <v>5139</v>
      </c>
      <c r="Q973" s="14" t="s">
        <v>5140</v>
      </c>
      <c r="T973" s="14" t="s">
        <v>5141</v>
      </c>
      <c r="U973" s="14" t="s">
        <v>5142</v>
      </c>
    </row>
    <row r="974" spans="1:21">
      <c r="A974" s="14" t="s">
        <v>5143</v>
      </c>
      <c r="B974" s="14">
        <v>101.9363349</v>
      </c>
      <c r="C974" s="14">
        <v>19.95328641</v>
      </c>
      <c r="D974" s="14">
        <v>183.9193834</v>
      </c>
      <c r="E974" s="14">
        <v>9.225940608</v>
      </c>
      <c r="F974" s="14">
        <v>3.205696005</v>
      </c>
      <c r="G974" s="51" t="s">
        <v>5144</v>
      </c>
      <c r="H974" s="51" t="s">
        <v>5145</v>
      </c>
      <c r="I974" s="14" t="s">
        <v>164</v>
      </c>
      <c r="J974" s="14">
        <v>5.39210293</v>
      </c>
      <c r="K974" s="14">
        <v>2.12765081</v>
      </c>
      <c r="L974" s="14">
        <v>2.449279816</v>
      </c>
      <c r="M974" s="14">
        <v>0.168598012</v>
      </c>
      <c r="N974" s="14">
        <v>0.558771956</v>
      </c>
      <c r="O974" s="14">
        <v>0.149957699</v>
      </c>
      <c r="P974" s="14" t="s">
        <v>5146</v>
      </c>
      <c r="Q974" s="14" t="s">
        <v>5147</v>
      </c>
      <c r="R974" s="14" t="s">
        <v>5148</v>
      </c>
      <c r="S974" s="14" t="s">
        <v>5149</v>
      </c>
      <c r="T974" s="14" t="s">
        <v>5150</v>
      </c>
      <c r="U974" s="14" t="s">
        <v>5151</v>
      </c>
    </row>
    <row r="975" spans="1:21">
      <c r="A975" s="14" t="s">
        <v>5152</v>
      </c>
      <c r="B975" s="14">
        <v>208.730049</v>
      </c>
      <c r="C975" s="14">
        <v>76.68648063</v>
      </c>
      <c r="D975" s="14">
        <v>340.7736174</v>
      </c>
      <c r="E975" s="14">
        <v>4.449072077</v>
      </c>
      <c r="F975" s="14">
        <v>2.153504471</v>
      </c>
      <c r="G975" s="14">
        <v>0.0002367</v>
      </c>
      <c r="H975" s="14">
        <v>0.001018686</v>
      </c>
      <c r="I975" s="14" t="s">
        <v>164</v>
      </c>
      <c r="J975" s="14">
        <v>5.139607661</v>
      </c>
      <c r="K975" s="14">
        <v>7.184001617</v>
      </c>
      <c r="L975" s="14">
        <v>5.277483515</v>
      </c>
      <c r="M975" s="14">
        <v>1.154140416</v>
      </c>
      <c r="N975" s="14">
        <v>1.681915003</v>
      </c>
      <c r="O975" s="14">
        <v>0.343045561</v>
      </c>
      <c r="P975" s="14" t="s">
        <v>5146</v>
      </c>
      <c r="Q975" s="14" t="s">
        <v>5147</v>
      </c>
      <c r="R975" s="14" t="s">
        <v>5148</v>
      </c>
      <c r="S975" s="14" t="s">
        <v>5149</v>
      </c>
      <c r="T975" s="14" t="s">
        <v>5150</v>
      </c>
      <c r="U975" s="14" t="s">
        <v>5151</v>
      </c>
    </row>
    <row r="976" spans="1:15">
      <c r="A976" s="14" t="s">
        <v>5153</v>
      </c>
      <c r="B976" s="14">
        <v>39.8399966</v>
      </c>
      <c r="C976" s="14">
        <v>11.96125339</v>
      </c>
      <c r="D976" s="14">
        <v>67.71873981</v>
      </c>
      <c r="E976" s="14">
        <v>5.63884392</v>
      </c>
      <c r="F976" s="14">
        <v>2.495399411</v>
      </c>
      <c r="G976" s="51" t="s">
        <v>5154</v>
      </c>
      <c r="H976" s="51" t="s">
        <v>5155</v>
      </c>
      <c r="I976" s="14" t="s">
        <v>164</v>
      </c>
      <c r="J976" s="14">
        <v>1.360819298</v>
      </c>
      <c r="K976" s="14">
        <v>0.999514657</v>
      </c>
      <c r="L976" s="14">
        <v>1.416501724</v>
      </c>
      <c r="M976" s="14">
        <v>0.141605244</v>
      </c>
      <c r="N976" s="14">
        <v>0.181137893</v>
      </c>
      <c r="O976" s="14">
        <v>0.230906994</v>
      </c>
    </row>
    <row r="977" spans="1:21">
      <c r="A977" s="14" t="s">
        <v>5156</v>
      </c>
      <c r="B977" s="14">
        <v>407.5297297</v>
      </c>
      <c r="C977" s="14">
        <v>208.5533807</v>
      </c>
      <c r="D977" s="14">
        <v>606.5060788</v>
      </c>
      <c r="E977" s="14">
        <v>2.910398413</v>
      </c>
      <c r="F977" s="14">
        <v>1.541216661</v>
      </c>
      <c r="G977" s="51" t="s">
        <v>5157</v>
      </c>
      <c r="H977" s="51" t="s">
        <v>5158</v>
      </c>
      <c r="I977" s="14" t="s">
        <v>164</v>
      </c>
      <c r="J977" s="14">
        <v>5.207416076</v>
      </c>
      <c r="K977" s="14">
        <v>8.331933025</v>
      </c>
      <c r="L977" s="14">
        <v>7.114838377</v>
      </c>
      <c r="M977" s="14">
        <v>2.049693756</v>
      </c>
      <c r="N977" s="14">
        <v>2.132615664</v>
      </c>
      <c r="O977" s="14">
        <v>1.619372743</v>
      </c>
      <c r="P977" s="14" t="s">
        <v>5159</v>
      </c>
      <c r="Q977" s="14" t="s">
        <v>5160</v>
      </c>
      <c r="T977" s="14" t="s">
        <v>5161</v>
      </c>
      <c r="U977" s="14" t="s">
        <v>5162</v>
      </c>
    </row>
    <row r="978" spans="1:21">
      <c r="A978" s="14" t="s">
        <v>5163</v>
      </c>
      <c r="B978" s="14">
        <v>2195.537237</v>
      </c>
      <c r="C978" s="14">
        <v>3013.202232</v>
      </c>
      <c r="D978" s="14">
        <v>1377.872242</v>
      </c>
      <c r="E978" s="14">
        <v>0.457288571</v>
      </c>
      <c r="F978" s="14">
        <v>-1.128823232</v>
      </c>
      <c r="G978" s="51" t="s">
        <v>5164</v>
      </c>
      <c r="H978" s="51" t="s">
        <v>5165</v>
      </c>
      <c r="I978" s="14" t="s">
        <v>147</v>
      </c>
      <c r="J978" s="14">
        <v>16.55845841</v>
      </c>
      <c r="K978" s="14">
        <v>17.78233749</v>
      </c>
      <c r="L978" s="14">
        <v>13.78639814</v>
      </c>
      <c r="M978" s="14">
        <v>30.36985368</v>
      </c>
      <c r="N978" s="14">
        <v>32.28306201</v>
      </c>
      <c r="O978" s="14">
        <v>23.33378037</v>
      </c>
      <c r="P978" s="14" t="s">
        <v>5166</v>
      </c>
      <c r="Q978" s="14" t="s">
        <v>5167</v>
      </c>
      <c r="T978" s="14" t="s">
        <v>5083</v>
      </c>
      <c r="U978" s="14" t="s">
        <v>5084</v>
      </c>
    </row>
    <row r="979" spans="1:21">
      <c r="A979" s="14" t="s">
        <v>5168</v>
      </c>
      <c r="B979" s="14">
        <v>732.9795605</v>
      </c>
      <c r="C979" s="14">
        <v>476.5876352</v>
      </c>
      <c r="D979" s="14">
        <v>989.3714859</v>
      </c>
      <c r="E979" s="14">
        <v>2.076925443</v>
      </c>
      <c r="F979" s="14">
        <v>1.054449428</v>
      </c>
      <c r="G979" s="51" t="s">
        <v>5169</v>
      </c>
      <c r="H979" s="51" t="s">
        <v>5170</v>
      </c>
      <c r="I979" s="14" t="s">
        <v>164</v>
      </c>
      <c r="J979" s="14">
        <v>5.52011789</v>
      </c>
      <c r="K979" s="14">
        <v>5.646599569</v>
      </c>
      <c r="L979" s="14">
        <v>5.661087891</v>
      </c>
      <c r="M979" s="14">
        <v>2.205340264</v>
      </c>
      <c r="N979" s="14">
        <v>2.691950121</v>
      </c>
      <c r="O979" s="14">
        <v>1.711091793</v>
      </c>
      <c r="P979" s="14" t="s">
        <v>5171</v>
      </c>
      <c r="Q979" s="14" t="s">
        <v>5172</v>
      </c>
      <c r="T979" s="14" t="s">
        <v>5173</v>
      </c>
      <c r="U979" s="14" t="s">
        <v>5174</v>
      </c>
    </row>
    <row r="980" spans="1:21">
      <c r="A980" s="14" t="s">
        <v>5175</v>
      </c>
      <c r="B980" s="14">
        <v>51657.47187</v>
      </c>
      <c r="C980" s="14">
        <v>32809.4755</v>
      </c>
      <c r="D980" s="14">
        <v>70505.46824</v>
      </c>
      <c r="E980" s="14">
        <v>2.148947602</v>
      </c>
      <c r="F980" s="14">
        <v>1.103630306</v>
      </c>
      <c r="G980" s="14">
        <v>0.001301835</v>
      </c>
      <c r="H980" s="14">
        <v>0.004612089</v>
      </c>
      <c r="I980" s="14" t="s">
        <v>164</v>
      </c>
      <c r="J980" s="14">
        <v>269.9913974</v>
      </c>
      <c r="K980" s="14">
        <v>436.3522825</v>
      </c>
      <c r="L980" s="14">
        <v>274.445933</v>
      </c>
      <c r="M980" s="14">
        <v>139.1555235</v>
      </c>
      <c r="N980" s="14">
        <v>149.2854574</v>
      </c>
      <c r="O980" s="14">
        <v>82.53904336</v>
      </c>
      <c r="P980" s="14" t="s">
        <v>5176</v>
      </c>
      <c r="Q980" s="14" t="s">
        <v>5177</v>
      </c>
      <c r="R980" s="14" t="s">
        <v>5178</v>
      </c>
      <c r="S980" s="14" t="s">
        <v>5179</v>
      </c>
      <c r="T980" s="14" t="s">
        <v>5180</v>
      </c>
      <c r="U980" s="14" t="s">
        <v>5181</v>
      </c>
    </row>
    <row r="981" spans="1:21">
      <c r="A981" s="14" t="s">
        <v>5182</v>
      </c>
      <c r="B981" s="14">
        <v>4804.449766</v>
      </c>
      <c r="C981" s="14">
        <v>8096.009916</v>
      </c>
      <c r="D981" s="14">
        <v>1512.889615</v>
      </c>
      <c r="E981" s="14">
        <v>0.186872928</v>
      </c>
      <c r="F981" s="14">
        <v>-2.419870512</v>
      </c>
      <c r="G981" s="51" t="s">
        <v>5183</v>
      </c>
      <c r="H981" s="51" t="s">
        <v>5184</v>
      </c>
      <c r="I981" s="14" t="s">
        <v>147</v>
      </c>
      <c r="J981" s="14">
        <v>15.14589868</v>
      </c>
      <c r="K981" s="14">
        <v>16.30575506</v>
      </c>
      <c r="L981" s="14">
        <v>15.43062335</v>
      </c>
      <c r="M981" s="14">
        <v>72.63905096</v>
      </c>
      <c r="N981" s="14">
        <v>69.19293049</v>
      </c>
      <c r="O981" s="14">
        <v>63.78718747</v>
      </c>
      <c r="P981" s="14" t="s">
        <v>5185</v>
      </c>
      <c r="Q981" s="14" t="s">
        <v>5186</v>
      </c>
      <c r="T981" s="14" t="s">
        <v>5187</v>
      </c>
      <c r="U981" s="14" t="s">
        <v>5188</v>
      </c>
    </row>
    <row r="982" spans="1:21">
      <c r="A982" s="14" t="s">
        <v>5189</v>
      </c>
      <c r="B982" s="14">
        <v>599.5819252</v>
      </c>
      <c r="C982" s="14">
        <v>270.8433186</v>
      </c>
      <c r="D982" s="14">
        <v>928.3205318</v>
      </c>
      <c r="E982" s="14">
        <v>3.425494352</v>
      </c>
      <c r="F982" s="14">
        <v>1.776312206</v>
      </c>
      <c r="G982" s="51" t="s">
        <v>5190</v>
      </c>
      <c r="H982" s="51" t="s">
        <v>5191</v>
      </c>
      <c r="I982" s="14" t="s">
        <v>164</v>
      </c>
      <c r="J982" s="14">
        <v>22.29773652</v>
      </c>
      <c r="K982" s="14">
        <v>13.63574223</v>
      </c>
      <c r="L982" s="14">
        <v>16.76053637</v>
      </c>
      <c r="M982" s="14">
        <v>3.382706823</v>
      </c>
      <c r="N982" s="14">
        <v>4.168141321</v>
      </c>
      <c r="O982" s="14">
        <v>5.207496555</v>
      </c>
      <c r="P982" s="14" t="s">
        <v>5192</v>
      </c>
      <c r="Q982" s="14" t="s">
        <v>5193</v>
      </c>
      <c r="T982" s="14" t="s">
        <v>2960</v>
      </c>
      <c r="U982" s="14" t="s">
        <v>2961</v>
      </c>
    </row>
    <row r="983" spans="1:21">
      <c r="A983" s="14" t="s">
        <v>5194</v>
      </c>
      <c r="B983" s="14">
        <v>152.2370793</v>
      </c>
      <c r="C983" s="14">
        <v>251.3815263</v>
      </c>
      <c r="D983" s="14">
        <v>53.09263224</v>
      </c>
      <c r="E983" s="14">
        <v>0.211012232</v>
      </c>
      <c r="F983" s="14">
        <v>-2.24460146</v>
      </c>
      <c r="G983" s="51" t="s">
        <v>5195</v>
      </c>
      <c r="H983" s="51" t="s">
        <v>5196</v>
      </c>
      <c r="I983" s="14" t="s">
        <v>147</v>
      </c>
      <c r="J983" s="14">
        <v>2.243959604</v>
      </c>
      <c r="K983" s="14">
        <v>2.07039467</v>
      </c>
      <c r="L983" s="14">
        <v>1.692466273</v>
      </c>
      <c r="M983" s="14">
        <v>8.15965977</v>
      </c>
      <c r="N983" s="14">
        <v>7.214246422</v>
      </c>
      <c r="O983" s="14">
        <v>8.045888262</v>
      </c>
      <c r="P983" s="14" t="s">
        <v>5197</v>
      </c>
      <c r="Q983" s="14" t="s">
        <v>5198</v>
      </c>
      <c r="T983" s="14" t="s">
        <v>5199</v>
      </c>
      <c r="U983" s="14" t="s">
        <v>5200</v>
      </c>
    </row>
    <row r="984" spans="1:15">
      <c r="A984" s="14" t="s">
        <v>5201</v>
      </c>
      <c r="B984" s="14">
        <v>1276.829307</v>
      </c>
      <c r="C984" s="14">
        <v>370.2946479</v>
      </c>
      <c r="D984" s="14">
        <v>2183.363966</v>
      </c>
      <c r="E984" s="14">
        <v>5.892725603</v>
      </c>
      <c r="F984" s="14">
        <v>2.558935088</v>
      </c>
      <c r="G984" s="51" t="s">
        <v>5202</v>
      </c>
      <c r="H984" s="51" t="s">
        <v>5203</v>
      </c>
      <c r="I984" s="14" t="s">
        <v>164</v>
      </c>
      <c r="J984" s="14">
        <v>37.02476994</v>
      </c>
      <c r="K984" s="14">
        <v>25.80637627</v>
      </c>
      <c r="L984" s="14">
        <v>29.21632631</v>
      </c>
      <c r="M984" s="14">
        <v>2.012637326</v>
      </c>
      <c r="N984" s="14">
        <v>4.033153615</v>
      </c>
      <c r="O984" s="14">
        <v>7.142467882</v>
      </c>
    </row>
    <row r="985" spans="1:15">
      <c r="A985" s="14" t="s">
        <v>5204</v>
      </c>
      <c r="B985" s="14">
        <v>6.014052106</v>
      </c>
      <c r="C985" s="14">
        <v>0</v>
      </c>
      <c r="D985" s="14">
        <v>12.02810421</v>
      </c>
      <c r="E985" s="14">
        <v>64.90285184</v>
      </c>
      <c r="F985" s="14">
        <v>6.020209967</v>
      </c>
      <c r="G985" s="14">
        <v>0.00027143</v>
      </c>
      <c r="H985" s="14">
        <v>0.001152832</v>
      </c>
      <c r="I985" s="14" t="s">
        <v>164</v>
      </c>
      <c r="J985" s="14">
        <v>0.088152369</v>
      </c>
      <c r="K985" s="14">
        <v>0.144182988</v>
      </c>
      <c r="L985" s="14">
        <v>0.169754918</v>
      </c>
      <c r="M985" s="14">
        <v>0</v>
      </c>
      <c r="N985" s="14">
        <v>0</v>
      </c>
      <c r="O985" s="14">
        <v>0</v>
      </c>
    </row>
    <row r="986" spans="1:15">
      <c r="A986" s="14" t="s">
        <v>5205</v>
      </c>
      <c r="B986" s="14">
        <v>934.710474</v>
      </c>
      <c r="C986" s="14">
        <v>1280.188782</v>
      </c>
      <c r="D986" s="14">
        <v>589.2321659</v>
      </c>
      <c r="E986" s="14">
        <v>0.460310257</v>
      </c>
      <c r="F986" s="14">
        <v>-1.119321505</v>
      </c>
      <c r="G986" s="51" t="s">
        <v>409</v>
      </c>
      <c r="H986" s="51" t="s">
        <v>410</v>
      </c>
      <c r="I986" s="14" t="s">
        <v>147</v>
      </c>
      <c r="J986" s="14">
        <v>11.17963624</v>
      </c>
      <c r="K986" s="14">
        <v>13.62995566</v>
      </c>
      <c r="L986" s="14">
        <v>10.27157413</v>
      </c>
      <c r="M986" s="14">
        <v>24.14885671</v>
      </c>
      <c r="N986" s="14">
        <v>20.67990947</v>
      </c>
      <c r="O986" s="14">
        <v>17.44827056</v>
      </c>
    </row>
    <row r="987" spans="1:21">
      <c r="A987" s="14" t="s">
        <v>5206</v>
      </c>
      <c r="B987" s="14">
        <v>3752.447827</v>
      </c>
      <c r="C987" s="14">
        <v>5491.465923</v>
      </c>
      <c r="D987" s="14">
        <v>2013.42973</v>
      </c>
      <c r="E987" s="14">
        <v>0.366654166</v>
      </c>
      <c r="F987" s="14">
        <v>-1.447508165</v>
      </c>
      <c r="G987" s="51" t="s">
        <v>5207</v>
      </c>
      <c r="H987" s="51" t="s">
        <v>5208</v>
      </c>
      <c r="I987" s="14" t="s">
        <v>147</v>
      </c>
      <c r="J987" s="14">
        <v>18.98920138</v>
      </c>
      <c r="K987" s="14">
        <v>34.91043591</v>
      </c>
      <c r="L987" s="14">
        <v>26.3915219</v>
      </c>
      <c r="M987" s="14">
        <v>65.8113044</v>
      </c>
      <c r="N987" s="14">
        <v>68.58984145</v>
      </c>
      <c r="O987" s="14">
        <v>43.88181556</v>
      </c>
      <c r="P987" s="14" t="s">
        <v>5209</v>
      </c>
      <c r="Q987" s="14" t="s">
        <v>5210</v>
      </c>
      <c r="T987" s="14" t="s">
        <v>5211</v>
      </c>
      <c r="U987" s="14" t="s">
        <v>5212</v>
      </c>
    </row>
    <row r="988" spans="1:21">
      <c r="A988" s="14" t="s">
        <v>5213</v>
      </c>
      <c r="B988" s="14">
        <v>4799.201519</v>
      </c>
      <c r="C988" s="14">
        <v>8371.980528</v>
      </c>
      <c r="D988" s="14">
        <v>1226.422509</v>
      </c>
      <c r="E988" s="14">
        <v>0.146480774</v>
      </c>
      <c r="F988" s="14">
        <v>-2.771216775</v>
      </c>
      <c r="G988" s="51" t="s">
        <v>5214</v>
      </c>
      <c r="H988" s="51" t="s">
        <v>5215</v>
      </c>
      <c r="I988" s="14" t="s">
        <v>147</v>
      </c>
      <c r="J988" s="14">
        <v>13.86646244</v>
      </c>
      <c r="K988" s="14">
        <v>13.23144573</v>
      </c>
      <c r="L988" s="14">
        <v>10.03517653</v>
      </c>
      <c r="M988" s="14">
        <v>52.86150684</v>
      </c>
      <c r="N988" s="14">
        <v>48.05987054</v>
      </c>
      <c r="O988" s="14">
        <v>112.6985688</v>
      </c>
      <c r="P988" s="14" t="s">
        <v>5216</v>
      </c>
      <c r="Q988" s="14" t="s">
        <v>5217</v>
      </c>
      <c r="T988" s="14" t="s">
        <v>5218</v>
      </c>
      <c r="U988" s="14" t="s">
        <v>5219</v>
      </c>
    </row>
    <row r="989" spans="1:21">
      <c r="A989" s="14" t="s">
        <v>5220</v>
      </c>
      <c r="B989" s="14">
        <v>360.852771</v>
      </c>
      <c r="C989" s="14">
        <v>225.7781199</v>
      </c>
      <c r="D989" s="14">
        <v>495.9274221</v>
      </c>
      <c r="E989" s="14">
        <v>2.196740283</v>
      </c>
      <c r="F989" s="14">
        <v>1.135364313</v>
      </c>
      <c r="G989" s="51" t="s">
        <v>5221</v>
      </c>
      <c r="H989" s="51" t="s">
        <v>5222</v>
      </c>
      <c r="I989" s="14" t="s">
        <v>164</v>
      </c>
      <c r="J989" s="14">
        <v>6.655460502</v>
      </c>
      <c r="K989" s="14">
        <v>9.407772603</v>
      </c>
      <c r="L989" s="14">
        <v>11.29315062</v>
      </c>
      <c r="M989" s="14">
        <v>3.080564464</v>
      </c>
      <c r="N989" s="14">
        <v>3.49278786</v>
      </c>
      <c r="O989" s="14">
        <v>3.683744332</v>
      </c>
      <c r="P989" s="14" t="s">
        <v>5223</v>
      </c>
      <c r="Q989" s="14" t="s">
        <v>5224</v>
      </c>
      <c r="T989" s="14" t="s">
        <v>793</v>
      </c>
      <c r="U989" s="14" t="s">
        <v>794</v>
      </c>
    </row>
    <row r="990" spans="1:21">
      <c r="A990" s="14" t="s">
        <v>5225</v>
      </c>
      <c r="B990" s="14">
        <v>932.3580576</v>
      </c>
      <c r="C990" s="14">
        <v>517.4863486</v>
      </c>
      <c r="D990" s="14">
        <v>1347.229767</v>
      </c>
      <c r="E990" s="14">
        <v>2.60382172</v>
      </c>
      <c r="F990" s="14">
        <v>1.380630672</v>
      </c>
      <c r="G990" s="14">
        <v>0.006516695</v>
      </c>
      <c r="H990" s="14">
        <v>0.018611813</v>
      </c>
      <c r="I990" s="14" t="s">
        <v>164</v>
      </c>
      <c r="J990" s="14">
        <v>25.73628953</v>
      </c>
      <c r="K990" s="14">
        <v>32.29922534</v>
      </c>
      <c r="L990" s="14">
        <v>24.15872557</v>
      </c>
      <c r="M990" s="14">
        <v>7.472247385</v>
      </c>
      <c r="N990" s="14">
        <v>14.42024837</v>
      </c>
      <c r="O990" s="14">
        <v>3.579383319</v>
      </c>
      <c r="P990" s="14" t="s">
        <v>5226</v>
      </c>
      <c r="Q990" s="14" t="s">
        <v>5227</v>
      </c>
      <c r="T990" s="14" t="s">
        <v>5228</v>
      </c>
      <c r="U990" s="14" t="s">
        <v>5229</v>
      </c>
    </row>
    <row r="991" spans="1:15">
      <c r="A991" s="14" t="s">
        <v>5230</v>
      </c>
      <c r="B991" s="14">
        <v>30.36197417</v>
      </c>
      <c r="C991" s="14">
        <v>48.36416049</v>
      </c>
      <c r="D991" s="14">
        <v>12.35978785</v>
      </c>
      <c r="E991" s="14">
        <v>0.25608405</v>
      </c>
      <c r="F991" s="14">
        <v>-1.965310698</v>
      </c>
      <c r="G991" s="51" t="s">
        <v>5231</v>
      </c>
      <c r="H991" s="51" t="s">
        <v>3135</v>
      </c>
      <c r="I991" s="14" t="s">
        <v>147</v>
      </c>
      <c r="J991" s="14">
        <v>0.235743015</v>
      </c>
      <c r="K991" s="14">
        <v>0.342741225</v>
      </c>
      <c r="L991" s="14">
        <v>0.403528941</v>
      </c>
      <c r="M991" s="14">
        <v>0.963680045</v>
      </c>
      <c r="N991" s="14">
        <v>1.139545106</v>
      </c>
      <c r="O991" s="14">
        <v>1.052481938</v>
      </c>
    </row>
    <row r="992" spans="1:21">
      <c r="A992" s="14" t="s">
        <v>5232</v>
      </c>
      <c r="B992" s="14">
        <v>2665.016564</v>
      </c>
      <c r="C992" s="14">
        <v>3845.271953</v>
      </c>
      <c r="D992" s="14">
        <v>1484.761176</v>
      </c>
      <c r="E992" s="14">
        <v>0.386147148</v>
      </c>
      <c r="F992" s="14">
        <v>-1.37277738</v>
      </c>
      <c r="G992" s="51" t="s">
        <v>5233</v>
      </c>
      <c r="H992" s="51" t="s">
        <v>5234</v>
      </c>
      <c r="I992" s="14" t="s">
        <v>147</v>
      </c>
      <c r="J992" s="14">
        <v>4.19127124</v>
      </c>
      <c r="K992" s="14">
        <v>4.529967878</v>
      </c>
      <c r="L992" s="14">
        <v>4.032830885</v>
      </c>
      <c r="M992" s="14">
        <v>10.03214201</v>
      </c>
      <c r="N992" s="14">
        <v>10.17902159</v>
      </c>
      <c r="O992" s="14">
        <v>6.674960216</v>
      </c>
      <c r="P992" s="14" t="s">
        <v>2352</v>
      </c>
      <c r="Q992" s="14" t="s">
        <v>2353</v>
      </c>
      <c r="T992" s="14" t="s">
        <v>2354</v>
      </c>
      <c r="U992" s="14" t="s">
        <v>2355</v>
      </c>
    </row>
    <row r="993" spans="1:21">
      <c r="A993" s="14" t="s">
        <v>5235</v>
      </c>
      <c r="B993" s="14">
        <v>81.51457587</v>
      </c>
      <c r="C993" s="14">
        <v>33.62426375</v>
      </c>
      <c r="D993" s="14">
        <v>129.404888</v>
      </c>
      <c r="E993" s="14">
        <v>3.83543747</v>
      </c>
      <c r="F993" s="14">
        <v>1.939391141</v>
      </c>
      <c r="G993" s="14">
        <v>0.008650208</v>
      </c>
      <c r="H993" s="14">
        <v>0.023856038</v>
      </c>
      <c r="I993" s="14" t="s">
        <v>164</v>
      </c>
      <c r="J993" s="14">
        <v>3.081092243</v>
      </c>
      <c r="K993" s="14">
        <v>1.533566064</v>
      </c>
      <c r="L993" s="14">
        <v>2.02121903</v>
      </c>
      <c r="M993" s="14">
        <v>0.115875437</v>
      </c>
      <c r="N993" s="14">
        <v>0.347402267</v>
      </c>
      <c r="O993" s="14">
        <v>1.020335269</v>
      </c>
      <c r="P993" s="14" t="s">
        <v>5236</v>
      </c>
      <c r="Q993" s="14" t="s">
        <v>5237</v>
      </c>
      <c r="T993" s="14" t="s">
        <v>5238</v>
      </c>
      <c r="U993" s="14" t="s">
        <v>5239</v>
      </c>
    </row>
    <row r="994" spans="1:21">
      <c r="A994" s="14" t="s">
        <v>5240</v>
      </c>
      <c r="B994" s="14">
        <v>67.91915031</v>
      </c>
      <c r="C994" s="14">
        <v>39.67512612</v>
      </c>
      <c r="D994" s="14">
        <v>96.1631745</v>
      </c>
      <c r="E994" s="14">
        <v>2.425323286</v>
      </c>
      <c r="F994" s="14">
        <v>1.278177066</v>
      </c>
      <c r="G994" s="51" t="s">
        <v>5241</v>
      </c>
      <c r="H994" s="14">
        <v>0.000388925</v>
      </c>
      <c r="I994" s="14" t="s">
        <v>164</v>
      </c>
      <c r="J994" s="14">
        <v>2.118295031</v>
      </c>
      <c r="K994" s="14">
        <v>1.444912662</v>
      </c>
      <c r="L994" s="14">
        <v>1.533913432</v>
      </c>
      <c r="M994" s="14">
        <v>0.5691841</v>
      </c>
      <c r="N994" s="14">
        <v>0.574804812</v>
      </c>
      <c r="O994" s="14">
        <v>0.586189666</v>
      </c>
      <c r="P994" s="14" t="s">
        <v>5242</v>
      </c>
      <c r="Q994" s="14" t="s">
        <v>5243</v>
      </c>
      <c r="T994" s="14" t="s">
        <v>5244</v>
      </c>
      <c r="U994" s="14" t="s">
        <v>5245</v>
      </c>
    </row>
    <row r="995" spans="1:21">
      <c r="A995" s="14" t="s">
        <v>5246</v>
      </c>
      <c r="B995" s="14">
        <v>648.6923784</v>
      </c>
      <c r="C995" s="14">
        <v>312.034563</v>
      </c>
      <c r="D995" s="14">
        <v>985.3501939</v>
      </c>
      <c r="E995" s="14">
        <v>3.159050747</v>
      </c>
      <c r="F995" s="14">
        <v>1.659491113</v>
      </c>
      <c r="G995" s="14">
        <v>0.002521181</v>
      </c>
      <c r="H995" s="14">
        <v>0.008174084</v>
      </c>
      <c r="I995" s="14" t="s">
        <v>164</v>
      </c>
      <c r="J995" s="14">
        <v>9.870642283</v>
      </c>
      <c r="K995" s="14">
        <v>9.924297273</v>
      </c>
      <c r="L995" s="14">
        <v>12.26215173</v>
      </c>
      <c r="M995" s="14">
        <v>3.1302574</v>
      </c>
      <c r="N995" s="14">
        <v>4.121570808</v>
      </c>
      <c r="O995" s="14">
        <v>0.871177017</v>
      </c>
      <c r="P995" s="14" t="s">
        <v>5247</v>
      </c>
      <c r="Q995" s="14" t="s">
        <v>5248</v>
      </c>
      <c r="T995" s="14" t="s">
        <v>2621</v>
      </c>
      <c r="U995" s="14" t="s">
        <v>2622</v>
      </c>
    </row>
    <row r="996" spans="1:21">
      <c r="A996" s="14" t="s">
        <v>5249</v>
      </c>
      <c r="B996" s="14">
        <v>149.0220058</v>
      </c>
      <c r="C996" s="14">
        <v>239.4093428</v>
      </c>
      <c r="D996" s="14">
        <v>58.63466883</v>
      </c>
      <c r="E996" s="14">
        <v>0.24509129</v>
      </c>
      <c r="F996" s="14">
        <v>-2.028608877</v>
      </c>
      <c r="G996" s="51" t="s">
        <v>5250</v>
      </c>
      <c r="H996" s="14">
        <v>0.000301269</v>
      </c>
      <c r="I996" s="14" t="s">
        <v>147</v>
      </c>
      <c r="J996" s="14">
        <v>1.011573577</v>
      </c>
      <c r="K996" s="14">
        <v>1.293935838</v>
      </c>
      <c r="L996" s="14">
        <v>1.440698051</v>
      </c>
      <c r="M996" s="14">
        <v>4.742202266</v>
      </c>
      <c r="N996" s="14">
        <v>5.656702234</v>
      </c>
      <c r="O996" s="14">
        <v>1.905272435</v>
      </c>
      <c r="P996" s="14" t="s">
        <v>5251</v>
      </c>
      <c r="Q996" s="14" t="s">
        <v>5252</v>
      </c>
      <c r="T996" s="14" t="s">
        <v>5253</v>
      </c>
      <c r="U996" s="14" t="s">
        <v>5254</v>
      </c>
    </row>
    <row r="997" spans="1:21">
      <c r="A997" s="14" t="s">
        <v>5255</v>
      </c>
      <c r="B997" s="14">
        <v>4152.625733</v>
      </c>
      <c r="C997" s="14">
        <v>6245.480197</v>
      </c>
      <c r="D997" s="14">
        <v>2059.771269</v>
      </c>
      <c r="E997" s="14">
        <v>0.329807977</v>
      </c>
      <c r="F997" s="14">
        <v>-1.600301803</v>
      </c>
      <c r="G997" s="14">
        <v>0.004565074</v>
      </c>
      <c r="H997" s="14">
        <v>0.013687006</v>
      </c>
      <c r="I997" s="14" t="s">
        <v>147</v>
      </c>
      <c r="J997" s="14">
        <v>14.6311441</v>
      </c>
      <c r="K997" s="14">
        <v>22.35584996</v>
      </c>
      <c r="L997" s="14">
        <v>17.89344169</v>
      </c>
      <c r="M997" s="14">
        <v>57.10075505</v>
      </c>
      <c r="N997" s="14">
        <v>63.04087778</v>
      </c>
      <c r="O997" s="14">
        <v>12.98465043</v>
      </c>
      <c r="P997" s="14" t="s">
        <v>5256</v>
      </c>
      <c r="Q997" s="14" t="s">
        <v>5257</v>
      </c>
      <c r="T997" s="14" t="s">
        <v>5258</v>
      </c>
      <c r="U997" s="14" t="s">
        <v>5259</v>
      </c>
    </row>
    <row r="998" spans="1:21">
      <c r="A998" s="14" t="s">
        <v>5260</v>
      </c>
      <c r="B998" s="14">
        <v>58.92256718</v>
      </c>
      <c r="C998" s="14">
        <v>32.04345959</v>
      </c>
      <c r="D998" s="14">
        <v>85.80167477</v>
      </c>
      <c r="E998" s="14">
        <v>2.667320045</v>
      </c>
      <c r="F998" s="14">
        <v>1.41539094</v>
      </c>
      <c r="G998" s="14">
        <v>0.005121469</v>
      </c>
      <c r="H998" s="14">
        <v>0.015131652</v>
      </c>
      <c r="I998" s="14" t="s">
        <v>164</v>
      </c>
      <c r="J998" s="14">
        <v>2.370503887</v>
      </c>
      <c r="K998" s="14">
        <v>1.795636666</v>
      </c>
      <c r="L998" s="14">
        <v>2.188317165</v>
      </c>
      <c r="M998" s="14">
        <v>0.480911165</v>
      </c>
      <c r="N998" s="14">
        <v>0.361077784</v>
      </c>
      <c r="O998" s="14">
        <v>1.16605996</v>
      </c>
      <c r="P998" s="14" t="s">
        <v>5261</v>
      </c>
      <c r="Q998" s="14" t="s">
        <v>5262</v>
      </c>
      <c r="T998" s="14" t="s">
        <v>5263</v>
      </c>
      <c r="U998" s="14" t="s">
        <v>5264</v>
      </c>
    </row>
    <row r="999" spans="1:15">
      <c r="A999" s="14" t="s">
        <v>5265</v>
      </c>
      <c r="B999" s="14">
        <v>4.480904741</v>
      </c>
      <c r="C999" s="14">
        <v>7.981159589</v>
      </c>
      <c r="D999" s="14">
        <v>0.980649893</v>
      </c>
      <c r="E999" s="14">
        <v>0.122591515</v>
      </c>
      <c r="F999" s="14">
        <v>-3.02806897</v>
      </c>
      <c r="G999" s="14">
        <v>0.014016078</v>
      </c>
      <c r="H999" s="14">
        <v>0.036005576</v>
      </c>
      <c r="I999" s="14" t="s">
        <v>147</v>
      </c>
      <c r="J999" s="14">
        <v>0.225308139</v>
      </c>
      <c r="K999" s="14">
        <v>0.226779372</v>
      </c>
      <c r="L999" s="14">
        <v>0.216937815</v>
      </c>
      <c r="M999" s="14">
        <v>0.963862249</v>
      </c>
      <c r="N999" s="14">
        <v>1.849422798</v>
      </c>
      <c r="O999" s="14">
        <v>1.697448003</v>
      </c>
    </row>
    <row r="1000" spans="1:21">
      <c r="A1000" s="14" t="s">
        <v>5266</v>
      </c>
      <c r="B1000" s="14">
        <v>376.1000054</v>
      </c>
      <c r="C1000" s="14">
        <v>196.5119657</v>
      </c>
      <c r="D1000" s="14">
        <v>555.6880451</v>
      </c>
      <c r="E1000" s="14">
        <v>2.825612962</v>
      </c>
      <c r="F1000" s="14">
        <v>1.498563866</v>
      </c>
      <c r="G1000" s="14">
        <v>0.014540216</v>
      </c>
      <c r="H1000" s="14">
        <v>0.037165285</v>
      </c>
      <c r="I1000" s="14" t="s">
        <v>164</v>
      </c>
      <c r="J1000" s="14">
        <v>4.932218217</v>
      </c>
      <c r="K1000" s="14">
        <v>3.521638955</v>
      </c>
      <c r="L1000" s="14">
        <v>4.526374931</v>
      </c>
      <c r="M1000" s="14">
        <v>0.672559276</v>
      </c>
      <c r="N1000" s="14">
        <v>0.48076764</v>
      </c>
      <c r="O1000" s="14">
        <v>2.793362477</v>
      </c>
      <c r="P1000" s="14" t="s">
        <v>5267</v>
      </c>
      <c r="Q1000" s="14" t="s">
        <v>5268</v>
      </c>
      <c r="T1000" s="14" t="s">
        <v>5269</v>
      </c>
      <c r="U1000" s="14" t="s">
        <v>5270</v>
      </c>
    </row>
    <row r="1001" spans="1:21">
      <c r="A1001" s="14" t="s">
        <v>5271</v>
      </c>
      <c r="B1001" s="14">
        <v>4254.607925</v>
      </c>
      <c r="C1001" s="14">
        <v>1257.299652</v>
      </c>
      <c r="D1001" s="14">
        <v>7251.916198</v>
      </c>
      <c r="E1001" s="14">
        <v>5.768146386</v>
      </c>
      <c r="F1001" s="14">
        <v>2.528107778</v>
      </c>
      <c r="G1001" s="51" t="s">
        <v>5272</v>
      </c>
      <c r="H1001" s="51" t="s">
        <v>5273</v>
      </c>
      <c r="I1001" s="14" t="s">
        <v>164</v>
      </c>
      <c r="J1001" s="14">
        <v>42.19719382</v>
      </c>
      <c r="K1001" s="14">
        <v>27.09808407</v>
      </c>
      <c r="L1001" s="14">
        <v>44.41586359</v>
      </c>
      <c r="M1001" s="14">
        <v>4.929662061</v>
      </c>
      <c r="N1001" s="14">
        <v>5.887392464</v>
      </c>
      <c r="O1001" s="14">
        <v>5.363804865</v>
      </c>
      <c r="P1001" s="14" t="s">
        <v>5274</v>
      </c>
      <c r="Q1001" s="14" t="s">
        <v>5275</v>
      </c>
      <c r="R1001" s="14" t="s">
        <v>5276</v>
      </c>
      <c r="S1001" s="14" t="s">
        <v>5277</v>
      </c>
      <c r="T1001" s="14" t="s">
        <v>5278</v>
      </c>
      <c r="U1001" s="14" t="s">
        <v>5279</v>
      </c>
    </row>
    <row r="1002" spans="1:21">
      <c r="A1002" s="14" t="s">
        <v>5280</v>
      </c>
      <c r="B1002" s="14">
        <v>3598.408514</v>
      </c>
      <c r="C1002" s="14">
        <v>2390.894174</v>
      </c>
      <c r="D1002" s="14">
        <v>4805.922855</v>
      </c>
      <c r="E1002" s="14">
        <v>2.009897576</v>
      </c>
      <c r="F1002" s="14">
        <v>1.007121983</v>
      </c>
      <c r="G1002" s="14">
        <v>0.017009785</v>
      </c>
      <c r="H1002" s="14">
        <v>0.042418495</v>
      </c>
      <c r="I1002" s="14" t="s">
        <v>164</v>
      </c>
      <c r="J1002" s="14">
        <v>58.67683235</v>
      </c>
      <c r="K1002" s="14">
        <v>55.87351503</v>
      </c>
      <c r="L1002" s="14">
        <v>62.78090767</v>
      </c>
      <c r="M1002" s="14">
        <v>14.20993825</v>
      </c>
      <c r="N1002" s="14">
        <v>15.11196197</v>
      </c>
      <c r="O1002" s="14">
        <v>45.66304177</v>
      </c>
      <c r="P1002" s="14" t="s">
        <v>5281</v>
      </c>
      <c r="Q1002" s="14" t="s">
        <v>5282</v>
      </c>
      <c r="R1002" s="14" t="s">
        <v>5283</v>
      </c>
      <c r="S1002" s="14" t="s">
        <v>5284</v>
      </c>
      <c r="T1002" s="14" t="s">
        <v>5285</v>
      </c>
      <c r="U1002" s="14" t="s">
        <v>5286</v>
      </c>
    </row>
    <row r="1003" spans="1:21">
      <c r="A1003" s="14" t="s">
        <v>5287</v>
      </c>
      <c r="B1003" s="14">
        <v>27.98528385</v>
      </c>
      <c r="C1003" s="14">
        <v>10.20340807</v>
      </c>
      <c r="D1003" s="14">
        <v>45.76715963</v>
      </c>
      <c r="E1003" s="14">
        <v>4.498987695</v>
      </c>
      <c r="F1003" s="14">
        <v>2.169600421</v>
      </c>
      <c r="G1003" s="14">
        <v>0.001212534</v>
      </c>
      <c r="H1003" s="14">
        <v>0.00433451</v>
      </c>
      <c r="I1003" s="14" t="s">
        <v>164</v>
      </c>
      <c r="J1003" s="14">
        <v>0.36878826</v>
      </c>
      <c r="K1003" s="14">
        <v>0.45626224</v>
      </c>
      <c r="L1003" s="14">
        <v>0.236725046</v>
      </c>
      <c r="M1003" s="14">
        <v>0.05258888</v>
      </c>
      <c r="N1003" s="14">
        <v>0.107212173</v>
      </c>
      <c r="O1003" s="14">
        <v>0.032157549</v>
      </c>
      <c r="P1003" s="14" t="s">
        <v>3602</v>
      </c>
      <c r="Q1003" s="14" t="s">
        <v>3603</v>
      </c>
      <c r="T1003" s="14" t="s">
        <v>1510</v>
      </c>
      <c r="U1003" s="14" t="s">
        <v>1511</v>
      </c>
    </row>
    <row r="1004" spans="1:21">
      <c r="A1004" s="14" t="s">
        <v>5288</v>
      </c>
      <c r="B1004" s="14">
        <v>127.7030269</v>
      </c>
      <c r="C1004" s="14">
        <v>55.98575684</v>
      </c>
      <c r="D1004" s="14">
        <v>199.4202969</v>
      </c>
      <c r="E1004" s="14">
        <v>3.556584025</v>
      </c>
      <c r="F1004" s="14">
        <v>1.830492248</v>
      </c>
      <c r="G1004" s="14">
        <v>0.00020121</v>
      </c>
      <c r="H1004" s="14">
        <v>0.000881709</v>
      </c>
      <c r="I1004" s="14" t="s">
        <v>164</v>
      </c>
      <c r="J1004" s="14">
        <v>2.047751313</v>
      </c>
      <c r="K1004" s="14">
        <v>1.946616037</v>
      </c>
      <c r="L1004" s="14">
        <v>2.891791759</v>
      </c>
      <c r="M1004" s="14">
        <v>0.496412799</v>
      </c>
      <c r="N1004" s="14">
        <v>0.233455464</v>
      </c>
      <c r="O1004" s="14">
        <v>0.895178517</v>
      </c>
      <c r="P1004" s="14" t="s">
        <v>5289</v>
      </c>
      <c r="Q1004" s="14" t="s">
        <v>5290</v>
      </c>
      <c r="T1004" s="14" t="s">
        <v>5291</v>
      </c>
      <c r="U1004" s="14" t="s">
        <v>5292</v>
      </c>
    </row>
    <row r="1005" spans="1:21">
      <c r="A1005" s="14" t="s">
        <v>5293</v>
      </c>
      <c r="B1005" s="14">
        <v>2.986821467</v>
      </c>
      <c r="C1005" s="14">
        <v>0</v>
      </c>
      <c r="D1005" s="14">
        <v>5.973642933</v>
      </c>
      <c r="E1005" s="14">
        <v>32.18715038</v>
      </c>
      <c r="F1005" s="14">
        <v>5.008412952</v>
      </c>
      <c r="G1005" s="14">
        <v>0.019697947</v>
      </c>
      <c r="H1005" s="14">
        <v>0.047947463</v>
      </c>
      <c r="I1005" s="14" t="s">
        <v>164</v>
      </c>
      <c r="J1005" s="14">
        <v>0.296621266</v>
      </c>
      <c r="K1005" s="14">
        <v>0.383860496</v>
      </c>
      <c r="L1005" s="14">
        <v>0.081600462</v>
      </c>
      <c r="M1005" s="14">
        <v>0</v>
      </c>
      <c r="N1005" s="14">
        <v>0</v>
      </c>
      <c r="O1005" s="14">
        <v>0</v>
      </c>
      <c r="P1005" s="14" t="s">
        <v>420</v>
      </c>
      <c r="Q1005" s="14" t="s">
        <v>421</v>
      </c>
      <c r="T1005" s="14" t="s">
        <v>399</v>
      </c>
      <c r="U1005" s="14" t="s">
        <v>400</v>
      </c>
    </row>
    <row r="1006" spans="1:21">
      <c r="A1006" s="14" t="s">
        <v>5294</v>
      </c>
      <c r="B1006" s="14">
        <v>22.96731033</v>
      </c>
      <c r="C1006" s="14">
        <v>32.86429808</v>
      </c>
      <c r="D1006" s="14">
        <v>13.07032259</v>
      </c>
      <c r="E1006" s="14">
        <v>0.398370479</v>
      </c>
      <c r="F1006" s="14">
        <v>-1.327817354</v>
      </c>
      <c r="G1006" s="14">
        <v>0.011594238</v>
      </c>
      <c r="H1006" s="14">
        <v>0.030683131</v>
      </c>
      <c r="I1006" s="14" t="s">
        <v>147</v>
      </c>
      <c r="J1006" s="14">
        <v>0.140609738</v>
      </c>
      <c r="K1006" s="14">
        <v>0.192992593</v>
      </c>
      <c r="L1006" s="14">
        <v>0.172309464</v>
      </c>
      <c r="M1006" s="14">
        <v>0.448409347</v>
      </c>
      <c r="N1006" s="14">
        <v>0.251821776</v>
      </c>
      <c r="O1006" s="14">
        <v>0.342412635</v>
      </c>
      <c r="P1006" s="14" t="s">
        <v>5295</v>
      </c>
      <c r="Q1006" s="14" t="s">
        <v>5296</v>
      </c>
      <c r="T1006" s="14" t="s">
        <v>5297</v>
      </c>
      <c r="U1006" s="14" t="s">
        <v>5298</v>
      </c>
    </row>
    <row r="1007" spans="1:21">
      <c r="A1007" s="14" t="s">
        <v>5299</v>
      </c>
      <c r="B1007" s="14">
        <v>164.9929766</v>
      </c>
      <c r="C1007" s="14">
        <v>265.8015192</v>
      </c>
      <c r="D1007" s="14">
        <v>64.18443393</v>
      </c>
      <c r="E1007" s="14">
        <v>0.241304777</v>
      </c>
      <c r="F1007" s="14">
        <v>-2.051071616</v>
      </c>
      <c r="G1007" s="14">
        <v>0.000554524</v>
      </c>
      <c r="H1007" s="14">
        <v>0.00217284</v>
      </c>
      <c r="I1007" s="14" t="s">
        <v>147</v>
      </c>
      <c r="J1007" s="14">
        <v>0.283983792</v>
      </c>
      <c r="K1007" s="14">
        <v>1.241917564</v>
      </c>
      <c r="L1007" s="14">
        <v>0.367721095</v>
      </c>
      <c r="M1007" s="14">
        <v>2.144883004</v>
      </c>
      <c r="N1007" s="14">
        <v>2.178332514</v>
      </c>
      <c r="O1007" s="14">
        <v>2.155898918</v>
      </c>
      <c r="P1007" s="14" t="s">
        <v>5295</v>
      </c>
      <c r="Q1007" s="14" t="s">
        <v>5296</v>
      </c>
      <c r="T1007" s="14" t="s">
        <v>5297</v>
      </c>
      <c r="U1007" s="14" t="s">
        <v>5298</v>
      </c>
    </row>
    <row r="1008" spans="1:21">
      <c r="A1008" s="14" t="s">
        <v>5300</v>
      </c>
      <c r="B1008" s="14">
        <v>847.6969748</v>
      </c>
      <c r="C1008" s="14">
        <v>544.1680731</v>
      </c>
      <c r="D1008" s="14">
        <v>1151.225877</v>
      </c>
      <c r="E1008" s="14">
        <v>2.115931157</v>
      </c>
      <c r="F1008" s="14">
        <v>1.08129269</v>
      </c>
      <c r="G1008" s="14">
        <v>0.000937194</v>
      </c>
      <c r="H1008" s="14">
        <v>0.003460663</v>
      </c>
      <c r="I1008" s="14" t="s">
        <v>164</v>
      </c>
      <c r="J1008" s="14">
        <v>25.07095621</v>
      </c>
      <c r="K1008" s="14">
        <v>43.46124194</v>
      </c>
      <c r="L1008" s="14">
        <v>27.23980642</v>
      </c>
      <c r="M1008" s="14">
        <v>12.24401777</v>
      </c>
      <c r="N1008" s="14">
        <v>15.11255748</v>
      </c>
      <c r="O1008" s="14">
        <v>9.62954779</v>
      </c>
      <c r="P1008" s="14" t="s">
        <v>404</v>
      </c>
      <c r="Q1008" s="14" t="s">
        <v>405</v>
      </c>
      <c r="T1008" s="14" t="s">
        <v>406</v>
      </c>
      <c r="U1008" s="14" t="s">
        <v>407</v>
      </c>
    </row>
    <row r="1009" spans="1:15">
      <c r="A1009" s="14" t="s">
        <v>5301</v>
      </c>
      <c r="B1009" s="14">
        <v>49.58278316</v>
      </c>
      <c r="C1009" s="14">
        <v>13.7928781</v>
      </c>
      <c r="D1009" s="14">
        <v>85.37268822</v>
      </c>
      <c r="E1009" s="14">
        <v>6.148467267</v>
      </c>
      <c r="F1009" s="14">
        <v>2.62022681</v>
      </c>
      <c r="G1009" s="51" t="s">
        <v>5302</v>
      </c>
      <c r="H1009" s="51" t="s">
        <v>5303</v>
      </c>
      <c r="I1009" s="14" t="s">
        <v>164</v>
      </c>
      <c r="J1009" s="14">
        <v>0.896833654</v>
      </c>
      <c r="K1009" s="14">
        <v>0.462535301</v>
      </c>
      <c r="L1009" s="14">
        <v>0.556646535</v>
      </c>
      <c r="M1009" s="14">
        <v>0.050732306</v>
      </c>
      <c r="N1009" s="14">
        <v>0.07909139</v>
      </c>
      <c r="O1009" s="14">
        <v>0.130293548</v>
      </c>
    </row>
    <row r="1010" spans="1:21">
      <c r="A1010" s="14" t="s">
        <v>5304</v>
      </c>
      <c r="B1010" s="14">
        <v>5246.106409</v>
      </c>
      <c r="C1010" s="14">
        <v>8978.598628</v>
      </c>
      <c r="D1010" s="14">
        <v>1513.614189</v>
      </c>
      <c r="E1010" s="14">
        <v>0.168602589</v>
      </c>
      <c r="F1010" s="14">
        <v>-2.568301401</v>
      </c>
      <c r="G1010" s="51" t="s">
        <v>5305</v>
      </c>
      <c r="H1010" s="51" t="s">
        <v>5306</v>
      </c>
      <c r="I1010" s="14" t="s">
        <v>147</v>
      </c>
      <c r="J1010" s="14">
        <v>24.37547102</v>
      </c>
      <c r="K1010" s="14">
        <v>24.92156589</v>
      </c>
      <c r="L1010" s="14">
        <v>30.90625234</v>
      </c>
      <c r="M1010" s="14">
        <v>136.0019357</v>
      </c>
      <c r="N1010" s="14">
        <v>132.6148091</v>
      </c>
      <c r="O1010" s="14">
        <v>120.7753162</v>
      </c>
      <c r="P1010" s="14" t="s">
        <v>5307</v>
      </c>
      <c r="Q1010" s="14" t="s">
        <v>5308</v>
      </c>
      <c r="R1010" s="14" t="s">
        <v>798</v>
      </c>
      <c r="S1010" s="14" t="s">
        <v>799</v>
      </c>
      <c r="T1010" s="14" t="s">
        <v>5309</v>
      </c>
      <c r="U1010" s="14" t="s">
        <v>5310</v>
      </c>
    </row>
    <row r="1011" spans="1:21">
      <c r="A1011" s="14" t="s">
        <v>5311</v>
      </c>
      <c r="B1011" s="14">
        <v>837.4213956</v>
      </c>
      <c r="C1011" s="14">
        <v>1318.349695</v>
      </c>
      <c r="D1011" s="14">
        <v>356.4930965</v>
      </c>
      <c r="E1011" s="14">
        <v>0.270395907</v>
      </c>
      <c r="F1011" s="14">
        <v>-1.886854783</v>
      </c>
      <c r="G1011" s="51" t="s">
        <v>1774</v>
      </c>
      <c r="H1011" s="51" t="s">
        <v>5312</v>
      </c>
      <c r="I1011" s="14" t="s">
        <v>147</v>
      </c>
      <c r="J1011" s="14">
        <v>2.157455648</v>
      </c>
      <c r="K1011" s="14">
        <v>2.276262658</v>
      </c>
      <c r="L1011" s="14">
        <v>1.465712634</v>
      </c>
      <c r="M1011" s="14">
        <v>6.13272354</v>
      </c>
      <c r="N1011" s="14">
        <v>7.928728777</v>
      </c>
      <c r="O1011" s="14">
        <v>3.65784784</v>
      </c>
      <c r="P1011" s="14" t="s">
        <v>5313</v>
      </c>
      <c r="Q1011" s="14" t="s">
        <v>5314</v>
      </c>
      <c r="T1011" s="14" t="s">
        <v>5315</v>
      </c>
      <c r="U1011" s="14" t="s">
        <v>5316</v>
      </c>
    </row>
    <row r="1012" spans="1:15">
      <c r="A1012" s="14" t="s">
        <v>5317</v>
      </c>
      <c r="B1012" s="14">
        <v>1802.590938</v>
      </c>
      <c r="C1012" s="14">
        <v>2415.435772</v>
      </c>
      <c r="D1012" s="14">
        <v>1189.746105</v>
      </c>
      <c r="E1012" s="14">
        <v>0.492625401</v>
      </c>
      <c r="F1012" s="14">
        <v>-1.021437075</v>
      </c>
      <c r="G1012" s="51" t="s">
        <v>5318</v>
      </c>
      <c r="H1012" s="51" t="s">
        <v>5319</v>
      </c>
      <c r="I1012" s="14" t="s">
        <v>147</v>
      </c>
      <c r="J1012" s="14">
        <v>45.63391049</v>
      </c>
      <c r="K1012" s="14">
        <v>43.8119604</v>
      </c>
      <c r="L1012" s="14">
        <v>43.68954042</v>
      </c>
      <c r="M1012" s="14">
        <v>77.99341994</v>
      </c>
      <c r="N1012" s="14">
        <v>79.70864307</v>
      </c>
      <c r="O1012" s="14">
        <v>63.22352553</v>
      </c>
    </row>
    <row r="1013" spans="1:15">
      <c r="A1013" s="14" t="s">
        <v>5320</v>
      </c>
      <c r="B1013" s="14">
        <v>739.6727487</v>
      </c>
      <c r="C1013" s="14">
        <v>1138.274622</v>
      </c>
      <c r="D1013" s="14">
        <v>341.0708754</v>
      </c>
      <c r="E1013" s="14">
        <v>0.299541007</v>
      </c>
      <c r="F1013" s="14">
        <v>-1.739174572</v>
      </c>
      <c r="G1013" s="51" t="s">
        <v>5321</v>
      </c>
      <c r="H1013" s="51" t="s">
        <v>5322</v>
      </c>
      <c r="I1013" s="14" t="s">
        <v>147</v>
      </c>
      <c r="J1013" s="14">
        <v>53.66625294</v>
      </c>
      <c r="K1013" s="14">
        <v>53.86909999</v>
      </c>
      <c r="L1013" s="14">
        <v>43.76634329</v>
      </c>
      <c r="M1013" s="14">
        <v>128.9678288</v>
      </c>
      <c r="N1013" s="14">
        <v>149.3658435</v>
      </c>
      <c r="O1013" s="14">
        <v>137.2268458</v>
      </c>
    </row>
    <row r="1014" spans="1:15">
      <c r="A1014" s="14" t="s">
        <v>5323</v>
      </c>
      <c r="B1014" s="14">
        <v>525.7663321</v>
      </c>
      <c r="C1014" s="14">
        <v>143.9132045</v>
      </c>
      <c r="D1014" s="14">
        <v>907.6194597</v>
      </c>
      <c r="E1014" s="14">
        <v>6.30987346</v>
      </c>
      <c r="F1014" s="14">
        <v>2.657611073</v>
      </c>
      <c r="G1014" s="51" t="s">
        <v>5324</v>
      </c>
      <c r="H1014" s="51" t="s">
        <v>5325</v>
      </c>
      <c r="I1014" s="14" t="s">
        <v>164</v>
      </c>
      <c r="J1014" s="14">
        <v>23.86069286</v>
      </c>
      <c r="K1014" s="14">
        <v>30.38231937</v>
      </c>
      <c r="L1014" s="14">
        <v>24.71808366</v>
      </c>
      <c r="M1014" s="14">
        <v>2.82859575</v>
      </c>
      <c r="N1014" s="14">
        <v>6.088131025</v>
      </c>
      <c r="O1014" s="14">
        <v>1.155109844</v>
      </c>
    </row>
    <row r="1015" spans="1:21">
      <c r="A1015" s="14" t="s">
        <v>5326</v>
      </c>
      <c r="B1015" s="14">
        <v>5674.832148</v>
      </c>
      <c r="C1015" s="14">
        <v>8166.450461</v>
      </c>
      <c r="D1015" s="14">
        <v>3183.213834</v>
      </c>
      <c r="E1015" s="14">
        <v>0.389799851</v>
      </c>
      <c r="F1015" s="14">
        <v>-1.359194556</v>
      </c>
      <c r="G1015" s="14">
        <v>0.0041916</v>
      </c>
      <c r="H1015" s="14">
        <v>0.012702445</v>
      </c>
      <c r="I1015" s="14" t="s">
        <v>147</v>
      </c>
      <c r="J1015" s="14">
        <v>37.8345577</v>
      </c>
      <c r="K1015" s="14">
        <v>40.1265093</v>
      </c>
      <c r="L1015" s="14">
        <v>39.3222169</v>
      </c>
      <c r="M1015" s="14">
        <v>104.9612986</v>
      </c>
      <c r="N1015" s="14">
        <v>105.42124</v>
      </c>
      <c r="O1015" s="14">
        <v>30.91769646</v>
      </c>
      <c r="P1015" s="14" t="s">
        <v>5327</v>
      </c>
      <c r="Q1015" s="14" t="s">
        <v>5328</v>
      </c>
      <c r="R1015" s="14" t="s">
        <v>5329</v>
      </c>
      <c r="S1015" s="14" t="s">
        <v>5330</v>
      </c>
      <c r="T1015" s="14" t="s">
        <v>5331</v>
      </c>
      <c r="U1015" s="14" t="s">
        <v>5332</v>
      </c>
    </row>
    <row r="1016" spans="1:21">
      <c r="A1016" s="14" t="s">
        <v>5333</v>
      </c>
      <c r="B1016" s="14">
        <v>891.9912825</v>
      </c>
      <c r="C1016" s="14">
        <v>563.1561753</v>
      </c>
      <c r="D1016" s="14">
        <v>1220.82639</v>
      </c>
      <c r="E1016" s="14">
        <v>2.167280004</v>
      </c>
      <c r="F1016" s="14">
        <v>1.115885556</v>
      </c>
      <c r="G1016" s="51" t="s">
        <v>1682</v>
      </c>
      <c r="H1016" s="51" t="s">
        <v>5334</v>
      </c>
      <c r="I1016" s="14" t="s">
        <v>164</v>
      </c>
      <c r="J1016" s="14">
        <v>4.373875165</v>
      </c>
      <c r="K1016" s="14">
        <v>3.675169106</v>
      </c>
      <c r="L1016" s="14">
        <v>4.9374838</v>
      </c>
      <c r="M1016" s="14">
        <v>1.431483661</v>
      </c>
      <c r="N1016" s="14">
        <v>1.592151491</v>
      </c>
      <c r="O1016" s="14">
        <v>1.929045136</v>
      </c>
      <c r="P1016" s="14" t="s">
        <v>2614</v>
      </c>
      <c r="Q1016" s="14" t="s">
        <v>2615</v>
      </c>
      <c r="T1016" s="14" t="s">
        <v>2606</v>
      </c>
      <c r="U1016" s="14" t="s">
        <v>2607</v>
      </c>
    </row>
    <row r="1017" spans="1:21">
      <c r="A1017" s="14" t="s">
        <v>5335</v>
      </c>
      <c r="B1017" s="14">
        <v>120.9075104</v>
      </c>
      <c r="C1017" s="14">
        <v>0</v>
      </c>
      <c r="D1017" s="14">
        <v>241.8150209</v>
      </c>
      <c r="E1017" s="14">
        <v>1304.269022</v>
      </c>
      <c r="F1017" s="14">
        <v>10.34902576</v>
      </c>
      <c r="G1017" s="51" t="s">
        <v>5336</v>
      </c>
      <c r="H1017" s="14">
        <v>0.000206733</v>
      </c>
      <c r="I1017" s="14" t="s">
        <v>164</v>
      </c>
      <c r="J1017" s="14">
        <v>1.213989544</v>
      </c>
      <c r="K1017" s="14">
        <v>8.132972696</v>
      </c>
      <c r="L1017" s="14">
        <v>0.113118305</v>
      </c>
      <c r="M1017" s="14">
        <v>0</v>
      </c>
      <c r="N1017" s="14">
        <v>0</v>
      </c>
      <c r="O1017" s="14">
        <v>0</v>
      </c>
      <c r="P1017" s="14" t="s">
        <v>5337</v>
      </c>
      <c r="Q1017" s="14" t="s">
        <v>5338</v>
      </c>
      <c r="T1017" s="14" t="s">
        <v>5339</v>
      </c>
      <c r="U1017" s="14" t="s">
        <v>5340</v>
      </c>
    </row>
    <row r="1018" spans="1:21">
      <c r="A1018" s="14" t="s">
        <v>5341</v>
      </c>
      <c r="B1018" s="14">
        <v>25.5993158</v>
      </c>
      <c r="C1018" s="14">
        <v>41.17899465</v>
      </c>
      <c r="D1018" s="14">
        <v>10.01963696</v>
      </c>
      <c r="E1018" s="14">
        <v>0.244123183</v>
      </c>
      <c r="F1018" s="14">
        <v>-2.034318787</v>
      </c>
      <c r="G1018" s="14">
        <v>0.016826089</v>
      </c>
      <c r="H1018" s="14">
        <v>0.042025116</v>
      </c>
      <c r="I1018" s="14" t="s">
        <v>147</v>
      </c>
      <c r="J1018" s="14">
        <v>0.07759095</v>
      </c>
      <c r="K1018" s="14">
        <v>0.117146414</v>
      </c>
      <c r="L1018" s="14">
        <v>0.199222408</v>
      </c>
      <c r="M1018" s="14">
        <v>0.564284451</v>
      </c>
      <c r="N1018" s="14">
        <v>0.605053814</v>
      </c>
      <c r="O1018" s="14">
        <v>0.119077469</v>
      </c>
      <c r="P1018" s="14" t="s">
        <v>5342</v>
      </c>
      <c r="Q1018" s="14" t="s">
        <v>5343</v>
      </c>
      <c r="T1018" s="14" t="s">
        <v>5344</v>
      </c>
      <c r="U1018" s="14" t="s">
        <v>5345</v>
      </c>
    </row>
    <row r="1019" spans="1:21">
      <c r="A1019" s="14" t="s">
        <v>5346</v>
      </c>
      <c r="B1019" s="14">
        <v>952.2308966</v>
      </c>
      <c r="C1019" s="14">
        <v>386.9933175</v>
      </c>
      <c r="D1019" s="14">
        <v>1517.468476</v>
      </c>
      <c r="E1019" s="14">
        <v>3.918334636</v>
      </c>
      <c r="F1019" s="14">
        <v>1.970240613</v>
      </c>
      <c r="G1019" s="51" t="s">
        <v>5347</v>
      </c>
      <c r="H1019" s="51" t="s">
        <v>5348</v>
      </c>
      <c r="I1019" s="14" t="s">
        <v>164</v>
      </c>
      <c r="J1019" s="14">
        <v>10.24943711</v>
      </c>
      <c r="K1019" s="14">
        <v>9.046658185</v>
      </c>
      <c r="L1019" s="14">
        <v>10.92511797</v>
      </c>
      <c r="M1019" s="14">
        <v>1.838193624</v>
      </c>
      <c r="N1019" s="14">
        <v>2.017002076</v>
      </c>
      <c r="O1019" s="14">
        <v>2.524440807</v>
      </c>
      <c r="P1019" s="14" t="s">
        <v>5349</v>
      </c>
      <c r="Q1019" s="14" t="s">
        <v>5350</v>
      </c>
      <c r="T1019" s="14" t="s">
        <v>5351</v>
      </c>
      <c r="U1019" s="14" t="s">
        <v>5352</v>
      </c>
    </row>
    <row r="1020" spans="1:21">
      <c r="A1020" s="14" t="s">
        <v>5353</v>
      </c>
      <c r="B1020" s="14">
        <v>245.1630764</v>
      </c>
      <c r="C1020" s="14">
        <v>57.22757313</v>
      </c>
      <c r="D1020" s="14">
        <v>433.0985796</v>
      </c>
      <c r="E1020" s="14">
        <v>7.54798827</v>
      </c>
      <c r="F1020" s="14">
        <v>2.916092181</v>
      </c>
      <c r="G1020" s="51" t="s">
        <v>5354</v>
      </c>
      <c r="H1020" s="51" t="s">
        <v>5355</v>
      </c>
      <c r="I1020" s="14" t="s">
        <v>164</v>
      </c>
      <c r="J1020" s="14">
        <v>2.635275872</v>
      </c>
      <c r="K1020" s="14">
        <v>2.502746887</v>
      </c>
      <c r="L1020" s="14">
        <v>4.181210201</v>
      </c>
      <c r="M1020" s="14">
        <v>0.218199491</v>
      </c>
      <c r="N1020" s="14">
        <v>0.180261992</v>
      </c>
      <c r="O1020" s="14">
        <v>0.646378249</v>
      </c>
      <c r="P1020" s="14" t="s">
        <v>5356</v>
      </c>
      <c r="Q1020" s="14" t="s">
        <v>5357</v>
      </c>
      <c r="T1020" s="14" t="s">
        <v>5358</v>
      </c>
      <c r="U1020" s="14" t="s">
        <v>5359</v>
      </c>
    </row>
    <row r="1021" spans="1:21">
      <c r="A1021" s="14" t="s">
        <v>5360</v>
      </c>
      <c r="B1021" s="14">
        <v>49.71207181</v>
      </c>
      <c r="C1021" s="14">
        <v>8.374126366</v>
      </c>
      <c r="D1021" s="14">
        <v>91.05001726</v>
      </c>
      <c r="E1021" s="14">
        <v>10.82166083</v>
      </c>
      <c r="F1021" s="14">
        <v>3.435850025</v>
      </c>
      <c r="G1021" s="14">
        <v>0.003987721</v>
      </c>
      <c r="H1021" s="14">
        <v>0.012182006</v>
      </c>
      <c r="I1021" s="14" t="s">
        <v>164</v>
      </c>
      <c r="J1021" s="14">
        <v>0.320689309</v>
      </c>
      <c r="K1021" s="14">
        <v>3.160587147</v>
      </c>
      <c r="L1021" s="14">
        <v>0.167253407</v>
      </c>
      <c r="M1021" s="14">
        <v>0.034297509</v>
      </c>
      <c r="N1021" s="14">
        <v>0.065808777</v>
      </c>
      <c r="O1021" s="14">
        <v>0.190151279</v>
      </c>
      <c r="P1021" s="14" t="s">
        <v>5361</v>
      </c>
      <c r="Q1021" s="14" t="s">
        <v>5362</v>
      </c>
      <c r="T1021" s="14" t="s">
        <v>5363</v>
      </c>
      <c r="U1021" s="14" t="s">
        <v>5364</v>
      </c>
    </row>
    <row r="1022" spans="1:21">
      <c r="A1022" s="14" t="s">
        <v>5365</v>
      </c>
      <c r="B1022" s="14">
        <v>1495.328955</v>
      </c>
      <c r="C1022" s="14">
        <v>937.3727734</v>
      </c>
      <c r="D1022" s="14">
        <v>2053.285137</v>
      </c>
      <c r="E1022" s="14">
        <v>2.189768259</v>
      </c>
      <c r="F1022" s="14">
        <v>1.130778199</v>
      </c>
      <c r="G1022" s="51" t="s">
        <v>5366</v>
      </c>
      <c r="H1022" s="51" t="s">
        <v>5367</v>
      </c>
      <c r="I1022" s="14" t="s">
        <v>164</v>
      </c>
      <c r="J1022" s="14">
        <v>36.5873558</v>
      </c>
      <c r="K1022" s="14">
        <v>34.01388589</v>
      </c>
      <c r="L1022" s="14">
        <v>38.74754237</v>
      </c>
      <c r="M1022" s="14">
        <v>12.46444413</v>
      </c>
      <c r="N1022" s="14">
        <v>11.6408089</v>
      </c>
      <c r="O1022" s="14">
        <v>17.31425666</v>
      </c>
      <c r="P1022" s="14" t="s">
        <v>5368</v>
      </c>
      <c r="Q1022" s="14" t="s">
        <v>5369</v>
      </c>
      <c r="R1022" s="14" t="s">
        <v>5370</v>
      </c>
      <c r="S1022" s="14" t="s">
        <v>5371</v>
      </c>
      <c r="T1022" s="14" t="s">
        <v>5372</v>
      </c>
      <c r="U1022" s="14" t="s">
        <v>5373</v>
      </c>
    </row>
    <row r="1023" spans="1:15">
      <c r="A1023" s="14" t="s">
        <v>5374</v>
      </c>
      <c r="B1023" s="14">
        <v>9.227839108</v>
      </c>
      <c r="C1023" s="14">
        <v>0.648076722</v>
      </c>
      <c r="D1023" s="14">
        <v>17.80760149</v>
      </c>
      <c r="E1023" s="14">
        <v>26.73485156</v>
      </c>
      <c r="F1023" s="14">
        <v>4.740649761</v>
      </c>
      <c r="G1023" s="14">
        <v>0.000305353</v>
      </c>
      <c r="H1023" s="14">
        <v>0.001283448</v>
      </c>
      <c r="I1023" s="14" t="s">
        <v>164</v>
      </c>
      <c r="J1023" s="14">
        <v>0.588384312</v>
      </c>
      <c r="K1023" s="14">
        <v>0.681060343</v>
      </c>
      <c r="L1023" s="14">
        <v>0.311589027</v>
      </c>
      <c r="M1023" s="14">
        <v>0</v>
      </c>
      <c r="N1023" s="14">
        <v>0.024148514</v>
      </c>
      <c r="O1023" s="14">
        <v>0.024626811</v>
      </c>
    </row>
    <row r="1024" spans="1:21">
      <c r="A1024" s="14" t="s">
        <v>5375</v>
      </c>
      <c r="B1024" s="14">
        <v>2951.645083</v>
      </c>
      <c r="C1024" s="14">
        <v>4258.081549</v>
      </c>
      <c r="D1024" s="14">
        <v>1645.208617</v>
      </c>
      <c r="E1024" s="14">
        <v>0.386380686</v>
      </c>
      <c r="F1024" s="14">
        <v>-1.371905115</v>
      </c>
      <c r="G1024" s="51" t="s">
        <v>5376</v>
      </c>
      <c r="H1024" s="51" t="s">
        <v>5377</v>
      </c>
      <c r="I1024" s="14" t="s">
        <v>147</v>
      </c>
      <c r="J1024" s="14">
        <v>26.32048737</v>
      </c>
      <c r="K1024" s="14">
        <v>40.72153583</v>
      </c>
      <c r="L1024" s="14">
        <v>29.19713519</v>
      </c>
      <c r="M1024" s="14">
        <v>78.29763128</v>
      </c>
      <c r="N1024" s="14">
        <v>71.02170724</v>
      </c>
      <c r="O1024" s="14">
        <v>53.89229599</v>
      </c>
      <c r="P1024" s="14" t="s">
        <v>5378</v>
      </c>
      <c r="Q1024" s="14" t="s">
        <v>5379</v>
      </c>
      <c r="T1024" s="14" t="s">
        <v>5380</v>
      </c>
      <c r="U1024" s="14" t="s">
        <v>5381</v>
      </c>
    </row>
    <row r="1025" spans="1:15">
      <c r="A1025" s="14" t="s">
        <v>5382</v>
      </c>
      <c r="B1025" s="14">
        <v>1421.948307</v>
      </c>
      <c r="C1025" s="14">
        <v>2258.866403</v>
      </c>
      <c r="D1025" s="14">
        <v>585.0302113</v>
      </c>
      <c r="E1025" s="14">
        <v>0.259008721</v>
      </c>
      <c r="F1025" s="14">
        <v>-1.948927419</v>
      </c>
      <c r="G1025" s="51" t="s">
        <v>5383</v>
      </c>
      <c r="H1025" s="51" t="s">
        <v>5384</v>
      </c>
      <c r="I1025" s="14" t="s">
        <v>147</v>
      </c>
      <c r="J1025" s="14">
        <v>10.60594272</v>
      </c>
      <c r="K1025" s="14">
        <v>11.96519581</v>
      </c>
      <c r="L1025" s="14">
        <v>10.31923168</v>
      </c>
      <c r="M1025" s="14">
        <v>39.3965128</v>
      </c>
      <c r="N1025" s="14">
        <v>35.87520757</v>
      </c>
      <c r="O1025" s="14">
        <v>28.37612753</v>
      </c>
    </row>
    <row r="1026" spans="1:15">
      <c r="A1026" s="14" t="s">
        <v>5385</v>
      </c>
      <c r="B1026" s="14">
        <v>280.6768389</v>
      </c>
      <c r="C1026" s="14">
        <v>31.48197207</v>
      </c>
      <c r="D1026" s="14">
        <v>529.8717056</v>
      </c>
      <c r="E1026" s="14">
        <v>16.74023628</v>
      </c>
      <c r="F1026" s="14">
        <v>4.065247986</v>
      </c>
      <c r="G1026" s="51" t="s">
        <v>5386</v>
      </c>
      <c r="H1026" s="51" t="s">
        <v>5387</v>
      </c>
      <c r="I1026" s="14" t="s">
        <v>164</v>
      </c>
      <c r="J1026" s="14">
        <v>42.7037979</v>
      </c>
      <c r="K1026" s="14">
        <v>37.35493899</v>
      </c>
      <c r="L1026" s="14">
        <v>50.16782118</v>
      </c>
      <c r="M1026" s="14">
        <v>1.525269735</v>
      </c>
      <c r="N1026" s="14">
        <v>2.128458519</v>
      </c>
      <c r="O1026" s="14">
        <v>2.781101455</v>
      </c>
    </row>
    <row r="1027" spans="1:21">
      <c r="A1027" s="14" t="s">
        <v>5388</v>
      </c>
      <c r="B1027" s="14">
        <v>344.3504024</v>
      </c>
      <c r="C1027" s="14">
        <v>226.8238878</v>
      </c>
      <c r="D1027" s="14">
        <v>461.8769171</v>
      </c>
      <c r="E1027" s="14">
        <v>2.033763985</v>
      </c>
      <c r="F1027" s="14">
        <v>1.024152266</v>
      </c>
      <c r="G1027" s="14">
        <v>0.000360829</v>
      </c>
      <c r="H1027" s="14">
        <v>0.001491289</v>
      </c>
      <c r="I1027" s="14" t="s">
        <v>164</v>
      </c>
      <c r="J1027" s="14">
        <v>4.649947578</v>
      </c>
      <c r="K1027" s="14">
        <v>4.640731331</v>
      </c>
      <c r="L1027" s="14">
        <v>4.458268333</v>
      </c>
      <c r="M1027" s="14">
        <v>1.404660834</v>
      </c>
      <c r="N1027" s="14">
        <v>1.444439225</v>
      </c>
      <c r="O1027" s="14">
        <v>2.814427799</v>
      </c>
      <c r="P1027" s="14" t="s">
        <v>5389</v>
      </c>
      <c r="Q1027" s="14" t="s">
        <v>5390</v>
      </c>
      <c r="R1027" s="14" t="s">
        <v>556</v>
      </c>
      <c r="S1027" s="14" t="s">
        <v>557</v>
      </c>
      <c r="T1027" s="14" t="s">
        <v>4520</v>
      </c>
      <c r="U1027" s="14" t="s">
        <v>4521</v>
      </c>
    </row>
    <row r="1028" spans="1:21">
      <c r="A1028" s="14" t="s">
        <v>5391</v>
      </c>
      <c r="B1028" s="14">
        <v>69.45675361</v>
      </c>
      <c r="C1028" s="14">
        <v>4.514393562</v>
      </c>
      <c r="D1028" s="14">
        <v>134.3991137</v>
      </c>
      <c r="E1028" s="14">
        <v>30.363956</v>
      </c>
      <c r="F1028" s="14">
        <v>4.924287861</v>
      </c>
      <c r="G1028" s="51" t="s">
        <v>5392</v>
      </c>
      <c r="H1028" s="51" t="s">
        <v>5393</v>
      </c>
      <c r="I1028" s="14" t="s">
        <v>164</v>
      </c>
      <c r="J1028" s="14">
        <v>3.591839696</v>
      </c>
      <c r="K1028" s="14">
        <v>3.210131689</v>
      </c>
      <c r="L1028" s="14">
        <v>5.843504851</v>
      </c>
      <c r="M1028" s="14">
        <v>0.158956501</v>
      </c>
      <c r="N1028" s="14">
        <v>0.152499891</v>
      </c>
      <c r="O1028" s="14">
        <v>0.025920063</v>
      </c>
      <c r="P1028" s="14" t="s">
        <v>5394</v>
      </c>
      <c r="Q1028" s="14" t="s">
        <v>5395</v>
      </c>
      <c r="T1028" s="14" t="s">
        <v>5396</v>
      </c>
      <c r="U1028" s="14" t="s">
        <v>5397</v>
      </c>
    </row>
    <row r="1029" spans="1:21">
      <c r="A1029" s="14" t="s">
        <v>5398</v>
      </c>
      <c r="B1029" s="14">
        <v>5353.305872</v>
      </c>
      <c r="C1029" s="14">
        <v>10089.03263</v>
      </c>
      <c r="D1029" s="14">
        <v>617.5791145</v>
      </c>
      <c r="E1029" s="14">
        <v>0.061210054</v>
      </c>
      <c r="F1029" s="14">
        <v>-4.030087546</v>
      </c>
      <c r="G1029" s="51" t="s">
        <v>5399</v>
      </c>
      <c r="H1029" s="51" t="s">
        <v>5400</v>
      </c>
      <c r="I1029" s="14" t="s">
        <v>147</v>
      </c>
      <c r="J1029" s="14">
        <v>6.267725098</v>
      </c>
      <c r="K1029" s="14">
        <v>12.7446097</v>
      </c>
      <c r="L1029" s="14">
        <v>7.212082255</v>
      </c>
      <c r="M1029" s="14">
        <v>142.8913076</v>
      </c>
      <c r="N1029" s="14">
        <v>143.2010324</v>
      </c>
      <c r="O1029" s="14">
        <v>60.13717408</v>
      </c>
      <c r="P1029" s="14" t="s">
        <v>5401</v>
      </c>
      <c r="Q1029" s="14" t="s">
        <v>5402</v>
      </c>
      <c r="R1029" s="14" t="s">
        <v>294</v>
      </c>
      <c r="S1029" s="14" t="s">
        <v>295</v>
      </c>
      <c r="T1029" s="14" t="s">
        <v>5403</v>
      </c>
      <c r="U1029" s="14" t="s">
        <v>5404</v>
      </c>
    </row>
    <row r="1030" spans="1:21">
      <c r="A1030" s="14" t="s">
        <v>5405</v>
      </c>
      <c r="B1030" s="14">
        <v>21.32310078</v>
      </c>
      <c r="C1030" s="14">
        <v>1.447584975</v>
      </c>
      <c r="D1030" s="14">
        <v>41.19861658</v>
      </c>
      <c r="E1030" s="14">
        <v>29.64688999</v>
      </c>
      <c r="F1030" s="14">
        <v>4.889808866</v>
      </c>
      <c r="G1030" s="51" t="s">
        <v>5406</v>
      </c>
      <c r="H1030" s="14">
        <v>0.000177348</v>
      </c>
      <c r="I1030" s="14" t="s">
        <v>164</v>
      </c>
      <c r="J1030" s="14">
        <v>0.524822335</v>
      </c>
      <c r="K1030" s="14">
        <v>0.298575723</v>
      </c>
      <c r="L1030" s="14">
        <v>0.604192803</v>
      </c>
      <c r="M1030" s="14">
        <v>0.03904654</v>
      </c>
      <c r="N1030" s="14">
        <v>0</v>
      </c>
      <c r="O1030" s="14">
        <v>0</v>
      </c>
      <c r="P1030" s="14" t="s">
        <v>5407</v>
      </c>
      <c r="Q1030" s="14" t="s">
        <v>5408</v>
      </c>
      <c r="T1030" s="14" t="s">
        <v>5409</v>
      </c>
      <c r="U1030" s="14" t="s">
        <v>5410</v>
      </c>
    </row>
    <row r="1031" spans="1:21">
      <c r="A1031" s="14" t="s">
        <v>5411</v>
      </c>
      <c r="B1031" s="14">
        <v>523.3765243</v>
      </c>
      <c r="C1031" s="14">
        <v>254.6520208</v>
      </c>
      <c r="D1031" s="14">
        <v>792.1010278</v>
      </c>
      <c r="E1031" s="14">
        <v>3.108220955</v>
      </c>
      <c r="F1031" s="14">
        <v>1.636089065</v>
      </c>
      <c r="G1031" s="14">
        <v>0.00084354</v>
      </c>
      <c r="H1031" s="14">
        <v>0.003152743</v>
      </c>
      <c r="I1031" s="14" t="s">
        <v>164</v>
      </c>
      <c r="J1031" s="14">
        <v>2.304241964</v>
      </c>
      <c r="K1031" s="14">
        <v>3.196388447</v>
      </c>
      <c r="L1031" s="14">
        <v>2.75920311</v>
      </c>
      <c r="M1031" s="14">
        <v>0.442039734</v>
      </c>
      <c r="N1031" s="14">
        <v>0.387330643</v>
      </c>
      <c r="O1031" s="14">
        <v>1.435847764</v>
      </c>
      <c r="P1031" s="14" t="s">
        <v>5412</v>
      </c>
      <c r="Q1031" s="14" t="s">
        <v>5413</v>
      </c>
      <c r="R1031" s="14" t="s">
        <v>4352</v>
      </c>
      <c r="S1031" s="14" t="s">
        <v>4353</v>
      </c>
      <c r="T1031" s="14" t="s">
        <v>5414</v>
      </c>
      <c r="U1031" s="14" t="s">
        <v>5415</v>
      </c>
    </row>
    <row r="1032" spans="1:21">
      <c r="A1032" s="14" t="s">
        <v>5416</v>
      </c>
      <c r="B1032" s="14">
        <v>122.3622105</v>
      </c>
      <c r="C1032" s="14">
        <v>15.68664387</v>
      </c>
      <c r="D1032" s="14">
        <v>229.0377771</v>
      </c>
      <c r="E1032" s="14">
        <v>14.51998183</v>
      </c>
      <c r="F1032" s="14">
        <v>3.859967743</v>
      </c>
      <c r="G1032" s="14">
        <v>0.000137736</v>
      </c>
      <c r="H1032" s="14">
        <v>0.000631692</v>
      </c>
      <c r="I1032" s="14" t="s">
        <v>164</v>
      </c>
      <c r="J1032" s="14">
        <v>6.592834012</v>
      </c>
      <c r="K1032" s="14">
        <v>2.449875911</v>
      </c>
      <c r="L1032" s="14">
        <v>4.262693039</v>
      </c>
      <c r="M1032" s="14">
        <v>0.016397657</v>
      </c>
      <c r="N1032" s="14">
        <v>0.094389628</v>
      </c>
      <c r="O1032" s="14">
        <v>0.689857268</v>
      </c>
      <c r="P1032" s="14" t="s">
        <v>5417</v>
      </c>
      <c r="Q1032" s="14" t="s">
        <v>5418</v>
      </c>
      <c r="R1032" s="14" t="s">
        <v>5419</v>
      </c>
      <c r="S1032" s="14" t="s">
        <v>5420</v>
      </c>
      <c r="T1032" s="14" t="s">
        <v>5421</v>
      </c>
      <c r="U1032" s="14" t="s">
        <v>5422</v>
      </c>
    </row>
    <row r="1033" spans="1:21">
      <c r="A1033" s="14" t="s">
        <v>5423</v>
      </c>
      <c r="B1033" s="14">
        <v>3.634848485</v>
      </c>
      <c r="C1033" s="14">
        <v>0.338987876</v>
      </c>
      <c r="D1033" s="14">
        <v>6.930709094</v>
      </c>
      <c r="E1033" s="14">
        <v>19.17044822</v>
      </c>
      <c r="F1033" s="14">
        <v>4.260812164</v>
      </c>
      <c r="G1033" s="14">
        <v>0.013222296</v>
      </c>
      <c r="H1033" s="14">
        <v>0.034238808</v>
      </c>
      <c r="I1033" s="14" t="s">
        <v>164</v>
      </c>
      <c r="J1033" s="14">
        <v>0.433861465</v>
      </c>
      <c r="K1033" s="14">
        <v>0.49128134</v>
      </c>
      <c r="L1033" s="14">
        <v>0.208871634</v>
      </c>
      <c r="M1033" s="14">
        <v>0</v>
      </c>
      <c r="N1033" s="14">
        <v>0.044516439</v>
      </c>
      <c r="O1033" s="14">
        <v>0</v>
      </c>
      <c r="P1033" s="14" t="s">
        <v>5424</v>
      </c>
      <c r="Q1033" s="14" t="s">
        <v>5425</v>
      </c>
      <c r="T1033" s="14" t="s">
        <v>5426</v>
      </c>
      <c r="U1033" s="14" t="s">
        <v>5427</v>
      </c>
    </row>
    <row r="1034" spans="1:15">
      <c r="A1034" s="14" t="s">
        <v>5428</v>
      </c>
      <c r="B1034" s="14">
        <v>22.42923048</v>
      </c>
      <c r="C1034" s="14">
        <v>33.14701242</v>
      </c>
      <c r="D1034" s="14">
        <v>11.71144855</v>
      </c>
      <c r="E1034" s="14">
        <v>0.353118798</v>
      </c>
      <c r="F1034" s="14">
        <v>-1.501774469</v>
      </c>
      <c r="G1034" s="14">
        <v>0.00525048</v>
      </c>
      <c r="H1034" s="14">
        <v>0.015453866</v>
      </c>
      <c r="I1034" s="14" t="s">
        <v>147</v>
      </c>
      <c r="J1034" s="14">
        <v>0.121853208</v>
      </c>
      <c r="K1034" s="14">
        <v>0.070085082</v>
      </c>
      <c r="L1034" s="14">
        <v>0.117326293</v>
      </c>
      <c r="M1034" s="14">
        <v>0.163832365</v>
      </c>
      <c r="N1034" s="14">
        <v>0.257199879</v>
      </c>
      <c r="O1034" s="14">
        <v>0.306009784</v>
      </c>
    </row>
    <row r="1035" spans="1:21">
      <c r="A1035" s="14" t="s">
        <v>5429</v>
      </c>
      <c r="B1035" s="14">
        <v>1316.29313</v>
      </c>
      <c r="C1035" s="14">
        <v>1906.582545</v>
      </c>
      <c r="D1035" s="14">
        <v>726.0037155</v>
      </c>
      <c r="E1035" s="14">
        <v>0.380848825</v>
      </c>
      <c r="F1035" s="14">
        <v>-1.392709649</v>
      </c>
      <c r="G1035" s="51" t="s">
        <v>5430</v>
      </c>
      <c r="H1035" s="51" t="s">
        <v>5431</v>
      </c>
      <c r="I1035" s="14" t="s">
        <v>147</v>
      </c>
      <c r="J1035" s="14">
        <v>5.999986608</v>
      </c>
      <c r="K1035" s="14">
        <v>7.343923768</v>
      </c>
      <c r="L1035" s="14">
        <v>7.016303849</v>
      </c>
      <c r="M1035" s="14">
        <v>15.77301155</v>
      </c>
      <c r="N1035" s="14">
        <v>15.73276107</v>
      </c>
      <c r="O1035" s="14">
        <v>12.14566676</v>
      </c>
      <c r="P1035" s="14" t="s">
        <v>5432</v>
      </c>
      <c r="Q1035" s="14" t="s">
        <v>5433</v>
      </c>
      <c r="T1035" s="14" t="s">
        <v>5434</v>
      </c>
      <c r="U1035" s="14" t="s">
        <v>5435</v>
      </c>
    </row>
    <row r="1036" spans="1:21">
      <c r="A1036" s="14" t="s">
        <v>5436</v>
      </c>
      <c r="B1036" s="14">
        <v>1892.96214</v>
      </c>
      <c r="C1036" s="14">
        <v>2554.871605</v>
      </c>
      <c r="D1036" s="14">
        <v>1231.052676</v>
      </c>
      <c r="E1036" s="14">
        <v>0.481919199</v>
      </c>
      <c r="F1036" s="14">
        <v>-1.053136817</v>
      </c>
      <c r="G1036" s="51" t="s">
        <v>5437</v>
      </c>
      <c r="H1036" s="14">
        <v>0.000368681</v>
      </c>
      <c r="I1036" s="14" t="s">
        <v>147</v>
      </c>
      <c r="J1036" s="14">
        <v>10.57159969</v>
      </c>
      <c r="K1036" s="14">
        <v>11.9865585</v>
      </c>
      <c r="L1036" s="14">
        <v>13.60291122</v>
      </c>
      <c r="M1036" s="14">
        <v>24.69758838</v>
      </c>
      <c r="N1036" s="14">
        <v>21.03783098</v>
      </c>
      <c r="O1036" s="14">
        <v>15.2250007</v>
      </c>
      <c r="P1036" s="14" t="s">
        <v>5438</v>
      </c>
      <c r="Q1036" s="14" t="s">
        <v>5439</v>
      </c>
      <c r="T1036" s="14" t="s">
        <v>5440</v>
      </c>
      <c r="U1036" s="14" t="s">
        <v>5441</v>
      </c>
    </row>
    <row r="1037" spans="1:21">
      <c r="A1037" s="14" t="s">
        <v>5442</v>
      </c>
      <c r="B1037" s="14">
        <v>8105.356678</v>
      </c>
      <c r="C1037" s="14">
        <v>3730.93712</v>
      </c>
      <c r="D1037" s="14">
        <v>12479.77624</v>
      </c>
      <c r="E1037" s="14">
        <v>3.344977791</v>
      </c>
      <c r="F1037" s="14">
        <v>1.741996632</v>
      </c>
      <c r="G1037" s="51" t="s">
        <v>5443</v>
      </c>
      <c r="H1037" s="51" t="s">
        <v>5444</v>
      </c>
      <c r="I1037" s="14" t="s">
        <v>164</v>
      </c>
      <c r="J1037" s="14">
        <v>688.026064</v>
      </c>
      <c r="K1037" s="14">
        <v>413.0437367</v>
      </c>
      <c r="L1037" s="14">
        <v>579.0372741</v>
      </c>
      <c r="M1037" s="14">
        <v>134.6663849</v>
      </c>
      <c r="N1037" s="14">
        <v>129.7432333</v>
      </c>
      <c r="O1037" s="14">
        <v>149.3772378</v>
      </c>
      <c r="Q1037" s="14" t="s">
        <v>5445</v>
      </c>
      <c r="T1037" s="14" t="s">
        <v>5446</v>
      </c>
      <c r="U1037" s="14" t="s">
        <v>5447</v>
      </c>
    </row>
    <row r="1038" spans="1:21">
      <c r="A1038" s="14" t="s">
        <v>5448</v>
      </c>
      <c r="B1038" s="14">
        <v>31.04761002</v>
      </c>
      <c r="C1038" s="14">
        <v>7.650333879</v>
      </c>
      <c r="D1038" s="14">
        <v>54.44488617</v>
      </c>
      <c r="E1038" s="14">
        <v>7.069767833</v>
      </c>
      <c r="F1038" s="14">
        <v>2.821662839</v>
      </c>
      <c r="G1038" s="14">
        <v>0.013744137</v>
      </c>
      <c r="H1038" s="14">
        <v>0.035425308</v>
      </c>
      <c r="I1038" s="14" t="s">
        <v>164</v>
      </c>
      <c r="J1038" s="14">
        <v>4.730382476</v>
      </c>
      <c r="K1038" s="14">
        <v>0.40425888</v>
      </c>
      <c r="L1038" s="14">
        <v>2.234354693</v>
      </c>
      <c r="M1038" s="14">
        <v>0.038181983</v>
      </c>
      <c r="N1038" s="14">
        <v>0.219786477</v>
      </c>
      <c r="O1038" s="14">
        <v>0.635062404</v>
      </c>
      <c r="Q1038" s="14" t="s">
        <v>5445</v>
      </c>
      <c r="T1038" s="14" t="s">
        <v>5446</v>
      </c>
      <c r="U1038" s="14" t="s">
        <v>5447</v>
      </c>
    </row>
    <row r="1039" spans="1:21">
      <c r="A1039" s="14" t="s">
        <v>5449</v>
      </c>
      <c r="B1039" s="14">
        <v>243.6278875</v>
      </c>
      <c r="C1039" s="14">
        <v>67.21316757</v>
      </c>
      <c r="D1039" s="14">
        <v>420.0426075</v>
      </c>
      <c r="E1039" s="14">
        <v>6.237374671</v>
      </c>
      <c r="F1039" s="14">
        <v>2.640938922</v>
      </c>
      <c r="G1039" s="51" t="s">
        <v>5450</v>
      </c>
      <c r="H1039" s="14">
        <v>0.000100925</v>
      </c>
      <c r="I1039" s="14" t="s">
        <v>164</v>
      </c>
      <c r="J1039" s="14">
        <v>5.004056185</v>
      </c>
      <c r="K1039" s="14">
        <v>1.714284804</v>
      </c>
      <c r="L1039" s="14">
        <v>3.615566761</v>
      </c>
      <c r="M1039" s="14">
        <v>0.215113067</v>
      </c>
      <c r="N1039" s="14">
        <v>0.286262721</v>
      </c>
      <c r="O1039" s="14">
        <v>0.909743374</v>
      </c>
      <c r="P1039" s="14" t="s">
        <v>5451</v>
      </c>
      <c r="Q1039" s="14" t="s">
        <v>5452</v>
      </c>
      <c r="T1039" s="14" t="s">
        <v>5453</v>
      </c>
      <c r="U1039" s="14" t="s">
        <v>5454</v>
      </c>
    </row>
    <row r="1040" spans="1:21">
      <c r="A1040" s="14" t="s">
        <v>5455</v>
      </c>
      <c r="B1040" s="14">
        <v>3099.304401</v>
      </c>
      <c r="C1040" s="14">
        <v>4365.3307</v>
      </c>
      <c r="D1040" s="14">
        <v>1833.278102</v>
      </c>
      <c r="E1040" s="14">
        <v>0.419980875</v>
      </c>
      <c r="F1040" s="14">
        <v>-1.251604464</v>
      </c>
      <c r="G1040" s="14">
        <v>0.00472044</v>
      </c>
      <c r="H1040" s="14">
        <v>0.014089342</v>
      </c>
      <c r="I1040" s="14" t="s">
        <v>147</v>
      </c>
      <c r="J1040" s="14">
        <v>12.66192895</v>
      </c>
      <c r="K1040" s="14">
        <v>26.46252742</v>
      </c>
      <c r="L1040" s="14">
        <v>24.06540339</v>
      </c>
      <c r="M1040" s="14">
        <v>51.65613183</v>
      </c>
      <c r="N1040" s="14">
        <v>47.93307588</v>
      </c>
      <c r="O1040" s="14">
        <v>21.71284063</v>
      </c>
      <c r="P1040" s="14" t="s">
        <v>5456</v>
      </c>
      <c r="Q1040" s="14" t="s">
        <v>5457</v>
      </c>
      <c r="R1040" s="14" t="s">
        <v>771</v>
      </c>
      <c r="S1040" s="14" t="s">
        <v>772</v>
      </c>
      <c r="T1040" s="14" t="s">
        <v>5458</v>
      </c>
      <c r="U1040" s="14" t="s">
        <v>5459</v>
      </c>
    </row>
    <row r="1041" spans="1:15">
      <c r="A1041" s="14" t="s">
        <v>5460</v>
      </c>
      <c r="B1041" s="14">
        <v>40.32487086</v>
      </c>
      <c r="C1041" s="14">
        <v>11.73721398</v>
      </c>
      <c r="D1041" s="14">
        <v>68.91252773</v>
      </c>
      <c r="E1041" s="14">
        <v>5.826111463</v>
      </c>
      <c r="F1041" s="14">
        <v>2.542533303</v>
      </c>
      <c r="G1041" s="14">
        <v>0.003980601</v>
      </c>
      <c r="H1041" s="14">
        <v>0.012163505</v>
      </c>
      <c r="I1041" s="14" t="s">
        <v>164</v>
      </c>
      <c r="J1041" s="14">
        <v>8.744959905</v>
      </c>
      <c r="K1041" s="14">
        <v>6.694527057</v>
      </c>
      <c r="L1041" s="14">
        <v>10.31756248</v>
      </c>
      <c r="M1041" s="14">
        <v>0.42152909</v>
      </c>
      <c r="N1041" s="14">
        <v>0.303305339</v>
      </c>
      <c r="O1041" s="14">
        <v>3.093127472</v>
      </c>
    </row>
    <row r="1042" spans="1:21">
      <c r="A1042" s="14" t="s">
        <v>5461</v>
      </c>
      <c r="B1042" s="14">
        <v>36.01355596</v>
      </c>
      <c r="C1042" s="14">
        <v>17.97721083</v>
      </c>
      <c r="D1042" s="14">
        <v>54.04990109</v>
      </c>
      <c r="E1042" s="14">
        <v>3.002223008</v>
      </c>
      <c r="F1042" s="14">
        <v>1.586031146</v>
      </c>
      <c r="G1042" s="14">
        <v>0.010946368</v>
      </c>
      <c r="H1042" s="14">
        <v>0.029176664</v>
      </c>
      <c r="I1042" s="14" t="s">
        <v>164</v>
      </c>
      <c r="J1042" s="14">
        <v>0.411414803</v>
      </c>
      <c r="K1042" s="14">
        <v>1.391380327</v>
      </c>
      <c r="L1042" s="14">
        <v>0.887332345</v>
      </c>
      <c r="M1042" s="14">
        <v>0.239362941</v>
      </c>
      <c r="N1042" s="14">
        <v>0.175607307</v>
      </c>
      <c r="O1042" s="14">
        <v>0.330619326</v>
      </c>
      <c r="P1042" s="14" t="s">
        <v>714</v>
      </c>
      <c r="Q1042" s="14" t="s">
        <v>715</v>
      </c>
      <c r="T1042" s="14" t="s">
        <v>716</v>
      </c>
      <c r="U1042" s="14" t="s">
        <v>717</v>
      </c>
    </row>
    <row r="1043" spans="1:21">
      <c r="A1043" s="14" t="s">
        <v>5462</v>
      </c>
      <c r="B1043" s="14">
        <v>879.1299391</v>
      </c>
      <c r="C1043" s="14">
        <v>441.5621319</v>
      </c>
      <c r="D1043" s="14">
        <v>1316.697746</v>
      </c>
      <c r="E1043" s="14">
        <v>2.980701341</v>
      </c>
      <c r="F1043" s="14">
        <v>1.575651828</v>
      </c>
      <c r="G1043" s="14">
        <v>0.004899824</v>
      </c>
      <c r="H1043" s="14">
        <v>0.014568615</v>
      </c>
      <c r="I1043" s="14" t="s">
        <v>164</v>
      </c>
      <c r="J1043" s="14">
        <v>9.796846777</v>
      </c>
      <c r="K1043" s="14">
        <v>7.91572963</v>
      </c>
      <c r="L1043" s="14">
        <v>10.55065842</v>
      </c>
      <c r="M1043" s="14">
        <v>1.199177585</v>
      </c>
      <c r="N1043" s="14">
        <v>1.307350599</v>
      </c>
      <c r="O1043" s="14">
        <v>5.629254978</v>
      </c>
      <c r="P1043" s="14" t="s">
        <v>5463</v>
      </c>
      <c r="Q1043" s="14" t="s">
        <v>5464</v>
      </c>
      <c r="T1043" s="14" t="s">
        <v>5465</v>
      </c>
      <c r="U1043" s="14" t="s">
        <v>5466</v>
      </c>
    </row>
    <row r="1044" spans="1:21">
      <c r="A1044" s="14" t="s">
        <v>5467</v>
      </c>
      <c r="B1044" s="14">
        <v>199.8513748</v>
      </c>
      <c r="C1044" s="14">
        <v>63.71221311</v>
      </c>
      <c r="D1044" s="14">
        <v>335.9905364</v>
      </c>
      <c r="E1044" s="14">
        <v>5.268109477</v>
      </c>
      <c r="F1044" s="14">
        <v>2.397285327</v>
      </c>
      <c r="G1044" s="14">
        <v>0.002586214</v>
      </c>
      <c r="H1044" s="14">
        <v>0.008359323</v>
      </c>
      <c r="I1044" s="14" t="s">
        <v>164</v>
      </c>
      <c r="J1044" s="14">
        <v>17.68120147</v>
      </c>
      <c r="K1044" s="14">
        <v>2.451036649</v>
      </c>
      <c r="L1044" s="14">
        <v>6.804636847</v>
      </c>
      <c r="M1044" s="14">
        <v>0.996451288</v>
      </c>
      <c r="N1044" s="14">
        <v>0.586622074</v>
      </c>
      <c r="O1044" s="14">
        <v>2.769634198</v>
      </c>
      <c r="P1044" s="14" t="s">
        <v>5468</v>
      </c>
      <c r="Q1044" s="14" t="s">
        <v>5469</v>
      </c>
      <c r="T1044" s="14" t="s">
        <v>5470</v>
      </c>
      <c r="U1044" s="14" t="s">
        <v>5471</v>
      </c>
    </row>
    <row r="1045" spans="1:21">
      <c r="A1045" s="14" t="s">
        <v>5472</v>
      </c>
      <c r="B1045" s="14">
        <v>753.989428</v>
      </c>
      <c r="C1045" s="14">
        <v>434.2195036</v>
      </c>
      <c r="D1045" s="14">
        <v>1073.759352</v>
      </c>
      <c r="E1045" s="14">
        <v>2.471490765</v>
      </c>
      <c r="F1045" s="14">
        <v>1.305381516</v>
      </c>
      <c r="G1045" s="51" t="s">
        <v>5473</v>
      </c>
      <c r="H1045" s="14">
        <v>0.000331121</v>
      </c>
      <c r="I1045" s="14" t="s">
        <v>164</v>
      </c>
      <c r="J1045" s="14">
        <v>14.22171413</v>
      </c>
      <c r="K1045" s="14">
        <v>10.3178829</v>
      </c>
      <c r="L1045" s="14">
        <v>13.81816403</v>
      </c>
      <c r="M1045" s="14">
        <v>3.074769752</v>
      </c>
      <c r="N1045" s="14">
        <v>3.172326249</v>
      </c>
      <c r="O1045" s="14">
        <v>6.785942923</v>
      </c>
      <c r="P1045" s="14" t="s">
        <v>5474</v>
      </c>
      <c r="Q1045" s="14" t="s">
        <v>5475</v>
      </c>
      <c r="T1045" s="14" t="s">
        <v>5476</v>
      </c>
      <c r="U1045" s="14" t="s">
        <v>5477</v>
      </c>
    </row>
    <row r="1046" spans="1:15">
      <c r="A1046" s="14" t="s">
        <v>5478</v>
      </c>
      <c r="B1046" s="14">
        <v>295.4689357</v>
      </c>
      <c r="C1046" s="14">
        <v>436.2508476</v>
      </c>
      <c r="D1046" s="14">
        <v>154.6870238</v>
      </c>
      <c r="E1046" s="14">
        <v>0.354736547</v>
      </c>
      <c r="F1046" s="14">
        <v>-1.495180123</v>
      </c>
      <c r="G1046" s="51" t="s">
        <v>5479</v>
      </c>
      <c r="H1046" s="51" t="s">
        <v>5480</v>
      </c>
      <c r="I1046" s="14" t="s">
        <v>147</v>
      </c>
      <c r="J1046" s="14">
        <v>2.828461134</v>
      </c>
      <c r="K1046" s="14">
        <v>1.862619499</v>
      </c>
      <c r="L1046" s="14">
        <v>2.361230321</v>
      </c>
      <c r="M1046" s="14">
        <v>5.445036804</v>
      </c>
      <c r="N1046" s="14">
        <v>6.273579486</v>
      </c>
      <c r="O1046" s="14">
        <v>4.521306036</v>
      </c>
    </row>
    <row r="1047" spans="1:21">
      <c r="A1047" s="14" t="s">
        <v>5481</v>
      </c>
      <c r="B1047" s="14">
        <v>440.6330146</v>
      </c>
      <c r="C1047" s="14">
        <v>643.270927</v>
      </c>
      <c r="D1047" s="14">
        <v>237.9951021</v>
      </c>
      <c r="E1047" s="14">
        <v>0.36997607</v>
      </c>
      <c r="F1047" s="14">
        <v>-1.434496135</v>
      </c>
      <c r="G1047" s="14">
        <v>0.016464245</v>
      </c>
      <c r="H1047" s="14">
        <v>0.041266018</v>
      </c>
      <c r="I1047" s="14" t="s">
        <v>147</v>
      </c>
      <c r="J1047" s="14">
        <v>8.365410777</v>
      </c>
      <c r="K1047" s="14">
        <v>14.44574866</v>
      </c>
      <c r="L1047" s="14">
        <v>5.649693823</v>
      </c>
      <c r="M1047" s="14">
        <v>26.42471792</v>
      </c>
      <c r="N1047" s="14">
        <v>27.95485903</v>
      </c>
      <c r="O1047" s="14">
        <v>7.533690302</v>
      </c>
      <c r="P1047" s="14" t="s">
        <v>5482</v>
      </c>
      <c r="Q1047" s="14" t="s">
        <v>5483</v>
      </c>
      <c r="T1047" s="14" t="s">
        <v>1440</v>
      </c>
      <c r="U1047" s="14" t="s">
        <v>1441</v>
      </c>
    </row>
    <row r="1048" spans="1:21">
      <c r="A1048" s="14" t="s">
        <v>5484</v>
      </c>
      <c r="B1048" s="14">
        <v>20.54460122</v>
      </c>
      <c r="C1048" s="14">
        <v>34.57011089</v>
      </c>
      <c r="D1048" s="14">
        <v>6.519091548</v>
      </c>
      <c r="E1048" s="14">
        <v>0.189051133</v>
      </c>
      <c r="F1048" s="14">
        <v>-2.403151597</v>
      </c>
      <c r="G1048" s="14">
        <v>0.000830957</v>
      </c>
      <c r="H1048" s="14">
        <v>0.003110282</v>
      </c>
      <c r="I1048" s="14" t="s">
        <v>147</v>
      </c>
      <c r="J1048" s="14">
        <v>0.150069862</v>
      </c>
      <c r="K1048" s="14">
        <v>0.067133244</v>
      </c>
      <c r="L1048" s="14">
        <v>0.112384752</v>
      </c>
      <c r="M1048" s="14">
        <v>0.54212902</v>
      </c>
      <c r="N1048" s="14">
        <v>0.615917881</v>
      </c>
      <c r="O1048" s="14">
        <v>0.251246816</v>
      </c>
      <c r="P1048" s="14" t="s">
        <v>5485</v>
      </c>
      <c r="Q1048" s="14" t="s">
        <v>5486</v>
      </c>
      <c r="T1048" s="14" t="s">
        <v>5487</v>
      </c>
      <c r="U1048" s="14" t="s">
        <v>5488</v>
      </c>
    </row>
    <row r="1049" spans="1:15">
      <c r="A1049" s="14" t="s">
        <v>5489</v>
      </c>
      <c r="B1049" s="14">
        <v>463.8690198</v>
      </c>
      <c r="C1049" s="14">
        <v>227.145623</v>
      </c>
      <c r="D1049" s="14">
        <v>700.5924166</v>
      </c>
      <c r="E1049" s="14">
        <v>3.08573304</v>
      </c>
      <c r="F1049" s="14">
        <v>1.625613253</v>
      </c>
      <c r="G1049" s="14">
        <v>0.000600581</v>
      </c>
      <c r="H1049" s="14">
        <v>0.002335332</v>
      </c>
      <c r="I1049" s="14" t="s">
        <v>164</v>
      </c>
      <c r="J1049" s="14">
        <v>24.88002677</v>
      </c>
      <c r="K1049" s="14">
        <v>64.09389793</v>
      </c>
      <c r="L1049" s="14">
        <v>41.50743525</v>
      </c>
      <c r="M1049" s="14">
        <v>12.96201953</v>
      </c>
      <c r="N1049" s="14">
        <v>14.55865627</v>
      </c>
      <c r="O1049" s="14">
        <v>6.753328314</v>
      </c>
    </row>
    <row r="1050" spans="1:21">
      <c r="A1050" s="14" t="s">
        <v>5490</v>
      </c>
      <c r="B1050" s="14">
        <v>47.09019612</v>
      </c>
      <c r="C1050" s="14">
        <v>9.845791214</v>
      </c>
      <c r="D1050" s="14">
        <v>84.33460102</v>
      </c>
      <c r="E1050" s="14">
        <v>8.525120409</v>
      </c>
      <c r="F1050" s="14">
        <v>3.091720211</v>
      </c>
      <c r="G1050" s="14">
        <v>0.012900205</v>
      </c>
      <c r="H1050" s="14">
        <v>0.033516824</v>
      </c>
      <c r="I1050" s="14" t="s">
        <v>164</v>
      </c>
      <c r="J1050" s="14">
        <v>5.196168957</v>
      </c>
      <c r="K1050" s="14">
        <v>1.226813407</v>
      </c>
      <c r="L1050" s="14">
        <v>1.760359977</v>
      </c>
      <c r="M1050" s="14">
        <v>0.137216501</v>
      </c>
      <c r="N1050" s="14">
        <v>0</v>
      </c>
      <c r="O1050" s="14">
        <v>0.698101686</v>
      </c>
      <c r="P1050" s="14" t="s">
        <v>5491</v>
      </c>
      <c r="Q1050" s="14" t="s">
        <v>5492</v>
      </c>
      <c r="T1050" s="14" t="s">
        <v>5493</v>
      </c>
      <c r="U1050" s="14" t="s">
        <v>5494</v>
      </c>
    </row>
    <row r="1051" spans="1:21">
      <c r="A1051" s="14" t="s">
        <v>5495</v>
      </c>
      <c r="B1051" s="14">
        <v>3.449152319</v>
      </c>
      <c r="C1051" s="14">
        <v>0.309088846</v>
      </c>
      <c r="D1051" s="14">
        <v>6.589215792</v>
      </c>
      <c r="E1051" s="14">
        <v>18.23033756</v>
      </c>
      <c r="F1051" s="14">
        <v>4.18826937</v>
      </c>
      <c r="G1051" s="14">
        <v>0.018217331</v>
      </c>
      <c r="H1051" s="14">
        <v>0.044939111</v>
      </c>
      <c r="I1051" s="14" t="s">
        <v>164</v>
      </c>
      <c r="J1051" s="14">
        <v>0.351909855</v>
      </c>
      <c r="K1051" s="14">
        <v>0.974071397</v>
      </c>
      <c r="L1051" s="14">
        <v>0.423545258</v>
      </c>
      <c r="M1051" s="14">
        <v>0</v>
      </c>
      <c r="N1051" s="14">
        <v>0</v>
      </c>
      <c r="O1051" s="14">
        <v>0.073645892</v>
      </c>
      <c r="P1051" s="14" t="s">
        <v>5496</v>
      </c>
      <c r="Q1051" s="14" t="s">
        <v>5497</v>
      </c>
      <c r="R1051" s="14" t="s">
        <v>1036</v>
      </c>
      <c r="S1051" s="14" t="s">
        <v>1037</v>
      </c>
      <c r="T1051" s="14" t="s">
        <v>5498</v>
      </c>
      <c r="U1051" s="14" t="s">
        <v>5499</v>
      </c>
    </row>
    <row r="1052" spans="1:21">
      <c r="A1052" s="14" t="s">
        <v>5500</v>
      </c>
      <c r="B1052" s="14">
        <v>6925.050121</v>
      </c>
      <c r="C1052" s="14">
        <v>3292.440998</v>
      </c>
      <c r="D1052" s="14">
        <v>10557.65924</v>
      </c>
      <c r="E1052" s="14">
        <v>3.206856522</v>
      </c>
      <c r="F1052" s="14">
        <v>1.681159808</v>
      </c>
      <c r="G1052" s="51" t="s">
        <v>5501</v>
      </c>
      <c r="H1052" s="51" t="s">
        <v>4477</v>
      </c>
      <c r="I1052" s="14" t="s">
        <v>164</v>
      </c>
      <c r="J1052" s="14">
        <v>44.16453397</v>
      </c>
      <c r="K1052" s="14">
        <v>27.40224942</v>
      </c>
      <c r="L1052" s="14">
        <v>38.52311549</v>
      </c>
      <c r="M1052" s="14">
        <v>10.34432231</v>
      </c>
      <c r="N1052" s="14">
        <v>10.66951914</v>
      </c>
      <c r="O1052" s="14">
        <v>6.887266582</v>
      </c>
      <c r="P1052" s="14" t="s">
        <v>5502</v>
      </c>
      <c r="Q1052" s="14" t="s">
        <v>5503</v>
      </c>
      <c r="T1052" s="14" t="s">
        <v>5504</v>
      </c>
      <c r="U1052" s="14" t="s">
        <v>5505</v>
      </c>
    </row>
    <row r="1053" spans="1:21">
      <c r="A1053" s="14" t="s">
        <v>5506</v>
      </c>
      <c r="B1053" s="14">
        <v>327.0696865</v>
      </c>
      <c r="C1053" s="14">
        <v>201.5965436</v>
      </c>
      <c r="D1053" s="14">
        <v>452.5428294</v>
      </c>
      <c r="E1053" s="14">
        <v>2.246761726</v>
      </c>
      <c r="F1053" s="14">
        <v>1.167847131</v>
      </c>
      <c r="G1053" s="14">
        <v>0.001059447</v>
      </c>
      <c r="H1053" s="14">
        <v>0.003860484</v>
      </c>
      <c r="I1053" s="14" t="s">
        <v>164</v>
      </c>
      <c r="J1053" s="14">
        <v>8.271088838</v>
      </c>
      <c r="K1053" s="14">
        <v>6.459127735</v>
      </c>
      <c r="L1053" s="14">
        <v>6.987407012</v>
      </c>
      <c r="M1053" s="14">
        <v>2.901175772</v>
      </c>
      <c r="N1053" s="14">
        <v>3.316589255</v>
      </c>
      <c r="O1053" s="14">
        <v>1.618188472</v>
      </c>
      <c r="P1053" s="14" t="s">
        <v>5507</v>
      </c>
      <c r="Q1053" s="14" t="s">
        <v>5508</v>
      </c>
      <c r="R1053" s="14" t="s">
        <v>1527</v>
      </c>
      <c r="S1053" s="14" t="s">
        <v>1528</v>
      </c>
      <c r="T1053" s="14" t="s">
        <v>5509</v>
      </c>
      <c r="U1053" s="14" t="s">
        <v>5510</v>
      </c>
    </row>
    <row r="1054" spans="1:15">
      <c r="A1054" s="14" t="s">
        <v>5511</v>
      </c>
      <c r="B1054" s="14">
        <v>6964.084249</v>
      </c>
      <c r="C1054" s="14">
        <v>10950.22019</v>
      </c>
      <c r="D1054" s="14">
        <v>2977.948309</v>
      </c>
      <c r="E1054" s="14">
        <v>0.271952926</v>
      </c>
      <c r="F1054" s="14">
        <v>-1.878571145</v>
      </c>
      <c r="G1054" s="51" t="s">
        <v>5512</v>
      </c>
      <c r="H1054" s="51" t="s">
        <v>5513</v>
      </c>
      <c r="I1054" s="14" t="s">
        <v>147</v>
      </c>
      <c r="J1054" s="14">
        <v>89.04968917</v>
      </c>
      <c r="K1054" s="14">
        <v>80.3055453</v>
      </c>
      <c r="L1054" s="14">
        <v>78.54117372</v>
      </c>
      <c r="M1054" s="14">
        <v>253.2467738</v>
      </c>
      <c r="N1054" s="14">
        <v>246.8418004</v>
      </c>
      <c r="O1054" s="14">
        <v>249.153259</v>
      </c>
    </row>
    <row r="1055" spans="1:21">
      <c r="A1055" s="14" t="s">
        <v>5514</v>
      </c>
      <c r="B1055" s="14">
        <v>505.9759542</v>
      </c>
      <c r="C1055" s="14">
        <v>682.2792394</v>
      </c>
      <c r="D1055" s="14">
        <v>329.672669</v>
      </c>
      <c r="E1055" s="14">
        <v>0.483283596</v>
      </c>
      <c r="F1055" s="14">
        <v>-1.049058068</v>
      </c>
      <c r="G1055" s="51" t="s">
        <v>5515</v>
      </c>
      <c r="H1055" s="14">
        <v>0.000258308</v>
      </c>
      <c r="I1055" s="14" t="s">
        <v>147</v>
      </c>
      <c r="J1055" s="14">
        <v>4.506753754</v>
      </c>
      <c r="K1055" s="14">
        <v>7.33471407</v>
      </c>
      <c r="L1055" s="14">
        <v>6.299020619</v>
      </c>
      <c r="M1055" s="14">
        <v>10.4950378</v>
      </c>
      <c r="N1055" s="14">
        <v>11.11290873</v>
      </c>
      <c r="O1055" s="14">
        <v>9.127261393</v>
      </c>
      <c r="P1055" s="14" t="s">
        <v>5516</v>
      </c>
      <c r="Q1055" s="14" t="s">
        <v>5517</v>
      </c>
      <c r="T1055" s="14" t="s">
        <v>5518</v>
      </c>
      <c r="U1055" s="14" t="s">
        <v>5519</v>
      </c>
    </row>
    <row r="1056" spans="1:15">
      <c r="A1056" s="14" t="s">
        <v>5520</v>
      </c>
      <c r="B1056" s="14">
        <v>44.07250633</v>
      </c>
      <c r="C1056" s="14">
        <v>20.08415259</v>
      </c>
      <c r="D1056" s="14">
        <v>68.06086006</v>
      </c>
      <c r="E1056" s="14">
        <v>3.376416174</v>
      </c>
      <c r="F1056" s="14">
        <v>1.75549274</v>
      </c>
      <c r="G1056" s="14">
        <v>0.001664068</v>
      </c>
      <c r="H1056" s="14">
        <v>0.005719181</v>
      </c>
      <c r="I1056" s="14" t="s">
        <v>164</v>
      </c>
      <c r="J1056" s="14">
        <v>0.999639631</v>
      </c>
      <c r="K1056" s="14">
        <v>0.581879796</v>
      </c>
      <c r="L1056" s="14">
        <v>0.904520381</v>
      </c>
      <c r="M1056" s="14">
        <v>0.082437241</v>
      </c>
      <c r="N1056" s="14">
        <v>0.266924516</v>
      </c>
      <c r="O1056" s="14">
        <v>0.262129447</v>
      </c>
    </row>
    <row r="1057" spans="1:21">
      <c r="A1057" s="14" t="s">
        <v>5521</v>
      </c>
      <c r="B1057" s="14">
        <v>847.5376177</v>
      </c>
      <c r="C1057" s="14">
        <v>109.4375818</v>
      </c>
      <c r="D1057" s="14">
        <v>1585.637654</v>
      </c>
      <c r="E1057" s="14">
        <v>14.47010376</v>
      </c>
      <c r="F1057" s="14">
        <v>3.855003362</v>
      </c>
      <c r="G1057" s="51" t="s">
        <v>5522</v>
      </c>
      <c r="H1057" s="51" t="s">
        <v>5523</v>
      </c>
      <c r="I1057" s="14" t="s">
        <v>164</v>
      </c>
      <c r="J1057" s="14">
        <v>50.23534961</v>
      </c>
      <c r="K1057" s="14">
        <v>24.2575341</v>
      </c>
      <c r="L1057" s="14">
        <v>35.37965795</v>
      </c>
      <c r="M1057" s="14">
        <v>0.469524977</v>
      </c>
      <c r="N1057" s="14">
        <v>1.351360421</v>
      </c>
      <c r="O1057" s="14">
        <v>4.727738154</v>
      </c>
      <c r="P1057" s="14" t="s">
        <v>5524</v>
      </c>
      <c r="Q1057" s="14" t="s">
        <v>5525</v>
      </c>
      <c r="T1057" s="14" t="s">
        <v>5526</v>
      </c>
      <c r="U1057" s="14" t="s">
        <v>5527</v>
      </c>
    </row>
    <row r="1058" spans="1:21">
      <c r="A1058" s="14" t="s">
        <v>5528</v>
      </c>
      <c r="B1058" s="14">
        <v>3.931156525</v>
      </c>
      <c r="C1058" s="14">
        <v>0.338987876</v>
      </c>
      <c r="D1058" s="14">
        <v>7.523325174</v>
      </c>
      <c r="E1058" s="14">
        <v>20.83095937</v>
      </c>
      <c r="F1058" s="14">
        <v>4.380657379</v>
      </c>
      <c r="G1058" s="14">
        <v>0.007992314</v>
      </c>
      <c r="H1058" s="14">
        <v>0.022237907</v>
      </c>
      <c r="I1058" s="14" t="s">
        <v>164</v>
      </c>
      <c r="J1058" s="14">
        <v>0.254480267</v>
      </c>
      <c r="K1058" s="14">
        <v>0.153685194</v>
      </c>
      <c r="L1058" s="14">
        <v>0.171518327</v>
      </c>
      <c r="M1058" s="14">
        <v>0</v>
      </c>
      <c r="N1058" s="14">
        <v>0.020888797</v>
      </c>
      <c r="O1058" s="14">
        <v>0</v>
      </c>
      <c r="P1058" s="14" t="s">
        <v>5529</v>
      </c>
      <c r="Q1058" s="14" t="s">
        <v>5530</v>
      </c>
      <c r="T1058" s="14" t="s">
        <v>5531</v>
      </c>
      <c r="U1058" s="14" t="s">
        <v>5532</v>
      </c>
    </row>
    <row r="1059" spans="1:21">
      <c r="A1059" s="14" t="s">
        <v>5533</v>
      </c>
      <c r="B1059" s="14">
        <v>137.0577451</v>
      </c>
      <c r="C1059" s="14">
        <v>59.39548445</v>
      </c>
      <c r="D1059" s="14">
        <v>214.7200057</v>
      </c>
      <c r="E1059" s="14">
        <v>3.606871474</v>
      </c>
      <c r="F1059" s="14">
        <v>1.850748016</v>
      </c>
      <c r="G1059" s="14">
        <v>0.002075129</v>
      </c>
      <c r="H1059" s="14">
        <v>0.006924741</v>
      </c>
      <c r="I1059" s="14" t="s">
        <v>164</v>
      </c>
      <c r="J1059" s="14">
        <v>1.555084467</v>
      </c>
      <c r="K1059" s="14">
        <v>0.873925089</v>
      </c>
      <c r="L1059" s="14">
        <v>1.796774645</v>
      </c>
      <c r="M1059" s="14">
        <v>0.133052203</v>
      </c>
      <c r="N1059" s="14">
        <v>0.223383638</v>
      </c>
      <c r="O1059" s="14">
        <v>0.640032222</v>
      </c>
      <c r="P1059" s="14" t="s">
        <v>5534</v>
      </c>
      <c r="Q1059" s="14" t="s">
        <v>5535</v>
      </c>
      <c r="R1059" s="14" t="s">
        <v>5536</v>
      </c>
      <c r="S1059" s="14" t="s">
        <v>5537</v>
      </c>
      <c r="T1059" s="14" t="s">
        <v>5538</v>
      </c>
      <c r="U1059" s="14" t="s">
        <v>5539</v>
      </c>
    </row>
    <row r="1060" spans="1:21">
      <c r="A1060" s="14" t="s">
        <v>5540</v>
      </c>
      <c r="B1060" s="14">
        <v>776.931797</v>
      </c>
      <c r="C1060" s="14">
        <v>407.77387</v>
      </c>
      <c r="D1060" s="14">
        <v>1146.089724</v>
      </c>
      <c r="E1060" s="14">
        <v>2.809136199</v>
      </c>
      <c r="F1060" s="14">
        <v>1.490126574</v>
      </c>
      <c r="G1060" s="14">
        <v>0.000175822</v>
      </c>
      <c r="H1060" s="14">
        <v>0.000784351</v>
      </c>
      <c r="I1060" s="14" t="s">
        <v>164</v>
      </c>
      <c r="J1060" s="14">
        <v>8.415741685</v>
      </c>
      <c r="K1060" s="14">
        <v>5.668900224</v>
      </c>
      <c r="L1060" s="14">
        <v>8.471698495</v>
      </c>
      <c r="M1060" s="14">
        <v>1.404562366</v>
      </c>
      <c r="N1060" s="14">
        <v>1.544577645</v>
      </c>
      <c r="O1060" s="14">
        <v>3.829293259</v>
      </c>
      <c r="P1060" s="14" t="s">
        <v>5541</v>
      </c>
      <c r="Q1060" s="14" t="s">
        <v>5542</v>
      </c>
      <c r="T1060" s="14" t="s">
        <v>5543</v>
      </c>
      <c r="U1060" s="14" t="s">
        <v>5544</v>
      </c>
    </row>
    <row r="1061" spans="1:21">
      <c r="A1061" s="14" t="s">
        <v>5545</v>
      </c>
      <c r="B1061" s="14">
        <v>5.892095359</v>
      </c>
      <c r="C1061" s="14">
        <v>10.51443329</v>
      </c>
      <c r="D1061" s="14">
        <v>1.269757423</v>
      </c>
      <c r="E1061" s="14">
        <v>0.122810592</v>
      </c>
      <c r="F1061" s="14">
        <v>-3.025493104</v>
      </c>
      <c r="G1061" s="14">
        <v>0.013140594</v>
      </c>
      <c r="H1061" s="14">
        <v>0.034061904</v>
      </c>
      <c r="I1061" s="14" t="s">
        <v>147</v>
      </c>
      <c r="J1061" s="14">
        <v>0.046654716</v>
      </c>
      <c r="K1061" s="14">
        <v>0</v>
      </c>
      <c r="L1061" s="14">
        <v>0.1347644</v>
      </c>
      <c r="M1061" s="14">
        <v>0.47901033</v>
      </c>
      <c r="N1061" s="14">
        <v>0.382961287</v>
      </c>
      <c r="O1061" s="14">
        <v>0.351491758</v>
      </c>
      <c r="P1061" s="14" t="s">
        <v>5541</v>
      </c>
      <c r="Q1061" s="14" t="s">
        <v>5542</v>
      </c>
      <c r="T1061" s="14" t="s">
        <v>5543</v>
      </c>
      <c r="U1061" s="14" t="s">
        <v>5544</v>
      </c>
    </row>
    <row r="1062" spans="1:21">
      <c r="A1062" s="14" t="s">
        <v>5546</v>
      </c>
      <c r="B1062" s="14">
        <v>518.9249635</v>
      </c>
      <c r="C1062" s="14">
        <v>66.2233917</v>
      </c>
      <c r="D1062" s="14">
        <v>971.6265353</v>
      </c>
      <c r="E1062" s="14">
        <v>14.63941618</v>
      </c>
      <c r="F1062" s="14">
        <v>3.871786115</v>
      </c>
      <c r="G1062" s="51" t="s">
        <v>5547</v>
      </c>
      <c r="H1062" s="51" t="s">
        <v>5548</v>
      </c>
      <c r="I1062" s="14" t="s">
        <v>164</v>
      </c>
      <c r="J1062" s="14">
        <v>14.55701617</v>
      </c>
      <c r="K1062" s="14">
        <v>12.46984816</v>
      </c>
      <c r="L1062" s="14">
        <v>16.43035518</v>
      </c>
      <c r="M1062" s="14">
        <v>0.378568568</v>
      </c>
      <c r="N1062" s="14">
        <v>0.266340505</v>
      </c>
      <c r="O1062" s="14">
        <v>1.913656565</v>
      </c>
      <c r="P1062" s="14" t="s">
        <v>5549</v>
      </c>
      <c r="Q1062" s="14" t="s">
        <v>5550</v>
      </c>
      <c r="T1062" s="14" t="s">
        <v>5551</v>
      </c>
      <c r="U1062" s="14" t="s">
        <v>5552</v>
      </c>
    </row>
    <row r="1063" spans="1:21">
      <c r="A1063" s="14" t="s">
        <v>5553</v>
      </c>
      <c r="B1063" s="14">
        <v>825.4289118</v>
      </c>
      <c r="C1063" s="14">
        <v>360.3405389</v>
      </c>
      <c r="D1063" s="14">
        <v>1290.517285</v>
      </c>
      <c r="E1063" s="14">
        <v>3.579556401</v>
      </c>
      <c r="F1063" s="14">
        <v>1.839780812</v>
      </c>
      <c r="G1063" s="14">
        <v>0.000479749</v>
      </c>
      <c r="H1063" s="14">
        <v>0.001912312</v>
      </c>
      <c r="I1063" s="14" t="s">
        <v>164</v>
      </c>
      <c r="J1063" s="14">
        <v>21.68460545</v>
      </c>
      <c r="K1063" s="14">
        <v>12.2221774</v>
      </c>
      <c r="L1063" s="14">
        <v>14.26752143</v>
      </c>
      <c r="M1063" s="14">
        <v>1.835282906</v>
      </c>
      <c r="N1063" s="14">
        <v>2.205979667</v>
      </c>
      <c r="O1063" s="14">
        <v>7.461069269</v>
      </c>
      <c r="P1063" s="14" t="s">
        <v>5554</v>
      </c>
      <c r="Q1063" s="14" t="s">
        <v>5555</v>
      </c>
      <c r="T1063" s="14" t="s">
        <v>5556</v>
      </c>
      <c r="U1063" s="14" t="s">
        <v>5557</v>
      </c>
    </row>
    <row r="1064" spans="1:21">
      <c r="A1064" s="14" t="s">
        <v>5558</v>
      </c>
      <c r="B1064" s="14">
        <v>54.76962522</v>
      </c>
      <c r="C1064" s="14">
        <v>30.23704789</v>
      </c>
      <c r="D1064" s="14">
        <v>79.30220255</v>
      </c>
      <c r="E1064" s="14">
        <v>2.632731342</v>
      </c>
      <c r="F1064" s="14">
        <v>1.396560309</v>
      </c>
      <c r="G1064" s="14">
        <v>0.007963982</v>
      </c>
      <c r="H1064" s="14">
        <v>0.022166002</v>
      </c>
      <c r="I1064" s="14" t="s">
        <v>164</v>
      </c>
      <c r="J1064" s="14">
        <v>1.872762548</v>
      </c>
      <c r="K1064" s="14">
        <v>1.30345153</v>
      </c>
      <c r="L1064" s="14">
        <v>1.611359816</v>
      </c>
      <c r="M1064" s="14">
        <v>0.613656656</v>
      </c>
      <c r="N1064" s="14">
        <v>0.62143797</v>
      </c>
      <c r="O1064" s="14">
        <v>0.233485539</v>
      </c>
      <c r="P1064" s="14" t="s">
        <v>5559</v>
      </c>
      <c r="Q1064" s="14" t="s">
        <v>5560</v>
      </c>
      <c r="T1064" s="14" t="s">
        <v>5561</v>
      </c>
      <c r="U1064" s="14" t="s">
        <v>5562</v>
      </c>
    </row>
    <row r="1065" spans="1:15">
      <c r="A1065" s="14" t="s">
        <v>5563</v>
      </c>
      <c r="B1065" s="14">
        <v>4937.441649</v>
      </c>
      <c r="C1065" s="14">
        <v>6993.277726</v>
      </c>
      <c r="D1065" s="14">
        <v>2881.605572</v>
      </c>
      <c r="E1065" s="14">
        <v>0.412066963</v>
      </c>
      <c r="F1065" s="14">
        <v>-1.279049291</v>
      </c>
      <c r="G1065" s="51" t="s">
        <v>5564</v>
      </c>
      <c r="H1065" s="51" t="s">
        <v>5565</v>
      </c>
      <c r="I1065" s="14" t="s">
        <v>147</v>
      </c>
      <c r="J1065" s="14">
        <v>15.23466128</v>
      </c>
      <c r="K1065" s="14">
        <v>18.29275604</v>
      </c>
      <c r="L1065" s="14">
        <v>16.36461409</v>
      </c>
      <c r="M1065" s="14">
        <v>37.08331715</v>
      </c>
      <c r="N1065" s="14">
        <v>38.07433353</v>
      </c>
      <c r="O1065" s="14">
        <v>23.24632739</v>
      </c>
    </row>
    <row r="1066" spans="1:21">
      <c r="A1066" s="14" t="s">
        <v>5566</v>
      </c>
      <c r="B1066" s="14">
        <v>258.303458</v>
      </c>
      <c r="C1066" s="14">
        <v>125.6685273</v>
      </c>
      <c r="D1066" s="14">
        <v>390.9383887</v>
      </c>
      <c r="E1066" s="14">
        <v>3.106304112</v>
      </c>
      <c r="F1066" s="14">
        <v>1.635199079</v>
      </c>
      <c r="G1066" s="14">
        <v>0.000326198</v>
      </c>
      <c r="H1066" s="14">
        <v>0.001362065</v>
      </c>
      <c r="I1066" s="14" t="s">
        <v>164</v>
      </c>
      <c r="J1066" s="14">
        <v>12.94783084</v>
      </c>
      <c r="K1066" s="14">
        <v>19.43424863</v>
      </c>
      <c r="L1066" s="14">
        <v>12.35745364</v>
      </c>
      <c r="M1066" s="14">
        <v>2.623759451</v>
      </c>
      <c r="N1066" s="14">
        <v>2.486109336</v>
      </c>
      <c r="O1066" s="14">
        <v>7.098981083</v>
      </c>
      <c r="P1066" s="14" t="s">
        <v>5567</v>
      </c>
      <c r="Q1066" s="14" t="s">
        <v>5568</v>
      </c>
      <c r="T1066" s="14" t="s">
        <v>5569</v>
      </c>
      <c r="U1066" s="14" t="s">
        <v>5570</v>
      </c>
    </row>
    <row r="1067" spans="1:21">
      <c r="A1067" s="14" t="s">
        <v>5571</v>
      </c>
      <c r="B1067" s="14">
        <v>106.3400625</v>
      </c>
      <c r="C1067" s="14">
        <v>59.63187868</v>
      </c>
      <c r="D1067" s="14">
        <v>153.0482462</v>
      </c>
      <c r="E1067" s="14">
        <v>2.568844034</v>
      </c>
      <c r="F1067" s="14">
        <v>1.3611193</v>
      </c>
      <c r="G1067" s="14">
        <v>0.01773499</v>
      </c>
      <c r="H1067" s="14">
        <v>0.043943994</v>
      </c>
      <c r="I1067" s="14" t="s">
        <v>164</v>
      </c>
      <c r="J1067" s="14">
        <v>3.730847591</v>
      </c>
      <c r="K1067" s="14">
        <v>1.468827347</v>
      </c>
      <c r="L1067" s="14">
        <v>1.1664853</v>
      </c>
      <c r="M1067" s="14">
        <v>0.78918915</v>
      </c>
      <c r="N1067" s="14">
        <v>0.757133298</v>
      </c>
      <c r="O1067" s="14">
        <v>0.472497118</v>
      </c>
      <c r="P1067" s="14" t="s">
        <v>5572</v>
      </c>
      <c r="Q1067" s="14" t="s">
        <v>5573</v>
      </c>
      <c r="R1067" s="14" t="s">
        <v>5574</v>
      </c>
      <c r="S1067" s="14" t="s">
        <v>5575</v>
      </c>
      <c r="T1067" s="14" t="s">
        <v>5576</v>
      </c>
      <c r="U1067" s="14" t="s">
        <v>5577</v>
      </c>
    </row>
    <row r="1068" spans="1:21">
      <c r="A1068" s="14" t="s">
        <v>5578</v>
      </c>
      <c r="B1068" s="14">
        <v>1634.549385</v>
      </c>
      <c r="C1068" s="14">
        <v>2215.60846</v>
      </c>
      <c r="D1068" s="14">
        <v>1053.49031</v>
      </c>
      <c r="E1068" s="14">
        <v>0.475473876</v>
      </c>
      <c r="F1068" s="14">
        <v>-1.072562017</v>
      </c>
      <c r="G1068" s="14">
        <v>0.000798808</v>
      </c>
      <c r="H1068" s="14">
        <v>0.00300447</v>
      </c>
      <c r="I1068" s="14" t="s">
        <v>147</v>
      </c>
      <c r="J1068" s="14">
        <v>12.71120408</v>
      </c>
      <c r="K1068" s="14">
        <v>12.98113493</v>
      </c>
      <c r="L1068" s="14">
        <v>7.132779667</v>
      </c>
      <c r="M1068" s="14">
        <v>21.21279234</v>
      </c>
      <c r="N1068" s="14">
        <v>20.10555309</v>
      </c>
      <c r="O1068" s="14">
        <v>15.12304413</v>
      </c>
      <c r="P1068" s="14" t="s">
        <v>5579</v>
      </c>
      <c r="Q1068" s="14" t="s">
        <v>5580</v>
      </c>
      <c r="T1068" s="14" t="s">
        <v>5581</v>
      </c>
      <c r="U1068" s="14" t="s">
        <v>5582</v>
      </c>
    </row>
    <row r="1069" spans="1:15">
      <c r="A1069" s="14" t="s">
        <v>5583</v>
      </c>
      <c r="B1069" s="14">
        <v>20.71104639</v>
      </c>
      <c r="C1069" s="14">
        <v>0.700884119</v>
      </c>
      <c r="D1069" s="14">
        <v>40.72120866</v>
      </c>
      <c r="E1069" s="14">
        <v>60.19487398</v>
      </c>
      <c r="F1069" s="14">
        <v>5.911568731</v>
      </c>
      <c r="G1069" s="51" t="s">
        <v>5584</v>
      </c>
      <c r="H1069" s="51" t="s">
        <v>2246</v>
      </c>
      <c r="I1069" s="14" t="s">
        <v>164</v>
      </c>
      <c r="J1069" s="14">
        <v>2.519354646</v>
      </c>
      <c r="K1069" s="14">
        <v>0.887531996</v>
      </c>
      <c r="L1069" s="14">
        <v>1.778890082</v>
      </c>
      <c r="M1069" s="14">
        <v>0.035925775</v>
      </c>
      <c r="N1069" s="14">
        <v>0.034466516</v>
      </c>
      <c r="O1069" s="14">
        <v>0</v>
      </c>
    </row>
    <row r="1070" spans="1:15">
      <c r="A1070" s="14" t="s">
        <v>5585</v>
      </c>
      <c r="B1070" s="14">
        <v>530.6669352</v>
      </c>
      <c r="C1070" s="14">
        <v>746.6411558</v>
      </c>
      <c r="D1070" s="14">
        <v>314.6927147</v>
      </c>
      <c r="E1070" s="14">
        <v>0.421314379</v>
      </c>
      <c r="F1070" s="14">
        <v>-1.24703094</v>
      </c>
      <c r="G1070" s="51" t="s">
        <v>5586</v>
      </c>
      <c r="H1070" s="51" t="s">
        <v>5587</v>
      </c>
      <c r="I1070" s="14" t="s">
        <v>147</v>
      </c>
      <c r="J1070" s="14">
        <v>10.09935326</v>
      </c>
      <c r="K1070" s="14">
        <v>12.69795244</v>
      </c>
      <c r="L1070" s="14">
        <v>10.02285084</v>
      </c>
      <c r="M1070" s="14">
        <v>20.02459788</v>
      </c>
      <c r="N1070" s="14">
        <v>21.53128386</v>
      </c>
      <c r="O1070" s="14">
        <v>22.67908762</v>
      </c>
    </row>
    <row r="1071" spans="1:21">
      <c r="A1071" s="14" t="s">
        <v>5588</v>
      </c>
      <c r="B1071" s="14">
        <v>122.8093485</v>
      </c>
      <c r="C1071" s="14">
        <v>46.63228305</v>
      </c>
      <c r="D1071" s="14">
        <v>198.9864139</v>
      </c>
      <c r="E1071" s="14">
        <v>4.272239211</v>
      </c>
      <c r="F1071" s="14">
        <v>2.094992429</v>
      </c>
      <c r="G1071" s="14">
        <v>0.018562117</v>
      </c>
      <c r="H1071" s="14">
        <v>0.045669473</v>
      </c>
      <c r="I1071" s="14" t="s">
        <v>164</v>
      </c>
      <c r="J1071" s="14">
        <v>2.536526489</v>
      </c>
      <c r="K1071" s="14">
        <v>11.76050883</v>
      </c>
      <c r="L1071" s="14">
        <v>1.844710747</v>
      </c>
      <c r="M1071" s="14">
        <v>1.639222789</v>
      </c>
      <c r="N1071" s="14">
        <v>1.085342863</v>
      </c>
      <c r="O1071" s="14">
        <v>0.316239907</v>
      </c>
      <c r="P1071" s="14" t="s">
        <v>5589</v>
      </c>
      <c r="Q1071" s="14" t="s">
        <v>5590</v>
      </c>
      <c r="T1071" s="14" t="s">
        <v>5591</v>
      </c>
      <c r="U1071" s="14" t="s">
        <v>5592</v>
      </c>
    </row>
    <row r="1072" spans="1:21">
      <c r="A1072" s="14" t="s">
        <v>5593</v>
      </c>
      <c r="B1072" s="14">
        <v>755.0692497</v>
      </c>
      <c r="C1072" s="14">
        <v>400.1541617</v>
      </c>
      <c r="D1072" s="14">
        <v>1109.984338</v>
      </c>
      <c r="E1072" s="14">
        <v>2.772199619</v>
      </c>
      <c r="F1072" s="14">
        <v>1.471031146</v>
      </c>
      <c r="G1072" s="51" t="s">
        <v>5594</v>
      </c>
      <c r="H1072" s="51" t="s">
        <v>5595</v>
      </c>
      <c r="I1072" s="14" t="s">
        <v>164</v>
      </c>
      <c r="J1072" s="14">
        <v>12.30168174</v>
      </c>
      <c r="K1072" s="14">
        <v>8.732162447</v>
      </c>
      <c r="L1072" s="14">
        <v>11.76958229</v>
      </c>
      <c r="M1072" s="14">
        <v>2.301877991</v>
      </c>
      <c r="N1072" s="14">
        <v>2.52043216</v>
      </c>
      <c r="O1072" s="14">
        <v>5.108066648</v>
      </c>
      <c r="P1072" s="14" t="s">
        <v>5596</v>
      </c>
      <c r="Q1072" s="14" t="s">
        <v>5597</v>
      </c>
      <c r="T1072" s="14" t="s">
        <v>5598</v>
      </c>
      <c r="U1072" s="14" t="s">
        <v>5599</v>
      </c>
    </row>
    <row r="1073" spans="1:15">
      <c r="A1073" s="14" t="s">
        <v>5600</v>
      </c>
      <c r="B1073" s="14">
        <v>353.3023103</v>
      </c>
      <c r="C1073" s="14">
        <v>206.0950962</v>
      </c>
      <c r="D1073" s="14">
        <v>500.5095243</v>
      </c>
      <c r="E1073" s="14">
        <v>2.426761718</v>
      </c>
      <c r="F1073" s="14">
        <v>1.279032458</v>
      </c>
      <c r="G1073" s="51" t="s">
        <v>5601</v>
      </c>
      <c r="H1073" s="51" t="s">
        <v>5602</v>
      </c>
      <c r="I1073" s="14" t="s">
        <v>164</v>
      </c>
      <c r="J1073" s="14">
        <v>9.091183412</v>
      </c>
      <c r="K1073" s="14">
        <v>9.014480031</v>
      </c>
      <c r="L1073" s="14">
        <v>7.484354614</v>
      </c>
      <c r="M1073" s="14">
        <v>2.660259808</v>
      </c>
      <c r="N1073" s="14">
        <v>2.774134198</v>
      </c>
      <c r="O1073" s="14">
        <v>3.281732806</v>
      </c>
    </row>
    <row r="1074" spans="1:21">
      <c r="A1074" s="14" t="s">
        <v>5603</v>
      </c>
      <c r="B1074" s="14">
        <v>3005.94258</v>
      </c>
      <c r="C1074" s="14">
        <v>4613.71572</v>
      </c>
      <c r="D1074" s="14">
        <v>1398.16944</v>
      </c>
      <c r="E1074" s="14">
        <v>0.30305353</v>
      </c>
      <c r="F1074" s="14">
        <v>-1.722355446</v>
      </c>
      <c r="G1074" s="51" t="s">
        <v>5604</v>
      </c>
      <c r="H1074" s="51" t="s">
        <v>5605</v>
      </c>
      <c r="I1074" s="14" t="s">
        <v>147</v>
      </c>
      <c r="J1074" s="14">
        <v>47.10902392</v>
      </c>
      <c r="K1074" s="14">
        <v>38.81139768</v>
      </c>
      <c r="L1074" s="14">
        <v>37.15509663</v>
      </c>
      <c r="M1074" s="14">
        <v>124.9741972</v>
      </c>
      <c r="N1074" s="14">
        <v>106.2682609</v>
      </c>
      <c r="O1074" s="14">
        <v>101.3380614</v>
      </c>
      <c r="P1074" s="14" t="s">
        <v>5606</v>
      </c>
      <c r="Q1074" s="14" t="s">
        <v>5607</v>
      </c>
      <c r="T1074" s="14" t="s">
        <v>5608</v>
      </c>
      <c r="U1074" s="14" t="s">
        <v>5609</v>
      </c>
    </row>
    <row r="1075" spans="1:21">
      <c r="A1075" s="14" t="s">
        <v>5610</v>
      </c>
      <c r="B1075" s="14">
        <v>450.5471748</v>
      </c>
      <c r="C1075" s="14">
        <v>243.8329245</v>
      </c>
      <c r="D1075" s="14">
        <v>657.2614252</v>
      </c>
      <c r="E1075" s="14">
        <v>2.696159367</v>
      </c>
      <c r="F1075" s="14">
        <v>1.430905775</v>
      </c>
      <c r="G1075" s="51" t="s">
        <v>5611</v>
      </c>
      <c r="H1075" s="51" t="s">
        <v>5612</v>
      </c>
      <c r="I1075" s="14" t="s">
        <v>164</v>
      </c>
      <c r="J1075" s="14">
        <v>16.5082885</v>
      </c>
      <c r="K1075" s="14">
        <v>18.80431091</v>
      </c>
      <c r="L1075" s="14">
        <v>12.14552539</v>
      </c>
      <c r="M1075" s="14">
        <v>5.273655969</v>
      </c>
      <c r="N1075" s="14">
        <v>4.216205681</v>
      </c>
      <c r="O1075" s="14">
        <v>5.019665919</v>
      </c>
      <c r="P1075" s="14" t="s">
        <v>5613</v>
      </c>
      <c r="Q1075" s="14" t="s">
        <v>5614</v>
      </c>
      <c r="T1075" s="14" t="s">
        <v>5615</v>
      </c>
      <c r="U1075" s="14" t="s">
        <v>5616</v>
      </c>
    </row>
    <row r="1076" spans="1:21">
      <c r="A1076" s="14" t="s">
        <v>5617</v>
      </c>
      <c r="B1076" s="14">
        <v>2011.744821</v>
      </c>
      <c r="C1076" s="14">
        <v>999.5807414</v>
      </c>
      <c r="D1076" s="14">
        <v>3023.908901</v>
      </c>
      <c r="E1076" s="14">
        <v>3.024012236</v>
      </c>
      <c r="F1076" s="14">
        <v>1.596463977</v>
      </c>
      <c r="G1076" s="51" t="s">
        <v>5618</v>
      </c>
      <c r="H1076" s="51" t="s">
        <v>5619</v>
      </c>
      <c r="I1076" s="14" t="s">
        <v>164</v>
      </c>
      <c r="J1076" s="14">
        <v>30.3858132</v>
      </c>
      <c r="K1076" s="14">
        <v>28.94945768</v>
      </c>
      <c r="L1076" s="14">
        <v>25.60207679</v>
      </c>
      <c r="M1076" s="14">
        <v>6.670210823</v>
      </c>
      <c r="N1076" s="14">
        <v>6.886839243</v>
      </c>
      <c r="O1076" s="14">
        <v>9.78126462</v>
      </c>
      <c r="P1076" s="14" t="s">
        <v>5620</v>
      </c>
      <c r="Q1076" s="14" t="s">
        <v>5621</v>
      </c>
      <c r="T1076" s="14" t="s">
        <v>5622</v>
      </c>
      <c r="U1076" s="14" t="s">
        <v>5623</v>
      </c>
    </row>
    <row r="1077" spans="1:21">
      <c r="A1077" s="14" t="s">
        <v>5624</v>
      </c>
      <c r="B1077" s="14">
        <v>8.947075268</v>
      </c>
      <c r="C1077" s="14">
        <v>2.246328349</v>
      </c>
      <c r="D1077" s="14">
        <v>15.64782219</v>
      </c>
      <c r="E1077" s="14">
        <v>6.810986213</v>
      </c>
      <c r="F1077" s="14">
        <v>2.767863712</v>
      </c>
      <c r="G1077" s="14">
        <v>0.003611731</v>
      </c>
      <c r="H1077" s="14">
        <v>0.011181051</v>
      </c>
      <c r="I1077" s="14" t="s">
        <v>164</v>
      </c>
      <c r="J1077" s="14">
        <v>0.288075895</v>
      </c>
      <c r="K1077" s="14">
        <v>0.289956993</v>
      </c>
      <c r="L1077" s="14">
        <v>0.332848456</v>
      </c>
      <c r="M1077" s="14">
        <v>0.016431747</v>
      </c>
      <c r="N1077" s="14">
        <v>0.015764311</v>
      </c>
      <c r="O1077" s="14">
        <v>0.080382731</v>
      </c>
      <c r="P1077" s="14" t="s">
        <v>5625</v>
      </c>
      <c r="Q1077" s="14" t="s">
        <v>5626</v>
      </c>
      <c r="T1077" s="14" t="s">
        <v>5627</v>
      </c>
      <c r="U1077" s="14" t="s">
        <v>5628</v>
      </c>
    </row>
    <row r="1078" spans="1:15">
      <c r="A1078" s="14" t="s">
        <v>5629</v>
      </c>
      <c r="B1078" s="14">
        <v>17.66358858</v>
      </c>
      <c r="C1078" s="14">
        <v>5.223439847</v>
      </c>
      <c r="D1078" s="14">
        <v>30.10373731</v>
      </c>
      <c r="E1078" s="14">
        <v>5.706133287</v>
      </c>
      <c r="F1078" s="14">
        <v>2.512513447</v>
      </c>
      <c r="G1078" s="14">
        <v>0.001236494</v>
      </c>
      <c r="H1078" s="14">
        <v>0.00440866</v>
      </c>
      <c r="I1078" s="14" t="s">
        <v>164</v>
      </c>
      <c r="J1078" s="14">
        <v>3.144726367</v>
      </c>
      <c r="K1078" s="14">
        <v>1.186972882</v>
      </c>
      <c r="L1078" s="14">
        <v>1.640111423</v>
      </c>
      <c r="M1078" s="14">
        <v>0.168163201</v>
      </c>
      <c r="N1078" s="14">
        <v>0.215110169</v>
      </c>
      <c r="O1078" s="14">
        <v>0.493584171</v>
      </c>
    </row>
    <row r="1079" spans="1:15">
      <c r="A1079" s="14" t="s">
        <v>5630</v>
      </c>
      <c r="B1079" s="14">
        <v>6.878504316</v>
      </c>
      <c r="C1079" s="14">
        <v>0.309088846</v>
      </c>
      <c r="D1079" s="14">
        <v>13.44791979</v>
      </c>
      <c r="E1079" s="14">
        <v>37.23395937</v>
      </c>
      <c r="F1079" s="14">
        <v>5.218547132</v>
      </c>
      <c r="G1079" s="14">
        <v>0.004346218</v>
      </c>
      <c r="H1079" s="14">
        <v>0.013099992</v>
      </c>
      <c r="I1079" s="14" t="s">
        <v>164</v>
      </c>
      <c r="J1079" s="14">
        <v>0.055315172</v>
      </c>
      <c r="K1079" s="14">
        <v>0.695954659</v>
      </c>
      <c r="L1079" s="14">
        <v>0.372821275</v>
      </c>
      <c r="M1079" s="14">
        <v>0</v>
      </c>
      <c r="N1079" s="14">
        <v>0</v>
      </c>
      <c r="O1079" s="14">
        <v>0.023152152</v>
      </c>
    </row>
    <row r="1080" spans="1:15">
      <c r="A1080" s="14" t="s">
        <v>5631</v>
      </c>
      <c r="B1080" s="14">
        <v>12.73449591</v>
      </c>
      <c r="C1080" s="14">
        <v>1.424676607</v>
      </c>
      <c r="D1080" s="14">
        <v>24.04431521</v>
      </c>
      <c r="E1080" s="14">
        <v>17.44598539</v>
      </c>
      <c r="F1080" s="14">
        <v>4.124823182</v>
      </c>
      <c r="G1080" s="14">
        <v>0.000418063</v>
      </c>
      <c r="H1080" s="14">
        <v>0.001697688</v>
      </c>
      <c r="I1080" s="14" t="s">
        <v>164</v>
      </c>
      <c r="J1080" s="14">
        <v>4.362215915</v>
      </c>
      <c r="K1080" s="14">
        <v>1.420520788</v>
      </c>
      <c r="L1080" s="14">
        <v>3.582486971</v>
      </c>
      <c r="M1080" s="14">
        <v>0.329319602</v>
      </c>
      <c r="N1080" s="14">
        <v>0.105314354</v>
      </c>
      <c r="O1080" s="14">
        <v>0</v>
      </c>
    </row>
    <row r="1081" spans="1:21">
      <c r="A1081" s="14" t="s">
        <v>5632</v>
      </c>
      <c r="B1081" s="14">
        <v>416.1056653</v>
      </c>
      <c r="C1081" s="14">
        <v>121.7721379</v>
      </c>
      <c r="D1081" s="14">
        <v>710.4391926</v>
      </c>
      <c r="E1081" s="14">
        <v>5.840482702</v>
      </c>
      <c r="F1081" s="14">
        <v>2.546087609</v>
      </c>
      <c r="G1081" s="51" t="s">
        <v>5633</v>
      </c>
      <c r="H1081" s="51" t="s">
        <v>5634</v>
      </c>
      <c r="I1081" s="14" t="s">
        <v>164</v>
      </c>
      <c r="J1081" s="14">
        <v>20.07814449</v>
      </c>
      <c r="K1081" s="14">
        <v>14.68991858</v>
      </c>
      <c r="L1081" s="14">
        <v>10.51900756</v>
      </c>
      <c r="M1081" s="14">
        <v>2.941320279</v>
      </c>
      <c r="N1081" s="14">
        <v>2.527544491</v>
      </c>
      <c r="O1081" s="14">
        <v>0.759157998</v>
      </c>
      <c r="P1081" s="14" t="s">
        <v>5635</v>
      </c>
      <c r="Q1081" s="14" t="s">
        <v>5636</v>
      </c>
      <c r="T1081" s="14" t="s">
        <v>5637</v>
      </c>
      <c r="U1081" s="14" t="s">
        <v>5638</v>
      </c>
    </row>
    <row r="1082" spans="1:21">
      <c r="A1082" s="14" t="s">
        <v>5639</v>
      </c>
      <c r="B1082" s="14">
        <v>237.1826969</v>
      </c>
      <c r="C1082" s="14">
        <v>102.4860606</v>
      </c>
      <c r="D1082" s="14">
        <v>371.8793333</v>
      </c>
      <c r="E1082" s="14">
        <v>3.63116273</v>
      </c>
      <c r="F1082" s="14">
        <v>1.860431586</v>
      </c>
      <c r="G1082" s="51" t="s">
        <v>5640</v>
      </c>
      <c r="H1082" s="51" t="s">
        <v>3505</v>
      </c>
      <c r="I1082" s="14" t="s">
        <v>164</v>
      </c>
      <c r="J1082" s="14">
        <v>2.748327583</v>
      </c>
      <c r="K1082" s="14">
        <v>2.109012926</v>
      </c>
      <c r="L1082" s="14">
        <v>3.24041733</v>
      </c>
      <c r="M1082" s="14">
        <v>0.558700681</v>
      </c>
      <c r="N1082" s="14">
        <v>0.671481266</v>
      </c>
      <c r="O1082" s="14">
        <v>0.600685035</v>
      </c>
      <c r="P1082" s="14" t="s">
        <v>5635</v>
      </c>
      <c r="Q1082" s="14" t="s">
        <v>5636</v>
      </c>
      <c r="R1082" s="14" t="s">
        <v>5641</v>
      </c>
      <c r="S1082" s="14" t="s">
        <v>5642</v>
      </c>
      <c r="T1082" s="14" t="s">
        <v>5637</v>
      </c>
      <c r="U1082" s="14" t="s">
        <v>5638</v>
      </c>
    </row>
    <row r="1083" spans="1:21">
      <c r="A1083" s="14" t="s">
        <v>5643</v>
      </c>
      <c r="B1083" s="14">
        <v>16161.00499</v>
      </c>
      <c r="C1083" s="14">
        <v>22979.9764</v>
      </c>
      <c r="D1083" s="14">
        <v>9342.033575</v>
      </c>
      <c r="E1083" s="14">
        <v>0.406527912</v>
      </c>
      <c r="F1083" s="14">
        <v>-1.298573686</v>
      </c>
      <c r="G1083" s="51" t="s">
        <v>5644</v>
      </c>
      <c r="H1083" s="51" t="s">
        <v>5645</v>
      </c>
      <c r="I1083" s="14" t="s">
        <v>147</v>
      </c>
      <c r="J1083" s="14">
        <v>199.2288472</v>
      </c>
      <c r="K1083" s="14">
        <v>222.11703</v>
      </c>
      <c r="L1083" s="14">
        <v>158.9726419</v>
      </c>
      <c r="M1083" s="14">
        <v>424.2320011</v>
      </c>
      <c r="N1083" s="14">
        <v>391.8574573</v>
      </c>
      <c r="O1083" s="14">
        <v>354.2880588</v>
      </c>
      <c r="P1083" s="14" t="s">
        <v>5646</v>
      </c>
      <c r="Q1083" s="14" t="s">
        <v>5647</v>
      </c>
      <c r="T1083" s="14" t="s">
        <v>5648</v>
      </c>
      <c r="U1083" s="14" t="s">
        <v>5649</v>
      </c>
    </row>
    <row r="1084" spans="1:21">
      <c r="A1084" s="14" t="s">
        <v>5650</v>
      </c>
      <c r="B1084" s="14">
        <v>8245.000528</v>
      </c>
      <c r="C1084" s="14">
        <v>1992.430656</v>
      </c>
      <c r="D1084" s="14">
        <v>14497.5704</v>
      </c>
      <c r="E1084" s="14">
        <v>7.277198846</v>
      </c>
      <c r="F1084" s="14">
        <v>2.863383232</v>
      </c>
      <c r="G1084" s="51" t="s">
        <v>5651</v>
      </c>
      <c r="H1084" s="51" t="s">
        <v>5652</v>
      </c>
      <c r="I1084" s="14" t="s">
        <v>164</v>
      </c>
      <c r="J1084" s="14">
        <v>236.2576651</v>
      </c>
      <c r="K1084" s="14">
        <v>161.520073</v>
      </c>
      <c r="L1084" s="14">
        <v>209.5674473</v>
      </c>
      <c r="M1084" s="14">
        <v>24.16039708</v>
      </c>
      <c r="N1084" s="14">
        <v>26.04946602</v>
      </c>
      <c r="O1084" s="14">
        <v>17.77198428</v>
      </c>
      <c r="P1084" s="14" t="s">
        <v>5653</v>
      </c>
      <c r="Q1084" s="14" t="s">
        <v>5654</v>
      </c>
      <c r="R1084" s="14" t="s">
        <v>5655</v>
      </c>
      <c r="S1084" s="14" t="s">
        <v>5656</v>
      </c>
      <c r="T1084" s="14" t="s">
        <v>5657</v>
      </c>
      <c r="U1084" s="14" t="s">
        <v>5658</v>
      </c>
    </row>
    <row r="1085" spans="1:21">
      <c r="A1085" s="14" t="s">
        <v>5659</v>
      </c>
      <c r="B1085" s="14">
        <v>2026.9989</v>
      </c>
      <c r="C1085" s="14">
        <v>1166.566956</v>
      </c>
      <c r="D1085" s="14">
        <v>2887.430844</v>
      </c>
      <c r="E1085" s="14">
        <v>2.475315124</v>
      </c>
      <c r="F1085" s="14">
        <v>1.307612201</v>
      </c>
      <c r="G1085" s="51" t="s">
        <v>5660</v>
      </c>
      <c r="H1085" s="51" t="s">
        <v>5661</v>
      </c>
      <c r="I1085" s="14" t="s">
        <v>164</v>
      </c>
      <c r="J1085" s="14">
        <v>71.101421</v>
      </c>
      <c r="K1085" s="14">
        <v>48.44531745</v>
      </c>
      <c r="L1085" s="14">
        <v>38.48258623</v>
      </c>
      <c r="M1085" s="14">
        <v>17.15989586</v>
      </c>
      <c r="N1085" s="14">
        <v>19.95455928</v>
      </c>
      <c r="O1085" s="14">
        <v>15.21309593</v>
      </c>
      <c r="P1085" s="14" t="s">
        <v>5662</v>
      </c>
      <c r="Q1085" s="14" t="s">
        <v>5663</v>
      </c>
      <c r="T1085" s="14" t="s">
        <v>5664</v>
      </c>
      <c r="U1085" s="14" t="s">
        <v>5665</v>
      </c>
    </row>
    <row r="1086" spans="1:21">
      <c r="A1086" s="14" t="s">
        <v>5666</v>
      </c>
      <c r="B1086" s="14">
        <v>2150.021268</v>
      </c>
      <c r="C1086" s="14">
        <v>1248.199393</v>
      </c>
      <c r="D1086" s="14">
        <v>3051.843143</v>
      </c>
      <c r="E1086" s="14">
        <v>2.445378597</v>
      </c>
      <c r="F1086" s="14">
        <v>1.290057843</v>
      </c>
      <c r="G1086" s="14">
        <v>0.000225088</v>
      </c>
      <c r="H1086" s="14">
        <v>0.000974834</v>
      </c>
      <c r="I1086" s="14" t="s">
        <v>164</v>
      </c>
      <c r="J1086" s="14">
        <v>42.23959007</v>
      </c>
      <c r="K1086" s="14">
        <v>45.85915288</v>
      </c>
      <c r="L1086" s="14">
        <v>46.6046755</v>
      </c>
      <c r="M1086" s="14">
        <v>16.15639889</v>
      </c>
      <c r="N1086" s="14">
        <v>19.76986298</v>
      </c>
      <c r="O1086" s="14">
        <v>8.635387422</v>
      </c>
      <c r="P1086" s="14" t="s">
        <v>5667</v>
      </c>
      <c r="Q1086" s="14" t="s">
        <v>5668</v>
      </c>
      <c r="T1086" s="14" t="s">
        <v>5669</v>
      </c>
      <c r="U1086" s="14" t="s">
        <v>5670</v>
      </c>
    </row>
    <row r="1087" spans="1:21">
      <c r="A1087" s="14" t="s">
        <v>5671</v>
      </c>
      <c r="B1087" s="14">
        <v>28336.19673</v>
      </c>
      <c r="C1087" s="14">
        <v>38481.52518</v>
      </c>
      <c r="D1087" s="14">
        <v>18190.86828</v>
      </c>
      <c r="E1087" s="14">
        <v>0.472709133</v>
      </c>
      <c r="F1087" s="14">
        <v>-1.080975357</v>
      </c>
      <c r="G1087" s="51" t="s">
        <v>5672</v>
      </c>
      <c r="H1087" s="51" t="s">
        <v>5673</v>
      </c>
      <c r="I1087" s="14" t="s">
        <v>147</v>
      </c>
      <c r="J1087" s="14">
        <v>165.9580739</v>
      </c>
      <c r="K1087" s="14">
        <v>162.8893865</v>
      </c>
      <c r="L1087" s="14">
        <v>146.3637076</v>
      </c>
      <c r="M1087" s="14">
        <v>262.6672015</v>
      </c>
      <c r="N1087" s="14">
        <v>262.5253646</v>
      </c>
      <c r="O1087" s="14">
        <v>304.9538553</v>
      </c>
      <c r="P1087" s="14" t="s">
        <v>5674</v>
      </c>
      <c r="Q1087" s="14" t="s">
        <v>5675</v>
      </c>
      <c r="T1087" s="14" t="s">
        <v>5676</v>
      </c>
      <c r="U1087" s="14" t="s">
        <v>5677</v>
      </c>
    </row>
    <row r="1088" spans="1:21">
      <c r="A1088" s="14" t="s">
        <v>5678</v>
      </c>
      <c r="B1088" s="14">
        <v>2983.689375</v>
      </c>
      <c r="C1088" s="14">
        <v>4336.807346</v>
      </c>
      <c r="D1088" s="14">
        <v>1630.571404</v>
      </c>
      <c r="E1088" s="14">
        <v>0.375947442</v>
      </c>
      <c r="F1088" s="14">
        <v>-1.41139711</v>
      </c>
      <c r="G1088" s="51" t="s">
        <v>5679</v>
      </c>
      <c r="H1088" s="51" t="s">
        <v>5680</v>
      </c>
      <c r="I1088" s="14" t="s">
        <v>147</v>
      </c>
      <c r="J1088" s="14">
        <v>14.5584469</v>
      </c>
      <c r="K1088" s="14">
        <v>12.64618129</v>
      </c>
      <c r="L1088" s="14">
        <v>12.17418299</v>
      </c>
      <c r="M1088" s="14">
        <v>27.3557091</v>
      </c>
      <c r="N1088" s="14">
        <v>27.69822072</v>
      </c>
      <c r="O1088" s="14">
        <v>31.37868306</v>
      </c>
      <c r="P1088" s="14" t="s">
        <v>5681</v>
      </c>
      <c r="Q1088" s="14" t="s">
        <v>5682</v>
      </c>
      <c r="R1088" s="14" t="s">
        <v>1219</v>
      </c>
      <c r="S1088" s="14" t="s">
        <v>1220</v>
      </c>
      <c r="T1088" s="14" t="s">
        <v>5683</v>
      </c>
      <c r="U1088" s="14" t="s">
        <v>5684</v>
      </c>
    </row>
    <row r="1089" spans="1:21">
      <c r="A1089" s="14" t="s">
        <v>5685</v>
      </c>
      <c r="B1089" s="14">
        <v>665.028837</v>
      </c>
      <c r="C1089" s="14">
        <v>417.6458055</v>
      </c>
      <c r="D1089" s="14">
        <v>912.4118684</v>
      </c>
      <c r="E1089" s="14">
        <v>2.185215009</v>
      </c>
      <c r="F1089" s="14">
        <v>1.127775237</v>
      </c>
      <c r="G1089" s="51" t="s">
        <v>5686</v>
      </c>
      <c r="H1089" s="51" t="s">
        <v>2464</v>
      </c>
      <c r="I1089" s="14" t="s">
        <v>164</v>
      </c>
      <c r="J1089" s="14">
        <v>19.97605943</v>
      </c>
      <c r="K1089" s="14">
        <v>27.29483487</v>
      </c>
      <c r="L1089" s="14">
        <v>24.21682297</v>
      </c>
      <c r="M1089" s="14">
        <v>8.390731368</v>
      </c>
      <c r="N1089" s="14">
        <v>9.982738746</v>
      </c>
      <c r="O1089" s="14">
        <v>8.490938159</v>
      </c>
      <c r="P1089" s="14" t="s">
        <v>5687</v>
      </c>
      <c r="Q1089" s="14" t="s">
        <v>5688</v>
      </c>
      <c r="T1089" s="14" t="s">
        <v>5689</v>
      </c>
      <c r="U1089" s="14" t="s">
        <v>5690</v>
      </c>
    </row>
    <row r="1090" spans="1:15">
      <c r="A1090" s="14" t="s">
        <v>5691</v>
      </c>
      <c r="B1090" s="14">
        <v>138.9647705</v>
      </c>
      <c r="C1090" s="14">
        <v>258.6862116</v>
      </c>
      <c r="D1090" s="14">
        <v>19.24332948</v>
      </c>
      <c r="E1090" s="14">
        <v>0.074470788</v>
      </c>
      <c r="F1090" s="14">
        <v>-3.747181565</v>
      </c>
      <c r="G1090" s="51" t="s">
        <v>5692</v>
      </c>
      <c r="H1090" s="51" t="s">
        <v>5693</v>
      </c>
      <c r="I1090" s="14" t="s">
        <v>147</v>
      </c>
      <c r="J1090" s="14">
        <v>0.180229273</v>
      </c>
      <c r="K1090" s="14">
        <v>0.213418996</v>
      </c>
      <c r="L1090" s="14">
        <v>0.224572964</v>
      </c>
      <c r="M1090" s="14">
        <v>2.548888364</v>
      </c>
      <c r="N1090" s="14">
        <v>2.601997791</v>
      </c>
      <c r="O1090" s="14">
        <v>1.597445328</v>
      </c>
    </row>
    <row r="1091" spans="1:15">
      <c r="A1091" s="14" t="s">
        <v>5694</v>
      </c>
      <c r="B1091" s="14">
        <v>812.1299056</v>
      </c>
      <c r="C1091" s="14">
        <v>1497.429767</v>
      </c>
      <c r="D1091" s="14">
        <v>126.8300441</v>
      </c>
      <c r="E1091" s="14">
        <v>0.084689276</v>
      </c>
      <c r="F1091" s="14">
        <v>-3.561676887</v>
      </c>
      <c r="G1091" s="51" t="s">
        <v>5695</v>
      </c>
      <c r="H1091" s="51" t="s">
        <v>5696</v>
      </c>
      <c r="I1091" s="14" t="s">
        <v>147</v>
      </c>
      <c r="J1091" s="14">
        <v>2.191705711</v>
      </c>
      <c r="K1091" s="14">
        <v>2.25503987</v>
      </c>
      <c r="L1091" s="14">
        <v>1.782016427</v>
      </c>
      <c r="M1091" s="14">
        <v>24.50276742</v>
      </c>
      <c r="N1091" s="14">
        <v>23.73404256</v>
      </c>
      <c r="O1091" s="14">
        <v>11.22549777</v>
      </c>
    </row>
    <row r="1092" spans="1:21">
      <c r="A1092" s="14" t="s">
        <v>5697</v>
      </c>
      <c r="B1092" s="14">
        <v>896.1272721</v>
      </c>
      <c r="C1092" s="14">
        <v>492.6722901</v>
      </c>
      <c r="D1092" s="14">
        <v>1299.582254</v>
      </c>
      <c r="E1092" s="14">
        <v>2.638784068</v>
      </c>
      <c r="F1092" s="14">
        <v>1.3998733</v>
      </c>
      <c r="G1092" s="51" t="s">
        <v>5698</v>
      </c>
      <c r="H1092" s="51" t="s">
        <v>5699</v>
      </c>
      <c r="I1092" s="14" t="s">
        <v>164</v>
      </c>
      <c r="J1092" s="14">
        <v>19.20929227</v>
      </c>
      <c r="K1092" s="14">
        <v>19.01410733</v>
      </c>
      <c r="L1092" s="14">
        <v>16.24203988</v>
      </c>
      <c r="M1092" s="14">
        <v>5.486355945</v>
      </c>
      <c r="N1092" s="14">
        <v>6.445806866</v>
      </c>
      <c r="O1092" s="14">
        <v>4.985175461</v>
      </c>
      <c r="P1092" s="14" t="s">
        <v>5700</v>
      </c>
      <c r="Q1092" s="14" t="s">
        <v>5701</v>
      </c>
      <c r="T1092" s="14" t="s">
        <v>5702</v>
      </c>
      <c r="U1092" s="14" t="s">
        <v>5703</v>
      </c>
    </row>
    <row r="1093" spans="1:21">
      <c r="A1093" s="14" t="s">
        <v>5704</v>
      </c>
      <c r="B1093" s="14">
        <v>927.0265148</v>
      </c>
      <c r="C1093" s="14">
        <v>1290.285199</v>
      </c>
      <c r="D1093" s="14">
        <v>563.7678301</v>
      </c>
      <c r="E1093" s="14">
        <v>0.436746681</v>
      </c>
      <c r="F1093" s="14">
        <v>-1.195131355</v>
      </c>
      <c r="G1093" s="51" t="s">
        <v>5705</v>
      </c>
      <c r="H1093" s="51" t="s">
        <v>5706</v>
      </c>
      <c r="I1093" s="14" t="s">
        <v>147</v>
      </c>
      <c r="J1093" s="14">
        <v>2.472693072</v>
      </c>
      <c r="K1093" s="14">
        <v>2.28792818</v>
      </c>
      <c r="L1093" s="14">
        <v>2.192561126</v>
      </c>
      <c r="M1093" s="14">
        <v>3.945445366</v>
      </c>
      <c r="N1093" s="14">
        <v>4.012565119</v>
      </c>
      <c r="O1093" s="14">
        <v>5.227580936</v>
      </c>
      <c r="P1093" s="14" t="s">
        <v>5707</v>
      </c>
      <c r="Q1093" s="14" t="s">
        <v>5708</v>
      </c>
      <c r="R1093" s="14" t="s">
        <v>5709</v>
      </c>
      <c r="S1093" s="14" t="s">
        <v>5710</v>
      </c>
      <c r="T1093" s="14" t="s">
        <v>5711</v>
      </c>
      <c r="U1093" s="14" t="s">
        <v>5712</v>
      </c>
    </row>
    <row r="1094" spans="1:21">
      <c r="A1094" s="14" t="s">
        <v>5713</v>
      </c>
      <c r="B1094" s="14">
        <v>4.678629312</v>
      </c>
      <c r="C1094" s="14">
        <v>0.309088846</v>
      </c>
      <c r="D1094" s="14">
        <v>9.048169778</v>
      </c>
      <c r="E1094" s="14">
        <v>25.08001725</v>
      </c>
      <c r="F1094" s="14">
        <v>4.648466435</v>
      </c>
      <c r="G1094" s="14">
        <v>0.007857212</v>
      </c>
      <c r="H1094" s="14">
        <v>0.021906484</v>
      </c>
      <c r="I1094" s="14" t="s">
        <v>164</v>
      </c>
      <c r="J1094" s="14">
        <v>0.195161275</v>
      </c>
      <c r="K1094" s="14">
        <v>0.65478551</v>
      </c>
      <c r="L1094" s="14">
        <v>0.939554621</v>
      </c>
      <c r="M1094" s="14">
        <v>0</v>
      </c>
      <c r="N1094" s="14">
        <v>0</v>
      </c>
      <c r="O1094" s="14">
        <v>0.05445647</v>
      </c>
      <c r="Q1094" s="14" t="s">
        <v>5714</v>
      </c>
      <c r="T1094" s="14" t="s">
        <v>5715</v>
      </c>
      <c r="U1094" s="14" t="s">
        <v>5716</v>
      </c>
    </row>
    <row r="1095" spans="1:21">
      <c r="A1095" s="14" t="s">
        <v>5717</v>
      </c>
      <c r="B1095" s="14">
        <v>106.8465167</v>
      </c>
      <c r="C1095" s="14">
        <v>199.9835542</v>
      </c>
      <c r="D1095" s="14">
        <v>13.70947918</v>
      </c>
      <c r="E1095" s="14">
        <v>0.068567866</v>
      </c>
      <c r="F1095" s="14">
        <v>-3.866323562</v>
      </c>
      <c r="G1095" s="51" t="s">
        <v>5718</v>
      </c>
      <c r="H1095" s="51" t="s">
        <v>5719</v>
      </c>
      <c r="I1095" s="14" t="s">
        <v>147</v>
      </c>
      <c r="J1095" s="14">
        <v>0.092145972</v>
      </c>
      <c r="K1095" s="14">
        <v>0.208682265</v>
      </c>
      <c r="L1095" s="14">
        <v>0.177445395</v>
      </c>
      <c r="M1095" s="14">
        <v>2.1779441</v>
      </c>
      <c r="N1095" s="14">
        <v>1.295287763</v>
      </c>
      <c r="O1095" s="14">
        <v>2.294776616</v>
      </c>
      <c r="P1095" s="14" t="s">
        <v>5720</v>
      </c>
      <c r="Q1095" s="14" t="s">
        <v>5721</v>
      </c>
      <c r="R1095" s="14" t="s">
        <v>4179</v>
      </c>
      <c r="S1095" s="14" t="s">
        <v>4180</v>
      </c>
      <c r="T1095" s="14" t="s">
        <v>5722</v>
      </c>
      <c r="U1095" s="14" t="s">
        <v>5723</v>
      </c>
    </row>
    <row r="1096" spans="1:21">
      <c r="A1096" s="14" t="s">
        <v>5724</v>
      </c>
      <c r="B1096" s="14">
        <v>146.0743796</v>
      </c>
      <c r="C1096" s="14">
        <v>23.93143383</v>
      </c>
      <c r="D1096" s="14">
        <v>268.2173254</v>
      </c>
      <c r="E1096" s="14">
        <v>11.15591544</v>
      </c>
      <c r="F1096" s="14">
        <v>3.479736999</v>
      </c>
      <c r="G1096" s="51" t="s">
        <v>5725</v>
      </c>
      <c r="H1096" s="51" t="s">
        <v>5726</v>
      </c>
      <c r="I1096" s="14" t="s">
        <v>164</v>
      </c>
      <c r="J1096" s="14">
        <v>2.827075207</v>
      </c>
      <c r="K1096" s="14">
        <v>2.474378817</v>
      </c>
      <c r="L1096" s="14">
        <v>2.376101901</v>
      </c>
      <c r="M1096" s="14">
        <v>0.169884421</v>
      </c>
      <c r="N1096" s="14">
        <v>0.147461654</v>
      </c>
      <c r="O1096" s="14">
        <v>0.253275535</v>
      </c>
      <c r="P1096" s="14" t="s">
        <v>5727</v>
      </c>
      <c r="Q1096" s="14" t="s">
        <v>5728</v>
      </c>
      <c r="T1096" s="14" t="s">
        <v>5729</v>
      </c>
      <c r="U1096" s="14" t="s">
        <v>5730</v>
      </c>
    </row>
    <row r="1097" spans="1:15">
      <c r="A1097" s="14" t="s">
        <v>5731</v>
      </c>
      <c r="B1097" s="14">
        <v>7856.356397</v>
      </c>
      <c r="C1097" s="14">
        <v>11753.94788</v>
      </c>
      <c r="D1097" s="14">
        <v>3958.764912</v>
      </c>
      <c r="E1097" s="14">
        <v>0.336810023</v>
      </c>
      <c r="F1097" s="14">
        <v>-1.569993022</v>
      </c>
      <c r="G1097" s="51" t="s">
        <v>5732</v>
      </c>
      <c r="H1097" s="51" t="s">
        <v>5733</v>
      </c>
      <c r="I1097" s="14" t="s">
        <v>147</v>
      </c>
      <c r="J1097" s="14">
        <v>22.42199635</v>
      </c>
      <c r="K1097" s="14">
        <v>24.28982598</v>
      </c>
      <c r="L1097" s="14">
        <v>21.83683955</v>
      </c>
      <c r="M1097" s="14">
        <v>64.65349241</v>
      </c>
      <c r="N1097" s="14">
        <v>57.83929521</v>
      </c>
      <c r="O1097" s="14">
        <v>43.32772522</v>
      </c>
    </row>
    <row r="1098" spans="1:21">
      <c r="A1098" s="14" t="s">
        <v>5734</v>
      </c>
      <c r="B1098" s="14">
        <v>806.1438203</v>
      </c>
      <c r="C1098" s="14">
        <v>1098.388394</v>
      </c>
      <c r="D1098" s="14">
        <v>513.8992466</v>
      </c>
      <c r="E1098" s="14">
        <v>0.467945322</v>
      </c>
      <c r="F1098" s="14">
        <v>-1.095588131</v>
      </c>
      <c r="G1098" s="14">
        <v>0.011777631</v>
      </c>
      <c r="H1098" s="14">
        <v>0.031057726</v>
      </c>
      <c r="I1098" s="14" t="s">
        <v>147</v>
      </c>
      <c r="J1098" s="14">
        <v>11.7103754</v>
      </c>
      <c r="K1098" s="14">
        <v>13.50991919</v>
      </c>
      <c r="L1098" s="14">
        <v>13.40139664</v>
      </c>
      <c r="M1098" s="14">
        <v>28.25367599</v>
      </c>
      <c r="N1098" s="14">
        <v>27.83919416</v>
      </c>
      <c r="O1098" s="14">
        <v>10.30119445</v>
      </c>
      <c r="P1098" s="14" t="s">
        <v>5735</v>
      </c>
      <c r="Q1098" s="14" t="s">
        <v>5736</v>
      </c>
      <c r="T1098" s="14" t="s">
        <v>5737</v>
      </c>
      <c r="U1098" s="14" t="s">
        <v>5738</v>
      </c>
    </row>
    <row r="1099" spans="1:21">
      <c r="A1099" s="14" t="s">
        <v>5739</v>
      </c>
      <c r="B1099" s="14">
        <v>579.8896382</v>
      </c>
      <c r="C1099" s="14">
        <v>124.2427659</v>
      </c>
      <c r="D1099" s="14">
        <v>1035.536511</v>
      </c>
      <c r="E1099" s="14">
        <v>8.325790559</v>
      </c>
      <c r="F1099" s="14">
        <v>3.057587267</v>
      </c>
      <c r="G1099" s="51" t="s">
        <v>2741</v>
      </c>
      <c r="H1099" s="14">
        <v>0.000174788</v>
      </c>
      <c r="I1099" s="14" t="s">
        <v>164</v>
      </c>
      <c r="J1099" s="14">
        <v>14.59048186</v>
      </c>
      <c r="K1099" s="14">
        <v>8.399267218</v>
      </c>
      <c r="L1099" s="14">
        <v>17.52024874</v>
      </c>
      <c r="M1099" s="14">
        <v>0.407670734</v>
      </c>
      <c r="N1099" s="14">
        <v>0.507388113</v>
      </c>
      <c r="O1099" s="14">
        <v>3.298665218</v>
      </c>
      <c r="P1099" s="14" t="s">
        <v>5740</v>
      </c>
      <c r="Q1099" s="14" t="s">
        <v>5741</v>
      </c>
      <c r="T1099" s="14" t="s">
        <v>5742</v>
      </c>
      <c r="U1099" s="14" t="s">
        <v>5743</v>
      </c>
    </row>
    <row r="1100" spans="1:15">
      <c r="A1100" s="14" t="s">
        <v>5744</v>
      </c>
      <c r="B1100" s="14">
        <v>518.2399863</v>
      </c>
      <c r="C1100" s="14">
        <v>793.1241685</v>
      </c>
      <c r="D1100" s="14">
        <v>243.3558042</v>
      </c>
      <c r="E1100" s="14">
        <v>0.30685524</v>
      </c>
      <c r="F1100" s="14">
        <v>-1.704369875</v>
      </c>
      <c r="G1100" s="14">
        <v>0.000170061</v>
      </c>
      <c r="H1100" s="14">
        <v>0.000761896</v>
      </c>
      <c r="I1100" s="14" t="s">
        <v>147</v>
      </c>
      <c r="J1100" s="14">
        <v>4.08773338</v>
      </c>
      <c r="K1100" s="14">
        <v>11.4037627</v>
      </c>
      <c r="L1100" s="14">
        <v>8.21264585</v>
      </c>
      <c r="M1100" s="14">
        <v>22.44422095</v>
      </c>
      <c r="N1100" s="14">
        <v>26.15612243</v>
      </c>
      <c r="O1100" s="14">
        <v>14.17234364</v>
      </c>
    </row>
    <row r="1101" spans="1:21">
      <c r="A1101" s="14" t="s">
        <v>5745</v>
      </c>
      <c r="B1101" s="14">
        <v>14.40277366</v>
      </c>
      <c r="C1101" s="14">
        <v>0</v>
      </c>
      <c r="D1101" s="14">
        <v>28.80554732</v>
      </c>
      <c r="E1101" s="14">
        <v>155.314953</v>
      </c>
      <c r="F1101" s="14">
        <v>7.279052922</v>
      </c>
      <c r="G1101" s="51" t="s">
        <v>3193</v>
      </c>
      <c r="H1101" s="14">
        <v>0.000114452</v>
      </c>
      <c r="I1101" s="14" t="s">
        <v>164</v>
      </c>
      <c r="J1101" s="14">
        <v>1.449206755</v>
      </c>
      <c r="K1101" s="14">
        <v>0.562995395</v>
      </c>
      <c r="L1101" s="14">
        <v>0.19584111</v>
      </c>
      <c r="M1101" s="14">
        <v>0</v>
      </c>
      <c r="N1101" s="14">
        <v>0</v>
      </c>
      <c r="O1101" s="14">
        <v>0</v>
      </c>
      <c r="Q1101" s="14" t="s">
        <v>5746</v>
      </c>
      <c r="R1101" s="14" t="s">
        <v>5747</v>
      </c>
      <c r="S1101" s="14" t="s">
        <v>5748</v>
      </c>
      <c r="T1101" s="14" t="s">
        <v>5749</v>
      </c>
      <c r="U1101" s="14" t="s">
        <v>5750</v>
      </c>
    </row>
    <row r="1102" spans="1:15">
      <c r="A1102" s="14" t="s">
        <v>5751</v>
      </c>
      <c r="B1102" s="14">
        <v>19.73020343</v>
      </c>
      <c r="C1102" s="14">
        <v>31.31691746</v>
      </c>
      <c r="D1102" s="14">
        <v>8.143489389</v>
      </c>
      <c r="E1102" s="14">
        <v>0.260922641</v>
      </c>
      <c r="F1102" s="14">
        <v>-1.938305959</v>
      </c>
      <c r="G1102" s="14">
        <v>0.000923134</v>
      </c>
      <c r="H1102" s="14">
        <v>0.003411573</v>
      </c>
      <c r="I1102" s="14" t="s">
        <v>147</v>
      </c>
      <c r="J1102" s="14">
        <v>0.47780864</v>
      </c>
      <c r="K1102" s="14">
        <v>0.721393002</v>
      </c>
      <c r="L1102" s="14">
        <v>0.766762966</v>
      </c>
      <c r="M1102" s="14">
        <v>2.520998331</v>
      </c>
      <c r="N1102" s="14">
        <v>2.026393428</v>
      </c>
      <c r="O1102" s="14">
        <v>1.59989352</v>
      </c>
    </row>
    <row r="1103" spans="1:21">
      <c r="A1103" s="14" t="s">
        <v>5752</v>
      </c>
      <c r="B1103" s="14">
        <v>316.6843343</v>
      </c>
      <c r="C1103" s="14">
        <v>506.5954897</v>
      </c>
      <c r="D1103" s="14">
        <v>126.773179</v>
      </c>
      <c r="E1103" s="14">
        <v>0.250050989</v>
      </c>
      <c r="F1103" s="14">
        <v>-1.999705781</v>
      </c>
      <c r="G1103" s="51" t="s">
        <v>4864</v>
      </c>
      <c r="H1103" s="51" t="s">
        <v>578</v>
      </c>
      <c r="I1103" s="14" t="s">
        <v>147</v>
      </c>
      <c r="J1103" s="14">
        <v>1.577487944</v>
      </c>
      <c r="K1103" s="14">
        <v>1.49559455</v>
      </c>
      <c r="L1103" s="14">
        <v>0.823136799</v>
      </c>
      <c r="M1103" s="14">
        <v>3.213133743</v>
      </c>
      <c r="N1103" s="14">
        <v>2.93224864</v>
      </c>
      <c r="O1103" s="14">
        <v>7.002985995</v>
      </c>
      <c r="P1103" s="14" t="s">
        <v>5753</v>
      </c>
      <c r="Q1103" s="14" t="s">
        <v>5754</v>
      </c>
      <c r="T1103" s="14" t="s">
        <v>5755</v>
      </c>
      <c r="U1103" s="14" t="s">
        <v>5756</v>
      </c>
    </row>
    <row r="1104" spans="1:21">
      <c r="A1104" s="14" t="s">
        <v>5757</v>
      </c>
      <c r="B1104" s="14">
        <v>597.4851614</v>
      </c>
      <c r="C1104" s="14">
        <v>174.7411427</v>
      </c>
      <c r="D1104" s="14">
        <v>1020.22918</v>
      </c>
      <c r="E1104" s="14">
        <v>5.834500714</v>
      </c>
      <c r="F1104" s="14">
        <v>2.544609203</v>
      </c>
      <c r="G1104" s="14">
        <v>0.002843602</v>
      </c>
      <c r="H1104" s="14">
        <v>0.00907111</v>
      </c>
      <c r="I1104" s="14" t="s">
        <v>164</v>
      </c>
      <c r="J1104" s="14">
        <v>16.27583081</v>
      </c>
      <c r="K1104" s="14">
        <v>12.5115329</v>
      </c>
      <c r="L1104" s="14">
        <v>15.08367627</v>
      </c>
      <c r="M1104" s="14">
        <v>0.315661185</v>
      </c>
      <c r="N1104" s="14">
        <v>0.710507898</v>
      </c>
      <c r="O1104" s="14">
        <v>5.559077024</v>
      </c>
      <c r="P1104" s="14" t="s">
        <v>5758</v>
      </c>
      <c r="Q1104" s="14" t="s">
        <v>5759</v>
      </c>
      <c r="R1104" s="14" t="s">
        <v>5760</v>
      </c>
      <c r="S1104" s="14" t="s">
        <v>5761</v>
      </c>
      <c r="T1104" s="14" t="s">
        <v>5762</v>
      </c>
      <c r="U1104" s="14" t="s">
        <v>5763</v>
      </c>
    </row>
    <row r="1105" spans="1:21">
      <c r="A1105" s="14" t="s">
        <v>5764</v>
      </c>
      <c r="B1105" s="14">
        <v>30.27599305</v>
      </c>
      <c r="C1105" s="14">
        <v>9.500587563</v>
      </c>
      <c r="D1105" s="14">
        <v>51.05139854</v>
      </c>
      <c r="E1105" s="14">
        <v>5.380666391</v>
      </c>
      <c r="F1105" s="14">
        <v>2.427784861</v>
      </c>
      <c r="G1105" s="14">
        <v>0.01186817</v>
      </c>
      <c r="H1105" s="14">
        <v>0.031250217</v>
      </c>
      <c r="I1105" s="14" t="s">
        <v>164</v>
      </c>
      <c r="J1105" s="14">
        <v>1.38911785</v>
      </c>
      <c r="K1105" s="14">
        <v>1.118550887</v>
      </c>
      <c r="L1105" s="14">
        <v>1.070009072</v>
      </c>
      <c r="M1105" s="14">
        <v>0.059426094</v>
      </c>
      <c r="N1105" s="14">
        <v>0.43709416</v>
      </c>
      <c r="O1105" s="14">
        <v>0.038760996</v>
      </c>
      <c r="P1105" s="14" t="s">
        <v>5765</v>
      </c>
      <c r="Q1105" s="14" t="s">
        <v>5766</v>
      </c>
      <c r="T1105" s="14" t="s">
        <v>5767</v>
      </c>
      <c r="U1105" s="14" t="s">
        <v>5768</v>
      </c>
    </row>
    <row r="1106" spans="1:21">
      <c r="A1106" s="14" t="s">
        <v>5769</v>
      </c>
      <c r="B1106" s="14">
        <v>14.03886282</v>
      </c>
      <c r="C1106" s="14">
        <v>1.236355384</v>
      </c>
      <c r="D1106" s="14">
        <v>26.84137025</v>
      </c>
      <c r="E1106" s="14">
        <v>20.75704077</v>
      </c>
      <c r="F1106" s="14">
        <v>4.375528875</v>
      </c>
      <c r="G1106" s="14">
        <v>0.000287884</v>
      </c>
      <c r="H1106" s="14">
        <v>0.001216624</v>
      </c>
      <c r="I1106" s="14" t="s">
        <v>164</v>
      </c>
      <c r="J1106" s="14">
        <v>0.281553422</v>
      </c>
      <c r="K1106" s="14">
        <v>0.458825028</v>
      </c>
      <c r="L1106" s="14">
        <v>0.348548855</v>
      </c>
      <c r="M1106" s="14">
        <v>0</v>
      </c>
      <c r="N1106" s="14">
        <v>0</v>
      </c>
      <c r="O1106" s="14">
        <v>0.044892997</v>
      </c>
      <c r="P1106" s="14" t="s">
        <v>5770</v>
      </c>
      <c r="Q1106" s="14" t="s">
        <v>5771</v>
      </c>
      <c r="T1106" s="14" t="s">
        <v>5772</v>
      </c>
      <c r="U1106" s="14" t="s">
        <v>5773</v>
      </c>
    </row>
    <row r="1107" spans="1:21">
      <c r="A1107" s="14" t="s">
        <v>5774</v>
      </c>
      <c r="B1107" s="14">
        <v>27.06103292</v>
      </c>
      <c r="C1107" s="14">
        <v>47.55184242</v>
      </c>
      <c r="D1107" s="14">
        <v>6.570223416</v>
      </c>
      <c r="E1107" s="14">
        <v>0.137693507</v>
      </c>
      <c r="F1107" s="14">
        <v>-2.860467565</v>
      </c>
      <c r="G1107" s="51" t="s">
        <v>3248</v>
      </c>
      <c r="H1107" s="51" t="s">
        <v>5775</v>
      </c>
      <c r="I1107" s="14" t="s">
        <v>147</v>
      </c>
      <c r="J1107" s="14">
        <v>0.054339022</v>
      </c>
      <c r="K1107" s="14">
        <v>0.200544111</v>
      </c>
      <c r="L1107" s="14">
        <v>0.104640593</v>
      </c>
      <c r="M1107" s="14">
        <v>0.588900935</v>
      </c>
      <c r="N1107" s="14">
        <v>0.669055895</v>
      </c>
      <c r="O1107" s="14">
        <v>0.909743374</v>
      </c>
      <c r="P1107" s="14" t="s">
        <v>5776</v>
      </c>
      <c r="Q1107" s="14" t="s">
        <v>5777</v>
      </c>
      <c r="T1107" s="14" t="s">
        <v>5778</v>
      </c>
      <c r="U1107" s="14" t="s">
        <v>5779</v>
      </c>
    </row>
    <row r="1108" spans="1:21">
      <c r="A1108" s="14" t="s">
        <v>5780</v>
      </c>
      <c r="B1108" s="14">
        <v>65.67024677</v>
      </c>
      <c r="C1108" s="14">
        <v>23.29034777</v>
      </c>
      <c r="D1108" s="14">
        <v>108.0501458</v>
      </c>
      <c r="E1108" s="14">
        <v>4.626448414</v>
      </c>
      <c r="F1108" s="14">
        <v>2.209905105</v>
      </c>
      <c r="G1108" s="51" t="s">
        <v>5781</v>
      </c>
      <c r="H1108" s="51" t="s">
        <v>5782</v>
      </c>
      <c r="I1108" s="14" t="s">
        <v>164</v>
      </c>
      <c r="J1108" s="14">
        <v>1.385645055</v>
      </c>
      <c r="K1108" s="14">
        <v>0.887531996</v>
      </c>
      <c r="L1108" s="14">
        <v>0.895664936</v>
      </c>
      <c r="M1108" s="14">
        <v>0.165811268</v>
      </c>
      <c r="N1108" s="14">
        <v>0.159076227</v>
      </c>
      <c r="O1108" s="14">
        <v>0.243340448</v>
      </c>
      <c r="P1108" s="14" t="s">
        <v>5783</v>
      </c>
      <c r="Q1108" s="14" t="s">
        <v>5784</v>
      </c>
      <c r="T1108" s="14" t="s">
        <v>5785</v>
      </c>
      <c r="U1108" s="14" t="s">
        <v>5786</v>
      </c>
    </row>
    <row r="1109" spans="1:21">
      <c r="A1109" s="14" t="s">
        <v>5787</v>
      </c>
      <c r="B1109" s="14">
        <v>657.0415804</v>
      </c>
      <c r="C1109" s="14">
        <v>251.9710833</v>
      </c>
      <c r="D1109" s="14">
        <v>1062.112077</v>
      </c>
      <c r="E1109" s="14">
        <v>4.212499469</v>
      </c>
      <c r="F1109" s="14">
        <v>2.074676504</v>
      </c>
      <c r="G1109" s="51" t="s">
        <v>5788</v>
      </c>
      <c r="H1109" s="51" t="s">
        <v>5789</v>
      </c>
      <c r="I1109" s="14" t="s">
        <v>164</v>
      </c>
      <c r="J1109" s="14">
        <v>9.153004218</v>
      </c>
      <c r="K1109" s="14">
        <v>5.150241041</v>
      </c>
      <c r="L1109" s="14">
        <v>6.644198334</v>
      </c>
      <c r="M1109" s="14">
        <v>1.047138861</v>
      </c>
      <c r="N1109" s="14">
        <v>1.330567819</v>
      </c>
      <c r="O1109" s="14">
        <v>1.754734049</v>
      </c>
      <c r="P1109" s="14" t="s">
        <v>5790</v>
      </c>
      <c r="Q1109" s="14" t="s">
        <v>5791</v>
      </c>
      <c r="T1109" s="14" t="s">
        <v>5792</v>
      </c>
      <c r="U1109" s="14" t="s">
        <v>5793</v>
      </c>
    </row>
    <row r="1110" spans="1:21">
      <c r="A1110" s="14" t="s">
        <v>5794</v>
      </c>
      <c r="B1110" s="14">
        <v>1220.949917</v>
      </c>
      <c r="C1110" s="14">
        <v>2159.955177</v>
      </c>
      <c r="D1110" s="14">
        <v>281.9446575</v>
      </c>
      <c r="E1110" s="14">
        <v>0.130480757</v>
      </c>
      <c r="F1110" s="14">
        <v>-2.93809104</v>
      </c>
      <c r="G1110" s="51" t="s">
        <v>5795</v>
      </c>
      <c r="H1110" s="51" t="s">
        <v>5796</v>
      </c>
      <c r="I1110" s="14" t="s">
        <v>147</v>
      </c>
      <c r="J1110" s="14">
        <v>1.350712827</v>
      </c>
      <c r="K1110" s="14">
        <v>1.743952427</v>
      </c>
      <c r="L1110" s="14">
        <v>0.870011788</v>
      </c>
      <c r="M1110" s="14">
        <v>7.256764981</v>
      </c>
      <c r="N1110" s="14">
        <v>9.921143124</v>
      </c>
      <c r="O1110" s="14">
        <v>7.836789352</v>
      </c>
      <c r="P1110" s="14" t="s">
        <v>5797</v>
      </c>
      <c r="Q1110" s="14" t="s">
        <v>5798</v>
      </c>
      <c r="T1110" s="14" t="s">
        <v>5799</v>
      </c>
      <c r="U1110" s="14" t="s">
        <v>5800</v>
      </c>
    </row>
    <row r="1111" spans="1:21">
      <c r="A1111" s="14" t="s">
        <v>5801</v>
      </c>
      <c r="B1111" s="14">
        <v>5.667856776</v>
      </c>
      <c r="C1111" s="14">
        <v>10.66316356</v>
      </c>
      <c r="D1111" s="14">
        <v>0.672549988</v>
      </c>
      <c r="E1111" s="14">
        <v>0.061974308</v>
      </c>
      <c r="F1111" s="14">
        <v>-4.012185939</v>
      </c>
      <c r="G1111" s="14">
        <v>0.012138631</v>
      </c>
      <c r="H1111" s="14">
        <v>0.031825939</v>
      </c>
      <c r="I1111" s="14" t="s">
        <v>147</v>
      </c>
      <c r="J1111" s="14">
        <v>0</v>
      </c>
      <c r="K1111" s="14">
        <v>0.058847812</v>
      </c>
      <c r="L1111" s="14">
        <v>0</v>
      </c>
      <c r="M1111" s="14">
        <v>0.125058077</v>
      </c>
      <c r="N1111" s="14">
        <v>0.407926484</v>
      </c>
      <c r="O1111" s="14">
        <v>0.244709452</v>
      </c>
      <c r="P1111" s="14" t="s">
        <v>5802</v>
      </c>
      <c r="Q1111" s="14" t="s">
        <v>5803</v>
      </c>
      <c r="T1111" s="14" t="s">
        <v>5804</v>
      </c>
      <c r="U1111" s="14" t="s">
        <v>5805</v>
      </c>
    </row>
    <row r="1112" spans="1:21">
      <c r="A1112" s="14" t="s">
        <v>5806</v>
      </c>
      <c r="B1112" s="14">
        <v>1973.685171</v>
      </c>
      <c r="C1112" s="14">
        <v>3024.054177</v>
      </c>
      <c r="D1112" s="14">
        <v>923.3161658</v>
      </c>
      <c r="E1112" s="14">
        <v>0.305312159</v>
      </c>
      <c r="F1112" s="14">
        <v>-1.711643048</v>
      </c>
      <c r="G1112" s="51" t="s">
        <v>5807</v>
      </c>
      <c r="H1112" s="51" t="s">
        <v>5808</v>
      </c>
      <c r="I1112" s="14" t="s">
        <v>147</v>
      </c>
      <c r="J1112" s="14">
        <v>27.57132818</v>
      </c>
      <c r="K1112" s="14">
        <v>41.32424109</v>
      </c>
      <c r="L1112" s="14">
        <v>29.95487322</v>
      </c>
      <c r="M1112" s="14">
        <v>93.99614199</v>
      </c>
      <c r="N1112" s="14">
        <v>87.53438565</v>
      </c>
      <c r="O1112" s="14">
        <v>84.29068638</v>
      </c>
      <c r="P1112" s="14" t="s">
        <v>5809</v>
      </c>
      <c r="Q1112" s="14" t="s">
        <v>5810</v>
      </c>
      <c r="T1112" s="14" t="s">
        <v>5811</v>
      </c>
      <c r="U1112" s="14" t="s">
        <v>5812</v>
      </c>
    </row>
    <row r="1113" spans="1:15">
      <c r="A1113" s="14" t="s">
        <v>5813</v>
      </c>
      <c r="B1113" s="14">
        <v>1132.620589</v>
      </c>
      <c r="C1113" s="14">
        <v>1525.221461</v>
      </c>
      <c r="D1113" s="14">
        <v>740.0197161</v>
      </c>
      <c r="E1113" s="14">
        <v>0.485034637</v>
      </c>
      <c r="F1113" s="14">
        <v>-1.043840319</v>
      </c>
      <c r="G1113" s="51" t="s">
        <v>5814</v>
      </c>
      <c r="H1113" s="51" t="s">
        <v>5815</v>
      </c>
      <c r="I1113" s="14" t="s">
        <v>147</v>
      </c>
      <c r="J1113" s="14">
        <v>13.80239418</v>
      </c>
      <c r="K1113" s="14">
        <v>15.65175783</v>
      </c>
      <c r="L1113" s="14">
        <v>10.86071383</v>
      </c>
      <c r="M1113" s="14">
        <v>20.47348703</v>
      </c>
      <c r="N1113" s="14">
        <v>19.98206337</v>
      </c>
      <c r="O1113" s="14">
        <v>28.62852377</v>
      </c>
    </row>
    <row r="1114" spans="1:21">
      <c r="A1114" s="14" t="s">
        <v>5816</v>
      </c>
      <c r="B1114" s="14">
        <v>1826.377527</v>
      </c>
      <c r="C1114" s="14">
        <v>3140.279811</v>
      </c>
      <c r="D1114" s="14">
        <v>512.4752426</v>
      </c>
      <c r="E1114" s="14">
        <v>0.163220358</v>
      </c>
      <c r="F1114" s="14">
        <v>-2.615107084</v>
      </c>
      <c r="G1114" s="51" t="s">
        <v>5817</v>
      </c>
      <c r="H1114" s="51" t="s">
        <v>3652</v>
      </c>
      <c r="I1114" s="14" t="s">
        <v>147</v>
      </c>
      <c r="J1114" s="14">
        <v>3.693928997</v>
      </c>
      <c r="K1114" s="14">
        <v>4.312258755</v>
      </c>
      <c r="L1114" s="14">
        <v>5.099557083</v>
      </c>
      <c r="M1114" s="14">
        <v>24.5336088</v>
      </c>
      <c r="N1114" s="14">
        <v>25.61388666</v>
      </c>
      <c r="O1114" s="14">
        <v>14.97380562</v>
      </c>
      <c r="P1114" s="14" t="s">
        <v>651</v>
      </c>
      <c r="Q1114" s="14" t="s">
        <v>652</v>
      </c>
      <c r="T1114" s="14" t="s">
        <v>653</v>
      </c>
      <c r="U1114" s="14" t="s">
        <v>654</v>
      </c>
    </row>
    <row r="1115" spans="1:15">
      <c r="A1115" s="14" t="s">
        <v>5818</v>
      </c>
      <c r="B1115" s="14">
        <v>5498.885961</v>
      </c>
      <c r="C1115" s="14">
        <v>8386.702534</v>
      </c>
      <c r="D1115" s="14">
        <v>2611.069388</v>
      </c>
      <c r="E1115" s="14">
        <v>0.311330127</v>
      </c>
      <c r="F1115" s="14">
        <v>-1.683482902</v>
      </c>
      <c r="G1115" s="51" t="s">
        <v>5819</v>
      </c>
      <c r="H1115" s="51" t="s">
        <v>5820</v>
      </c>
      <c r="I1115" s="14" t="s">
        <v>147</v>
      </c>
      <c r="J1115" s="14">
        <v>70.51330106</v>
      </c>
      <c r="K1115" s="14">
        <v>89.67531078</v>
      </c>
      <c r="L1115" s="14">
        <v>65.90898016</v>
      </c>
      <c r="M1115" s="14">
        <v>212.5907721</v>
      </c>
      <c r="N1115" s="14">
        <v>203.2976101</v>
      </c>
      <c r="O1115" s="14">
        <v>179.3566581</v>
      </c>
    </row>
    <row r="1116" spans="1:17">
      <c r="A1116" s="14" t="s">
        <v>5821</v>
      </c>
      <c r="B1116" s="14">
        <v>9.714439381</v>
      </c>
      <c r="C1116" s="14">
        <v>4.145506657</v>
      </c>
      <c r="D1116" s="14">
        <v>15.28337211</v>
      </c>
      <c r="E1116" s="14">
        <v>3.737337056</v>
      </c>
      <c r="F1116" s="14">
        <v>1.902010681</v>
      </c>
      <c r="G1116" s="14">
        <v>0.018931554</v>
      </c>
      <c r="H1116" s="14">
        <v>0.04643092</v>
      </c>
      <c r="I1116" s="14" t="s">
        <v>164</v>
      </c>
      <c r="J1116" s="14">
        <v>0.17388487</v>
      </c>
      <c r="K1116" s="14">
        <v>0.131265236</v>
      </c>
      <c r="L1116" s="14">
        <v>0.198817127</v>
      </c>
      <c r="M1116" s="14">
        <v>0.055790615</v>
      </c>
      <c r="N1116" s="14">
        <v>0.035682981</v>
      </c>
      <c r="O1116" s="14">
        <v>0.018194867</v>
      </c>
      <c r="P1116" s="14" t="s">
        <v>5822</v>
      </c>
      <c r="Q1116" s="14" t="s">
        <v>5823</v>
      </c>
    </row>
    <row r="1117" spans="1:21">
      <c r="A1117" s="14" t="s">
        <v>5824</v>
      </c>
      <c r="B1117" s="14">
        <v>1482.471966</v>
      </c>
      <c r="C1117" s="14">
        <v>972.9636769</v>
      </c>
      <c r="D1117" s="14">
        <v>1991.980254</v>
      </c>
      <c r="E1117" s="14">
        <v>2.047767828</v>
      </c>
      <c r="F1117" s="14">
        <v>1.034052154</v>
      </c>
      <c r="G1117" s="14">
        <v>0.004291253</v>
      </c>
      <c r="H1117" s="14">
        <v>0.012953751</v>
      </c>
      <c r="I1117" s="14" t="s">
        <v>164</v>
      </c>
      <c r="J1117" s="14">
        <v>9.737343918</v>
      </c>
      <c r="K1117" s="14">
        <v>8.339014576</v>
      </c>
      <c r="L1117" s="14">
        <v>10.12204645</v>
      </c>
      <c r="M1117" s="14">
        <v>4.231540445</v>
      </c>
      <c r="N1117" s="14">
        <v>4.791856341</v>
      </c>
      <c r="O1117" s="14">
        <v>2.099354718</v>
      </c>
      <c r="P1117" s="14" t="s">
        <v>5825</v>
      </c>
      <c r="Q1117" s="14" t="s">
        <v>5826</v>
      </c>
      <c r="T1117" s="14" t="s">
        <v>5827</v>
      </c>
      <c r="U1117" s="14" t="s">
        <v>5828</v>
      </c>
    </row>
    <row r="1118" spans="1:21">
      <c r="A1118" s="14" t="s">
        <v>5829</v>
      </c>
      <c r="B1118" s="14">
        <v>3386.003789</v>
      </c>
      <c r="C1118" s="14">
        <v>5119.847006</v>
      </c>
      <c r="D1118" s="14">
        <v>1652.160573</v>
      </c>
      <c r="E1118" s="14">
        <v>0.322707568</v>
      </c>
      <c r="F1118" s="14">
        <v>-1.631700683</v>
      </c>
      <c r="G1118" s="51" t="s">
        <v>477</v>
      </c>
      <c r="H1118" s="14">
        <v>0.000216706</v>
      </c>
      <c r="I1118" s="14" t="s">
        <v>147</v>
      </c>
      <c r="J1118" s="14">
        <v>28.41576454</v>
      </c>
      <c r="K1118" s="14">
        <v>25.80519186</v>
      </c>
      <c r="L1118" s="14">
        <v>29.56760236</v>
      </c>
      <c r="M1118" s="14">
        <v>65.9068751</v>
      </c>
      <c r="N1118" s="14">
        <v>106.3491818</v>
      </c>
      <c r="O1118" s="14">
        <v>37.59942996</v>
      </c>
      <c r="P1118" s="14" t="s">
        <v>5830</v>
      </c>
      <c r="Q1118" s="14" t="s">
        <v>5831</v>
      </c>
      <c r="T1118" s="14" t="s">
        <v>5832</v>
      </c>
      <c r="U1118" s="14" t="s">
        <v>5833</v>
      </c>
    </row>
    <row r="1119" spans="1:21">
      <c r="A1119" s="14" t="s">
        <v>5834</v>
      </c>
      <c r="B1119" s="14">
        <v>916.0548699</v>
      </c>
      <c r="C1119" s="14">
        <v>467.6470821</v>
      </c>
      <c r="D1119" s="14">
        <v>1364.462658</v>
      </c>
      <c r="E1119" s="14">
        <v>2.917797083</v>
      </c>
      <c r="F1119" s="14">
        <v>1.544879555</v>
      </c>
      <c r="G1119" s="51" t="s">
        <v>5835</v>
      </c>
      <c r="H1119" s="51" t="s">
        <v>5836</v>
      </c>
      <c r="I1119" s="14" t="s">
        <v>164</v>
      </c>
      <c r="J1119" s="14">
        <v>31.09084179</v>
      </c>
      <c r="K1119" s="14">
        <v>27.73195806</v>
      </c>
      <c r="L1119" s="14">
        <v>36.2636921</v>
      </c>
      <c r="M1119" s="14">
        <v>8.041296546</v>
      </c>
      <c r="N1119" s="14">
        <v>9.185926621</v>
      </c>
      <c r="O1119" s="14">
        <v>9.617933682</v>
      </c>
      <c r="P1119" s="14" t="s">
        <v>5837</v>
      </c>
      <c r="Q1119" s="14" t="s">
        <v>5838</v>
      </c>
      <c r="T1119" s="14" t="s">
        <v>5839</v>
      </c>
      <c r="U1119" s="14" t="s">
        <v>5840</v>
      </c>
    </row>
    <row r="1120" spans="1:21">
      <c r="A1120" s="14" t="s">
        <v>5841</v>
      </c>
      <c r="B1120" s="14">
        <v>84.72051539</v>
      </c>
      <c r="C1120" s="14">
        <v>124.4759755</v>
      </c>
      <c r="D1120" s="14">
        <v>44.96505526</v>
      </c>
      <c r="E1120" s="14">
        <v>0.36159151</v>
      </c>
      <c r="F1120" s="14">
        <v>-1.467567291</v>
      </c>
      <c r="G1120" s="51" t="s">
        <v>5842</v>
      </c>
      <c r="H1120" s="14">
        <v>0.000316982</v>
      </c>
      <c r="I1120" s="14" t="s">
        <v>147</v>
      </c>
      <c r="J1120" s="14">
        <v>1.111636427</v>
      </c>
      <c r="K1120" s="14">
        <v>0.608521988</v>
      </c>
      <c r="L1120" s="14">
        <v>0.938893428</v>
      </c>
      <c r="M1120" s="14">
        <v>1.885534328</v>
      </c>
      <c r="N1120" s="14">
        <v>2.385247827</v>
      </c>
      <c r="O1120" s="14">
        <v>1.746822517</v>
      </c>
      <c r="Q1120" s="14" t="s">
        <v>5843</v>
      </c>
      <c r="T1120" s="14" t="s">
        <v>5844</v>
      </c>
      <c r="U1120" s="14" t="s">
        <v>5845</v>
      </c>
    </row>
    <row r="1121" spans="1:21">
      <c r="A1121" s="14" t="s">
        <v>5846</v>
      </c>
      <c r="B1121" s="14">
        <v>4329.881229</v>
      </c>
      <c r="C1121" s="14">
        <v>2834.015153</v>
      </c>
      <c r="D1121" s="14">
        <v>5825.747305</v>
      </c>
      <c r="E1121" s="14">
        <v>2.05576245</v>
      </c>
      <c r="F1121" s="14">
        <v>1.039673566</v>
      </c>
      <c r="G1121" s="51" t="s">
        <v>5847</v>
      </c>
      <c r="H1121" s="51" t="s">
        <v>5848</v>
      </c>
      <c r="I1121" s="14" t="s">
        <v>164</v>
      </c>
      <c r="J1121" s="14">
        <v>86.76172021</v>
      </c>
      <c r="K1121" s="14">
        <v>91.26283301</v>
      </c>
      <c r="L1121" s="14">
        <v>102.5564813</v>
      </c>
      <c r="M1121" s="14">
        <v>35.53932547</v>
      </c>
      <c r="N1121" s="14">
        <v>36.58707608</v>
      </c>
      <c r="O1121" s="14">
        <v>40.33126073</v>
      </c>
      <c r="P1121" s="14" t="s">
        <v>5849</v>
      </c>
      <c r="Q1121" s="14" t="s">
        <v>5850</v>
      </c>
      <c r="T1121" s="14" t="s">
        <v>5851</v>
      </c>
      <c r="U1121" s="14" t="s">
        <v>5852</v>
      </c>
    </row>
    <row r="1122" spans="1:15">
      <c r="A1122" s="14" t="s">
        <v>5853</v>
      </c>
      <c r="B1122" s="14">
        <v>6194.09746</v>
      </c>
      <c r="C1122" s="14">
        <v>9359.959541</v>
      </c>
      <c r="D1122" s="14">
        <v>3028.235378</v>
      </c>
      <c r="E1122" s="14">
        <v>0.323543905</v>
      </c>
      <c r="F1122" s="14">
        <v>-1.627966596</v>
      </c>
      <c r="G1122" s="51" t="s">
        <v>5854</v>
      </c>
      <c r="H1122" s="51" t="s">
        <v>5855</v>
      </c>
      <c r="I1122" s="14" t="s">
        <v>147</v>
      </c>
      <c r="J1122" s="14">
        <v>43.59712491</v>
      </c>
      <c r="K1122" s="14">
        <v>42.16678945</v>
      </c>
      <c r="L1122" s="14">
        <v>43.40112159</v>
      </c>
      <c r="M1122" s="14">
        <v>115.6514216</v>
      </c>
      <c r="N1122" s="14">
        <v>117.9931745</v>
      </c>
      <c r="O1122" s="14">
        <v>92.51091616</v>
      </c>
    </row>
    <row r="1123" spans="1:15">
      <c r="A1123" s="14" t="s">
        <v>5856</v>
      </c>
      <c r="B1123" s="14">
        <v>83.25499041</v>
      </c>
      <c r="C1123" s="14">
        <v>141.4272089</v>
      </c>
      <c r="D1123" s="14">
        <v>25.08277188</v>
      </c>
      <c r="E1123" s="14">
        <v>0.177461195</v>
      </c>
      <c r="F1123" s="14">
        <v>-2.494424509</v>
      </c>
      <c r="G1123" s="14">
        <v>0.00290811</v>
      </c>
      <c r="H1123" s="14">
        <v>0.009247082</v>
      </c>
      <c r="I1123" s="14" t="s">
        <v>147</v>
      </c>
      <c r="J1123" s="14">
        <v>0.640232039</v>
      </c>
      <c r="K1123" s="14">
        <v>3.406181258</v>
      </c>
      <c r="L1123" s="14">
        <v>2.90610756</v>
      </c>
      <c r="M1123" s="14">
        <v>13.38146184</v>
      </c>
      <c r="N1123" s="14">
        <v>15.01511579</v>
      </c>
      <c r="O1123" s="14">
        <v>2.909377325</v>
      </c>
    </row>
    <row r="1124" spans="1:21">
      <c r="A1124" s="14" t="s">
        <v>5857</v>
      </c>
      <c r="B1124" s="14">
        <v>160.4734358</v>
      </c>
      <c r="C1124" s="14">
        <v>281.6716248</v>
      </c>
      <c r="D1124" s="14">
        <v>39.27524675</v>
      </c>
      <c r="E1124" s="14">
        <v>0.139458335</v>
      </c>
      <c r="F1124" s="14">
        <v>-2.842093934</v>
      </c>
      <c r="G1124" s="51" t="s">
        <v>5858</v>
      </c>
      <c r="H1124" s="14">
        <v>0.000245981</v>
      </c>
      <c r="I1124" s="14" t="s">
        <v>147</v>
      </c>
      <c r="J1124" s="14">
        <v>1.218854447</v>
      </c>
      <c r="K1124" s="14">
        <v>3.809578476</v>
      </c>
      <c r="L1124" s="14">
        <v>2.594214703</v>
      </c>
      <c r="M1124" s="14">
        <v>19.75917611</v>
      </c>
      <c r="N1124" s="14">
        <v>19.48315545</v>
      </c>
      <c r="O1124" s="14">
        <v>4.510810897</v>
      </c>
      <c r="P1124" s="14" t="s">
        <v>1541</v>
      </c>
      <c r="Q1124" s="14" t="s">
        <v>1542</v>
      </c>
      <c r="T1124" s="14" t="s">
        <v>1543</v>
      </c>
      <c r="U1124" s="14" t="s">
        <v>1544</v>
      </c>
    </row>
    <row r="1125" spans="1:21">
      <c r="A1125" s="14" t="s">
        <v>5859</v>
      </c>
      <c r="B1125" s="14">
        <v>3757.122958</v>
      </c>
      <c r="C1125" s="14">
        <v>5020.203445</v>
      </c>
      <c r="D1125" s="14">
        <v>2494.042471</v>
      </c>
      <c r="E1125" s="14">
        <v>0.496763528</v>
      </c>
      <c r="F1125" s="14">
        <v>-1.009368838</v>
      </c>
      <c r="G1125" s="51" t="s">
        <v>5860</v>
      </c>
      <c r="H1125" s="51" t="s">
        <v>5861</v>
      </c>
      <c r="I1125" s="14" t="s">
        <v>147</v>
      </c>
      <c r="J1125" s="14">
        <v>36.47128584</v>
      </c>
      <c r="K1125" s="14">
        <v>30.29690374</v>
      </c>
      <c r="L1125" s="14">
        <v>32.88110249</v>
      </c>
      <c r="M1125" s="14">
        <v>48.06530093</v>
      </c>
      <c r="N1125" s="14">
        <v>48.3866573</v>
      </c>
      <c r="O1125" s="14">
        <v>70.15849104</v>
      </c>
      <c r="P1125" s="14" t="s">
        <v>5862</v>
      </c>
      <c r="Q1125" s="14" t="s">
        <v>5863</v>
      </c>
      <c r="R1125" s="14" t="s">
        <v>5864</v>
      </c>
      <c r="S1125" s="14" t="s">
        <v>5865</v>
      </c>
      <c r="T1125" s="14" t="s">
        <v>5866</v>
      </c>
      <c r="U1125" s="14" t="s">
        <v>5867</v>
      </c>
    </row>
    <row r="1126" spans="1:15">
      <c r="A1126" s="14" t="s">
        <v>5868</v>
      </c>
      <c r="B1126" s="14">
        <v>261.6463687</v>
      </c>
      <c r="C1126" s="14">
        <v>351.9840832</v>
      </c>
      <c r="D1126" s="14">
        <v>171.3086542</v>
      </c>
      <c r="E1126" s="14">
        <v>0.486499388</v>
      </c>
      <c r="F1126" s="14">
        <v>-1.039490106</v>
      </c>
      <c r="G1126" s="14">
        <v>0.002175465</v>
      </c>
      <c r="H1126" s="14">
        <v>0.007212275</v>
      </c>
      <c r="I1126" s="14" t="s">
        <v>147</v>
      </c>
      <c r="J1126" s="14">
        <v>4.767810943</v>
      </c>
      <c r="K1126" s="14">
        <v>4.035475743</v>
      </c>
      <c r="L1126" s="14">
        <v>5.268853323</v>
      </c>
      <c r="M1126" s="14">
        <v>6.373927777</v>
      </c>
      <c r="N1126" s="14">
        <v>5.470169602</v>
      </c>
      <c r="O1126" s="14">
        <v>12.40425753</v>
      </c>
    </row>
    <row r="1127" spans="1:21">
      <c r="A1127" s="14" t="s">
        <v>5869</v>
      </c>
      <c r="B1127" s="14">
        <v>14.32842789</v>
      </c>
      <c r="C1127" s="14">
        <v>2.510365338</v>
      </c>
      <c r="D1127" s="14">
        <v>26.14649044</v>
      </c>
      <c r="E1127" s="14">
        <v>10.67752392</v>
      </c>
      <c r="F1127" s="14">
        <v>3.416505224</v>
      </c>
      <c r="G1127" s="14">
        <v>0.002378506</v>
      </c>
      <c r="H1127" s="14">
        <v>0.007784004</v>
      </c>
      <c r="I1127" s="14" t="s">
        <v>164</v>
      </c>
      <c r="J1127" s="14">
        <v>1.363650689</v>
      </c>
      <c r="K1127" s="14">
        <v>1.01834737</v>
      </c>
      <c r="L1127" s="14">
        <v>1.10121767</v>
      </c>
      <c r="M1127" s="14">
        <v>0.225819156</v>
      </c>
      <c r="N1127" s="14">
        <v>0.036107778</v>
      </c>
      <c r="O1127" s="14">
        <v>0</v>
      </c>
      <c r="P1127" s="14" t="s">
        <v>5870</v>
      </c>
      <c r="Q1127" s="14" t="s">
        <v>5871</v>
      </c>
      <c r="R1127" s="14" t="s">
        <v>5872</v>
      </c>
      <c r="S1127" s="14" t="s">
        <v>5873</v>
      </c>
      <c r="T1127" s="14" t="s">
        <v>2798</v>
      </c>
      <c r="U1127" s="14" t="s">
        <v>2799</v>
      </c>
    </row>
    <row r="1128" spans="1:21">
      <c r="A1128" s="14" t="s">
        <v>5874</v>
      </c>
      <c r="B1128" s="14">
        <v>68.56078361</v>
      </c>
      <c r="C1128" s="14">
        <v>26.39756056</v>
      </c>
      <c r="D1128" s="14">
        <v>110.7240067</v>
      </c>
      <c r="E1128" s="14">
        <v>4.176337211</v>
      </c>
      <c r="F1128" s="14">
        <v>2.062238204</v>
      </c>
      <c r="G1128" s="14">
        <v>0.00215245</v>
      </c>
      <c r="H1128" s="14">
        <v>0.007149282</v>
      </c>
      <c r="I1128" s="14" t="s">
        <v>164</v>
      </c>
      <c r="J1128" s="14">
        <v>2.064571429</v>
      </c>
      <c r="K1128" s="14">
        <v>1.102966492</v>
      </c>
      <c r="L1128" s="14">
        <v>2.171367264</v>
      </c>
      <c r="M1128" s="14">
        <v>0.163055665</v>
      </c>
      <c r="N1128" s="14">
        <v>0.182504645</v>
      </c>
      <c r="O1128" s="14">
        <v>0.744477672</v>
      </c>
      <c r="P1128" s="14" t="s">
        <v>5875</v>
      </c>
      <c r="Q1128" s="14" t="s">
        <v>5876</v>
      </c>
      <c r="T1128" s="14" t="s">
        <v>5877</v>
      </c>
      <c r="U1128" s="14" t="s">
        <v>5878</v>
      </c>
    </row>
    <row r="1129" spans="1:21">
      <c r="A1129" s="14" t="s">
        <v>5879</v>
      </c>
      <c r="B1129" s="14">
        <v>674.0773795</v>
      </c>
      <c r="C1129" s="14">
        <v>355.4047539</v>
      </c>
      <c r="D1129" s="14">
        <v>992.7500052</v>
      </c>
      <c r="E1129" s="14">
        <v>2.794740167</v>
      </c>
      <c r="F1129" s="14">
        <v>1.482714159</v>
      </c>
      <c r="G1129" s="14">
        <v>0.000104888</v>
      </c>
      <c r="H1129" s="14">
        <v>0.000493496</v>
      </c>
      <c r="I1129" s="14" t="s">
        <v>164</v>
      </c>
      <c r="J1129" s="14">
        <v>13.75195243</v>
      </c>
      <c r="K1129" s="14">
        <v>15.2301332</v>
      </c>
      <c r="L1129" s="14">
        <v>12.87884222</v>
      </c>
      <c r="M1129" s="14">
        <v>4.780349695</v>
      </c>
      <c r="N1129" s="14">
        <v>5.1237101</v>
      </c>
      <c r="O1129" s="14">
        <v>2.204378176</v>
      </c>
      <c r="P1129" s="14" t="s">
        <v>5880</v>
      </c>
      <c r="Q1129" s="14" t="s">
        <v>5881</v>
      </c>
      <c r="T1129" s="14" t="s">
        <v>5882</v>
      </c>
      <c r="U1129" s="14" t="s">
        <v>5883</v>
      </c>
    </row>
    <row r="1130" spans="1:21">
      <c r="A1130" s="14" t="s">
        <v>5884</v>
      </c>
      <c r="B1130" s="14">
        <v>8889.219097</v>
      </c>
      <c r="C1130" s="14">
        <v>13501.21216</v>
      </c>
      <c r="D1130" s="14">
        <v>4277.226037</v>
      </c>
      <c r="E1130" s="14">
        <v>0.316803962</v>
      </c>
      <c r="F1130" s="14">
        <v>-1.658337716</v>
      </c>
      <c r="G1130" s="51" t="s">
        <v>5885</v>
      </c>
      <c r="H1130" s="51" t="s">
        <v>5886</v>
      </c>
      <c r="I1130" s="14" t="s">
        <v>147</v>
      </c>
      <c r="J1130" s="14">
        <v>99.68979637</v>
      </c>
      <c r="K1130" s="14">
        <v>120.4957009</v>
      </c>
      <c r="L1130" s="14">
        <v>89.69019269</v>
      </c>
      <c r="M1130" s="14">
        <v>302.6484143</v>
      </c>
      <c r="N1130" s="14">
        <v>285.8921521</v>
      </c>
      <c r="O1130" s="14">
        <v>209.3675696</v>
      </c>
      <c r="P1130" s="14" t="s">
        <v>5887</v>
      </c>
      <c r="Q1130" s="14" t="s">
        <v>5888</v>
      </c>
      <c r="T1130" s="14" t="s">
        <v>5889</v>
      </c>
      <c r="U1130" s="14" t="s">
        <v>5890</v>
      </c>
    </row>
    <row r="1131" spans="1:21">
      <c r="A1131" s="14" t="s">
        <v>5891</v>
      </c>
      <c r="B1131" s="14">
        <v>24.22462108</v>
      </c>
      <c r="C1131" s="14">
        <v>6.257086059</v>
      </c>
      <c r="D1131" s="14">
        <v>42.1921561</v>
      </c>
      <c r="E1131" s="14">
        <v>6.82465799</v>
      </c>
      <c r="F1131" s="14">
        <v>2.770756749</v>
      </c>
      <c r="G1131" s="14">
        <v>0.000289755</v>
      </c>
      <c r="H1131" s="14">
        <v>0.001223663</v>
      </c>
      <c r="I1131" s="14" t="s">
        <v>164</v>
      </c>
      <c r="J1131" s="14">
        <v>0.934799194</v>
      </c>
      <c r="K1131" s="14">
        <v>0.784086092</v>
      </c>
      <c r="L1131" s="14">
        <v>0.768810541</v>
      </c>
      <c r="M1131" s="14">
        <v>0.199952309</v>
      </c>
      <c r="N1131" s="14">
        <v>0.03197175</v>
      </c>
      <c r="O1131" s="14">
        <v>0.065209996</v>
      </c>
      <c r="P1131" s="14" t="s">
        <v>5892</v>
      </c>
      <c r="Q1131" s="14" t="s">
        <v>5893</v>
      </c>
      <c r="T1131" s="14" t="s">
        <v>3007</v>
      </c>
      <c r="U1131" s="14" t="s">
        <v>3008</v>
      </c>
    </row>
    <row r="1132" spans="1:21">
      <c r="A1132" s="14" t="s">
        <v>5894</v>
      </c>
      <c r="B1132" s="14">
        <v>21.36537968</v>
      </c>
      <c r="C1132" s="14">
        <v>2.578325563</v>
      </c>
      <c r="D1132" s="14">
        <v>40.1524338</v>
      </c>
      <c r="E1132" s="14">
        <v>15.3323205</v>
      </c>
      <c r="F1132" s="14">
        <v>3.938504156</v>
      </c>
      <c r="G1132" s="14">
        <v>0.000113632</v>
      </c>
      <c r="H1132" s="14">
        <v>0.000531547</v>
      </c>
      <c r="I1132" s="14" t="s">
        <v>164</v>
      </c>
      <c r="J1132" s="14">
        <v>0.494152895</v>
      </c>
      <c r="K1132" s="14">
        <v>0.192861496</v>
      </c>
      <c r="L1132" s="14">
        <v>0.543765527</v>
      </c>
      <c r="M1132" s="14">
        <v>0.017256922</v>
      </c>
      <c r="N1132" s="14">
        <v>0</v>
      </c>
      <c r="O1132" s="14">
        <v>0.050651651</v>
      </c>
      <c r="P1132" s="14" t="s">
        <v>5895</v>
      </c>
      <c r="Q1132" s="14" t="s">
        <v>5896</v>
      </c>
      <c r="T1132" s="14" t="s">
        <v>5897</v>
      </c>
      <c r="U1132" s="14" t="s">
        <v>5898</v>
      </c>
    </row>
    <row r="1133" spans="1:21">
      <c r="A1133" s="14" t="s">
        <v>5899</v>
      </c>
      <c r="B1133" s="14">
        <v>1522.909868</v>
      </c>
      <c r="C1133" s="14">
        <v>2056.228403</v>
      </c>
      <c r="D1133" s="14">
        <v>989.5913324</v>
      </c>
      <c r="E1133" s="14">
        <v>0.481342043</v>
      </c>
      <c r="F1133" s="14">
        <v>-1.054865655</v>
      </c>
      <c r="G1133" s="14">
        <v>0.000124052</v>
      </c>
      <c r="H1133" s="14">
        <v>0.000574854</v>
      </c>
      <c r="I1133" s="14" t="s">
        <v>147</v>
      </c>
      <c r="J1133" s="14">
        <v>9.617944132</v>
      </c>
      <c r="K1133" s="14">
        <v>10.66814142</v>
      </c>
      <c r="L1133" s="14">
        <v>11.69385804</v>
      </c>
      <c r="M1133" s="14">
        <v>20.44493128</v>
      </c>
      <c r="N1133" s="14">
        <v>20.69104909</v>
      </c>
      <c r="O1133" s="14">
        <v>12.81761557</v>
      </c>
      <c r="P1133" s="14" t="s">
        <v>5900</v>
      </c>
      <c r="Q1133" s="14" t="s">
        <v>5901</v>
      </c>
      <c r="T1133" s="14" t="s">
        <v>5902</v>
      </c>
      <c r="U1133" s="14" t="s">
        <v>5903</v>
      </c>
    </row>
    <row r="1134" spans="1:21">
      <c r="A1134" s="14" t="s">
        <v>5904</v>
      </c>
      <c r="B1134" s="14">
        <v>29107.78042</v>
      </c>
      <c r="C1134" s="14">
        <v>40560.95246</v>
      </c>
      <c r="D1134" s="14">
        <v>17654.60837</v>
      </c>
      <c r="E1134" s="14">
        <v>0.435262552</v>
      </c>
      <c r="F1134" s="14">
        <v>-1.200042193</v>
      </c>
      <c r="G1134" s="51" t="s">
        <v>2609</v>
      </c>
      <c r="H1134" s="51" t="s">
        <v>2610</v>
      </c>
      <c r="I1134" s="14" t="s">
        <v>147</v>
      </c>
      <c r="J1134" s="14">
        <v>311.7603931</v>
      </c>
      <c r="K1134" s="14">
        <v>410.8165733</v>
      </c>
      <c r="L1134" s="14">
        <v>318.4175718</v>
      </c>
      <c r="M1134" s="14">
        <v>720.7513817</v>
      </c>
      <c r="N1134" s="14">
        <v>682.7569549</v>
      </c>
      <c r="O1134" s="14">
        <v>551.5587906</v>
      </c>
      <c r="P1134" s="14" t="s">
        <v>5905</v>
      </c>
      <c r="Q1134" s="14" t="s">
        <v>5906</v>
      </c>
      <c r="R1134" s="14" t="s">
        <v>5907</v>
      </c>
      <c r="S1134" s="14" t="s">
        <v>5908</v>
      </c>
      <c r="T1134" s="14" t="s">
        <v>5909</v>
      </c>
      <c r="U1134" s="14" t="s">
        <v>5910</v>
      </c>
    </row>
    <row r="1135" spans="1:21">
      <c r="A1135" s="14" t="s">
        <v>5911</v>
      </c>
      <c r="B1135" s="14">
        <v>339.0402336</v>
      </c>
      <c r="C1135" s="14">
        <v>525.9189814</v>
      </c>
      <c r="D1135" s="14">
        <v>152.1614857</v>
      </c>
      <c r="E1135" s="14">
        <v>0.289498314</v>
      </c>
      <c r="F1135" s="14">
        <v>-1.788373149</v>
      </c>
      <c r="G1135" s="51" t="s">
        <v>5912</v>
      </c>
      <c r="H1135" s="51" t="s">
        <v>4380</v>
      </c>
      <c r="I1135" s="14" t="s">
        <v>147</v>
      </c>
      <c r="J1135" s="14">
        <v>1.12009801</v>
      </c>
      <c r="K1135" s="14">
        <v>1.188767865</v>
      </c>
      <c r="L1135" s="14">
        <v>1.203208579</v>
      </c>
      <c r="M1135" s="14">
        <v>3.644337458</v>
      </c>
      <c r="N1135" s="14">
        <v>3.427508779</v>
      </c>
      <c r="O1135" s="14">
        <v>2.844792795</v>
      </c>
      <c r="P1135" s="14" t="s">
        <v>5913</v>
      </c>
      <c r="Q1135" s="14" t="s">
        <v>5914</v>
      </c>
      <c r="T1135" s="14" t="s">
        <v>4373</v>
      </c>
      <c r="U1135" s="14" t="s">
        <v>4374</v>
      </c>
    </row>
    <row r="1136" spans="1:21">
      <c r="A1136" s="14" t="s">
        <v>5915</v>
      </c>
      <c r="B1136" s="14">
        <v>2866.181519</v>
      </c>
      <c r="C1136" s="14">
        <v>4221.179395</v>
      </c>
      <c r="D1136" s="14">
        <v>1511.183643</v>
      </c>
      <c r="E1136" s="14">
        <v>0.358022036</v>
      </c>
      <c r="F1136" s="14">
        <v>-1.481879709</v>
      </c>
      <c r="G1136" s="51" t="s">
        <v>5916</v>
      </c>
      <c r="H1136" s="51" t="s">
        <v>5917</v>
      </c>
      <c r="I1136" s="14" t="s">
        <v>147</v>
      </c>
      <c r="J1136" s="14">
        <v>5.855086654</v>
      </c>
      <c r="K1136" s="14">
        <v>5.083875708</v>
      </c>
      <c r="L1136" s="14">
        <v>5.202862936</v>
      </c>
      <c r="M1136" s="14">
        <v>14.53683869</v>
      </c>
      <c r="N1136" s="14">
        <v>13.58446592</v>
      </c>
      <c r="O1136" s="14">
        <v>8.476869962</v>
      </c>
      <c r="P1136" s="14" t="s">
        <v>5918</v>
      </c>
      <c r="Q1136" s="14" t="s">
        <v>5919</v>
      </c>
      <c r="T1136" s="14" t="s">
        <v>5920</v>
      </c>
      <c r="U1136" s="14" t="s">
        <v>5921</v>
      </c>
    </row>
    <row r="1137" spans="1:21">
      <c r="A1137" s="14" t="s">
        <v>5922</v>
      </c>
      <c r="B1137" s="14">
        <v>1108.551307</v>
      </c>
      <c r="C1137" s="14">
        <v>687.5300476</v>
      </c>
      <c r="D1137" s="14">
        <v>1529.572566</v>
      </c>
      <c r="E1137" s="14">
        <v>2.224034434</v>
      </c>
      <c r="F1137" s="14">
        <v>1.153179125</v>
      </c>
      <c r="G1137" s="14">
        <v>0.008096681</v>
      </c>
      <c r="H1137" s="14">
        <v>0.022493165</v>
      </c>
      <c r="I1137" s="14" t="s">
        <v>164</v>
      </c>
      <c r="J1137" s="14">
        <v>7.617580224</v>
      </c>
      <c r="K1137" s="14">
        <v>8.53289735</v>
      </c>
      <c r="L1137" s="14">
        <v>9.572885968</v>
      </c>
      <c r="M1137" s="14">
        <v>1.894032737</v>
      </c>
      <c r="N1137" s="14">
        <v>1.940061177</v>
      </c>
      <c r="O1137" s="14">
        <v>5.991192851</v>
      </c>
      <c r="P1137" s="14" t="s">
        <v>5923</v>
      </c>
      <c r="Q1137" s="14" t="s">
        <v>5924</v>
      </c>
      <c r="T1137" s="14" t="s">
        <v>5925</v>
      </c>
      <c r="U1137" s="14" t="s">
        <v>5926</v>
      </c>
    </row>
    <row r="1138" spans="1:21">
      <c r="A1138" s="14" t="s">
        <v>5927</v>
      </c>
      <c r="B1138" s="14">
        <v>1534.421677</v>
      </c>
      <c r="C1138" s="14">
        <v>2467.490486</v>
      </c>
      <c r="D1138" s="14">
        <v>601.3528673</v>
      </c>
      <c r="E1138" s="14">
        <v>0.243747287</v>
      </c>
      <c r="F1138" s="14">
        <v>-2.036541933</v>
      </c>
      <c r="G1138" s="51" t="s">
        <v>5928</v>
      </c>
      <c r="H1138" s="51" t="s">
        <v>5929</v>
      </c>
      <c r="I1138" s="14" t="s">
        <v>147</v>
      </c>
      <c r="J1138" s="14">
        <v>4.849757694</v>
      </c>
      <c r="K1138" s="14">
        <v>5.448020066</v>
      </c>
      <c r="L1138" s="14">
        <v>5.47842555</v>
      </c>
      <c r="M1138" s="14">
        <v>18.0277783</v>
      </c>
      <c r="N1138" s="14">
        <v>19.28595432</v>
      </c>
      <c r="O1138" s="14">
        <v>15.65170831</v>
      </c>
      <c r="Q1138" s="14" t="s">
        <v>5930</v>
      </c>
      <c r="T1138" s="14" t="s">
        <v>5931</v>
      </c>
      <c r="U1138" s="14" t="s">
        <v>5932</v>
      </c>
    </row>
    <row r="1139" spans="1:21">
      <c r="A1139" s="14" t="s">
        <v>5933</v>
      </c>
      <c r="B1139" s="14">
        <v>56.61510339</v>
      </c>
      <c r="C1139" s="14">
        <v>14.34891472</v>
      </c>
      <c r="D1139" s="14">
        <v>98.88129205</v>
      </c>
      <c r="E1139" s="14">
        <v>6.923891734</v>
      </c>
      <c r="F1139" s="14">
        <v>2.791583166</v>
      </c>
      <c r="G1139" s="51" t="s">
        <v>5934</v>
      </c>
      <c r="H1139" s="51" t="s">
        <v>5935</v>
      </c>
      <c r="I1139" s="14" t="s">
        <v>164</v>
      </c>
      <c r="J1139" s="14">
        <v>0.912912217</v>
      </c>
      <c r="K1139" s="14">
        <v>0.698058873</v>
      </c>
      <c r="L1139" s="14">
        <v>0.504230846</v>
      </c>
      <c r="M1139" s="14">
        <v>0.084768682</v>
      </c>
      <c r="N1139" s="14">
        <v>0.12198823</v>
      </c>
      <c r="O1139" s="14">
        <v>0.041468129</v>
      </c>
      <c r="P1139" s="14" t="s">
        <v>5936</v>
      </c>
      <c r="Q1139" s="14" t="s">
        <v>5937</v>
      </c>
      <c r="T1139" s="14" t="s">
        <v>5938</v>
      </c>
      <c r="U1139" s="14" t="s">
        <v>5939</v>
      </c>
    </row>
    <row r="1140" spans="1:15">
      <c r="A1140" s="14" t="s">
        <v>5940</v>
      </c>
      <c r="B1140" s="14">
        <v>102.1714622</v>
      </c>
      <c r="C1140" s="14">
        <v>140.5737602</v>
      </c>
      <c r="D1140" s="14">
        <v>63.76916426</v>
      </c>
      <c r="E1140" s="14">
        <v>0.454010539</v>
      </c>
      <c r="F1140" s="14">
        <v>-1.139202307</v>
      </c>
      <c r="G1140" s="14">
        <v>0.006270788</v>
      </c>
      <c r="H1140" s="14">
        <v>0.018010569</v>
      </c>
      <c r="I1140" s="14" t="s">
        <v>147</v>
      </c>
      <c r="J1140" s="14">
        <v>1.796514598</v>
      </c>
      <c r="K1140" s="14">
        <v>2.511452227</v>
      </c>
      <c r="L1140" s="14">
        <v>2.114167084</v>
      </c>
      <c r="M1140" s="14">
        <v>4.326619115</v>
      </c>
      <c r="N1140" s="14">
        <v>4.751662273</v>
      </c>
      <c r="O1140" s="14">
        <v>2.395038679</v>
      </c>
    </row>
    <row r="1141" spans="1:21">
      <c r="A1141" s="14" t="s">
        <v>5941</v>
      </c>
      <c r="B1141" s="14">
        <v>364.4422745</v>
      </c>
      <c r="C1141" s="14">
        <v>221.5673643</v>
      </c>
      <c r="D1141" s="14">
        <v>507.3171848</v>
      </c>
      <c r="E1141" s="14">
        <v>2.29115639</v>
      </c>
      <c r="F1141" s="14">
        <v>1.196075938</v>
      </c>
      <c r="G1141" s="51" t="s">
        <v>5942</v>
      </c>
      <c r="H1141" s="51" t="s">
        <v>5943</v>
      </c>
      <c r="I1141" s="14" t="s">
        <v>164</v>
      </c>
      <c r="J1141" s="14">
        <v>3.153515866</v>
      </c>
      <c r="K1141" s="14">
        <v>2.964147468</v>
      </c>
      <c r="L1141" s="14">
        <v>3.31400488</v>
      </c>
      <c r="M1141" s="14">
        <v>1.034108752</v>
      </c>
      <c r="N1141" s="14">
        <v>1.259015963</v>
      </c>
      <c r="O1141" s="14">
        <v>1.088791827</v>
      </c>
      <c r="P1141" s="14" t="s">
        <v>5944</v>
      </c>
      <c r="Q1141" s="14" t="s">
        <v>5945</v>
      </c>
      <c r="T1141" s="14" t="s">
        <v>5946</v>
      </c>
      <c r="U1141" s="14" t="s">
        <v>5947</v>
      </c>
    </row>
    <row r="1142" spans="1:15">
      <c r="A1142" s="14" t="s">
        <v>5948</v>
      </c>
      <c r="B1142" s="14">
        <v>598.7167475</v>
      </c>
      <c r="C1142" s="14">
        <v>855.0220563</v>
      </c>
      <c r="D1142" s="14">
        <v>342.4114388</v>
      </c>
      <c r="E1142" s="14">
        <v>0.400278776</v>
      </c>
      <c r="F1142" s="14">
        <v>-1.320922975</v>
      </c>
      <c r="G1142" s="51" t="s">
        <v>5949</v>
      </c>
      <c r="H1142" s="51" t="s">
        <v>5950</v>
      </c>
      <c r="I1142" s="14" t="s">
        <v>147</v>
      </c>
      <c r="J1142" s="14">
        <v>9.114259629</v>
      </c>
      <c r="K1142" s="14">
        <v>7.753469358</v>
      </c>
      <c r="L1142" s="14">
        <v>7.105166146</v>
      </c>
      <c r="M1142" s="14">
        <v>15.37851069</v>
      </c>
      <c r="N1142" s="14">
        <v>14.43105536</v>
      </c>
      <c r="O1142" s="14">
        <v>19.80969994</v>
      </c>
    </row>
    <row r="1143" spans="1:15">
      <c r="A1143" s="14" t="s">
        <v>5951</v>
      </c>
      <c r="B1143" s="14">
        <v>14.97664775</v>
      </c>
      <c r="C1143" s="14">
        <v>4.861543604</v>
      </c>
      <c r="D1143" s="14">
        <v>25.0917519</v>
      </c>
      <c r="E1143" s="14">
        <v>5.109670376</v>
      </c>
      <c r="F1143" s="14">
        <v>2.353230226</v>
      </c>
      <c r="G1143" s="14">
        <v>0.009670917</v>
      </c>
      <c r="H1143" s="14">
        <v>0.026212423</v>
      </c>
      <c r="I1143" s="14" t="s">
        <v>164</v>
      </c>
      <c r="J1143" s="14">
        <v>4.208255353</v>
      </c>
      <c r="K1143" s="14">
        <v>1.033106027</v>
      </c>
      <c r="L1143" s="14">
        <v>2.569507896</v>
      </c>
      <c r="M1143" s="14">
        <v>0.175637121</v>
      </c>
      <c r="N1143" s="14">
        <v>0.337005932</v>
      </c>
      <c r="O1143" s="14">
        <v>0.773281868</v>
      </c>
    </row>
    <row r="1144" spans="1:15">
      <c r="A1144" s="14" t="s">
        <v>5952</v>
      </c>
      <c r="B1144" s="14">
        <v>10.11336264</v>
      </c>
      <c r="C1144" s="14">
        <v>18.88621665</v>
      </c>
      <c r="D1144" s="14">
        <v>1.340508619</v>
      </c>
      <c r="E1144" s="14">
        <v>0.070171433</v>
      </c>
      <c r="F1144" s="14">
        <v>-3.832972368</v>
      </c>
      <c r="G1144" s="14">
        <v>0.002026422</v>
      </c>
      <c r="H1144" s="14">
        <v>0.006788913</v>
      </c>
      <c r="I1144" s="14" t="s">
        <v>147</v>
      </c>
      <c r="J1144" s="14">
        <v>0.07390107</v>
      </c>
      <c r="K1144" s="14">
        <v>0.223150902</v>
      </c>
      <c r="L1144" s="14">
        <v>0</v>
      </c>
      <c r="M1144" s="14">
        <v>1.327816635</v>
      </c>
      <c r="N1144" s="14">
        <v>1.577187762</v>
      </c>
      <c r="O1144" s="14">
        <v>0.494900396</v>
      </c>
    </row>
    <row r="1145" spans="1:21">
      <c r="A1145" s="14" t="s">
        <v>5953</v>
      </c>
      <c r="B1145" s="14">
        <v>1429.271335</v>
      </c>
      <c r="C1145" s="14">
        <v>1960.079262</v>
      </c>
      <c r="D1145" s="14">
        <v>898.4634073</v>
      </c>
      <c r="E1145" s="14">
        <v>0.458400632</v>
      </c>
      <c r="F1145" s="14">
        <v>-1.125319062</v>
      </c>
      <c r="G1145" s="14">
        <v>0.005449279</v>
      </c>
      <c r="H1145" s="14">
        <v>0.015978273</v>
      </c>
      <c r="I1145" s="14" t="s">
        <v>147</v>
      </c>
      <c r="J1145" s="14">
        <v>4.642625185</v>
      </c>
      <c r="K1145" s="14">
        <v>6.232431266</v>
      </c>
      <c r="L1145" s="14">
        <v>4.046939669</v>
      </c>
      <c r="M1145" s="14">
        <v>10.42175102</v>
      </c>
      <c r="N1145" s="14">
        <v>11.17551492</v>
      </c>
      <c r="O1145" s="14">
        <v>4.727996195</v>
      </c>
      <c r="P1145" s="14" t="s">
        <v>5954</v>
      </c>
      <c r="Q1145" s="14" t="s">
        <v>5955</v>
      </c>
      <c r="T1145" s="14" t="s">
        <v>2960</v>
      </c>
      <c r="U1145" s="14" t="s">
        <v>2961</v>
      </c>
    </row>
    <row r="1146" spans="1:21">
      <c r="A1146" s="14" t="s">
        <v>5956</v>
      </c>
      <c r="B1146" s="14">
        <v>8.318218702</v>
      </c>
      <c r="C1146" s="14">
        <v>15.03040499</v>
      </c>
      <c r="D1146" s="14">
        <v>1.606032417</v>
      </c>
      <c r="E1146" s="14">
        <v>0.107223174</v>
      </c>
      <c r="F1146" s="14">
        <v>-3.221311342</v>
      </c>
      <c r="G1146" s="14">
        <v>0.00958844</v>
      </c>
      <c r="H1146" s="14">
        <v>0.026032446</v>
      </c>
      <c r="I1146" s="14" t="s">
        <v>147</v>
      </c>
      <c r="J1146" s="14">
        <v>0.015516742</v>
      </c>
      <c r="K1146" s="14">
        <v>0.015618064</v>
      </c>
      <c r="L1146" s="14">
        <v>0.044820859</v>
      </c>
      <c r="M1146" s="14">
        <v>0.066380211</v>
      </c>
      <c r="N1146" s="14">
        <v>0.101894291</v>
      </c>
      <c r="O1146" s="14">
        <v>0.441627943</v>
      </c>
      <c r="P1146" s="14" t="s">
        <v>5954</v>
      </c>
      <c r="Q1146" s="14" t="s">
        <v>5955</v>
      </c>
      <c r="T1146" s="14" t="s">
        <v>2960</v>
      </c>
      <c r="U1146" s="14" t="s">
        <v>2961</v>
      </c>
    </row>
    <row r="1147" spans="1:21">
      <c r="A1147" s="14" t="s">
        <v>5957</v>
      </c>
      <c r="B1147" s="14">
        <v>767.1855965</v>
      </c>
      <c r="C1147" s="14">
        <v>1382.076446</v>
      </c>
      <c r="D1147" s="14">
        <v>152.294747</v>
      </c>
      <c r="E1147" s="14">
        <v>0.110096218</v>
      </c>
      <c r="F1147" s="14">
        <v>-3.183163182</v>
      </c>
      <c r="G1147" s="51" t="s">
        <v>5958</v>
      </c>
      <c r="H1147" s="51" t="s">
        <v>5959</v>
      </c>
      <c r="I1147" s="14" t="s">
        <v>147</v>
      </c>
      <c r="J1147" s="14">
        <v>1.020773003</v>
      </c>
      <c r="K1147" s="14">
        <v>1.399065216</v>
      </c>
      <c r="L1147" s="14">
        <v>0.913144987</v>
      </c>
      <c r="M1147" s="14">
        <v>8.170016705</v>
      </c>
      <c r="N1147" s="14">
        <v>8.176883746</v>
      </c>
      <c r="O1147" s="14">
        <v>8.593367468</v>
      </c>
      <c r="P1147" s="14" t="s">
        <v>5960</v>
      </c>
      <c r="Q1147" s="14" t="s">
        <v>5961</v>
      </c>
      <c r="R1147" s="14" t="s">
        <v>5962</v>
      </c>
      <c r="S1147" s="14" t="s">
        <v>5963</v>
      </c>
      <c r="T1147" s="14" t="s">
        <v>5964</v>
      </c>
      <c r="U1147" s="14" t="s">
        <v>5965</v>
      </c>
    </row>
    <row r="1148" spans="1:21">
      <c r="A1148" s="14" t="s">
        <v>5966</v>
      </c>
      <c r="B1148" s="14">
        <v>1040.117121</v>
      </c>
      <c r="C1148" s="14">
        <v>1623.525989</v>
      </c>
      <c r="D1148" s="14">
        <v>456.7082534</v>
      </c>
      <c r="E1148" s="14">
        <v>0.281268053</v>
      </c>
      <c r="F1148" s="14">
        <v>-1.8299824</v>
      </c>
      <c r="G1148" s="51" t="s">
        <v>5967</v>
      </c>
      <c r="H1148" s="51" t="s">
        <v>5968</v>
      </c>
      <c r="I1148" s="14" t="s">
        <v>147</v>
      </c>
      <c r="J1148" s="14">
        <v>8.127041785</v>
      </c>
      <c r="K1148" s="14">
        <v>6.205600923</v>
      </c>
      <c r="L1148" s="14">
        <v>7.210501091</v>
      </c>
      <c r="M1148" s="14">
        <v>17.90314563</v>
      </c>
      <c r="N1148" s="14">
        <v>20.34531318</v>
      </c>
      <c r="O1148" s="14">
        <v>25.19248063</v>
      </c>
      <c r="P1148" s="14" t="s">
        <v>5969</v>
      </c>
      <c r="Q1148" s="14" t="s">
        <v>5970</v>
      </c>
      <c r="R1148" s="14" t="s">
        <v>5971</v>
      </c>
      <c r="S1148" s="14" t="s">
        <v>5972</v>
      </c>
      <c r="T1148" s="14" t="s">
        <v>5973</v>
      </c>
      <c r="U1148" s="14" t="s">
        <v>5974</v>
      </c>
    </row>
    <row r="1149" spans="1:21">
      <c r="A1149" s="14" t="s">
        <v>5975</v>
      </c>
      <c r="B1149" s="14">
        <v>40.42642144</v>
      </c>
      <c r="C1149" s="14">
        <v>66.19610719</v>
      </c>
      <c r="D1149" s="14">
        <v>14.65673568</v>
      </c>
      <c r="E1149" s="14">
        <v>0.221724402</v>
      </c>
      <c r="F1149" s="14">
        <v>-2.173160536</v>
      </c>
      <c r="G1149" s="14">
        <v>0.000314161</v>
      </c>
      <c r="H1149" s="14">
        <v>0.00131736</v>
      </c>
      <c r="I1149" s="14" t="s">
        <v>147</v>
      </c>
      <c r="J1149" s="14">
        <v>0.042843959</v>
      </c>
      <c r="K1149" s="14">
        <v>0.14374575</v>
      </c>
      <c r="L1149" s="14">
        <v>0.130632227</v>
      </c>
      <c r="M1149" s="14">
        <v>0.519308416</v>
      </c>
      <c r="N1149" s="14">
        <v>0.281344813</v>
      </c>
      <c r="O1149" s="14">
        <v>0.370601462</v>
      </c>
      <c r="P1149" s="14" t="s">
        <v>5976</v>
      </c>
      <c r="Q1149" s="14" t="s">
        <v>5977</v>
      </c>
      <c r="R1149" s="14" t="s">
        <v>5978</v>
      </c>
      <c r="S1149" s="14" t="s">
        <v>5979</v>
      </c>
      <c r="T1149" s="14" t="s">
        <v>5980</v>
      </c>
      <c r="U1149" s="14" t="s">
        <v>5981</v>
      </c>
    </row>
    <row r="1150" spans="1:21">
      <c r="A1150" s="14" t="s">
        <v>5982</v>
      </c>
      <c r="B1150" s="14">
        <v>98.09638122</v>
      </c>
      <c r="C1150" s="14">
        <v>193.8526116</v>
      </c>
      <c r="D1150" s="14">
        <v>2.340150889</v>
      </c>
      <c r="E1150" s="14">
        <v>0.011970322</v>
      </c>
      <c r="F1150" s="14">
        <v>-6.384394262</v>
      </c>
      <c r="G1150" s="51" t="s">
        <v>5983</v>
      </c>
      <c r="H1150" s="51" t="s">
        <v>5984</v>
      </c>
      <c r="I1150" s="14" t="s">
        <v>147</v>
      </c>
      <c r="J1150" s="14">
        <v>0.048619125</v>
      </c>
      <c r="K1150" s="14">
        <v>0.065248802</v>
      </c>
      <c r="L1150" s="14">
        <v>0</v>
      </c>
      <c r="M1150" s="14">
        <v>2.939610762</v>
      </c>
      <c r="N1150" s="14">
        <v>4.256917038</v>
      </c>
      <c r="O1150" s="14">
        <v>0.37985776</v>
      </c>
      <c r="P1150" s="14" t="s">
        <v>5985</v>
      </c>
      <c r="Q1150" s="14" t="s">
        <v>5986</v>
      </c>
      <c r="T1150" s="14" t="s">
        <v>5987</v>
      </c>
      <c r="U1150" s="14" t="s">
        <v>5988</v>
      </c>
    </row>
    <row r="1151" spans="1:21">
      <c r="A1151" s="14" t="s">
        <v>5989</v>
      </c>
      <c r="B1151" s="14">
        <v>294.5058463</v>
      </c>
      <c r="C1151" s="14">
        <v>440.9184923</v>
      </c>
      <c r="D1151" s="14">
        <v>148.0932002</v>
      </c>
      <c r="E1151" s="14">
        <v>0.335856982</v>
      </c>
      <c r="F1151" s="14">
        <v>-1.574081075</v>
      </c>
      <c r="G1151" s="14">
        <v>0.015824098</v>
      </c>
      <c r="H1151" s="14">
        <v>0.039906278</v>
      </c>
      <c r="I1151" s="14" t="s">
        <v>147</v>
      </c>
      <c r="J1151" s="14">
        <v>0.505439922</v>
      </c>
      <c r="K1151" s="14">
        <v>3.47432454</v>
      </c>
      <c r="L1151" s="14">
        <v>1.531206543</v>
      </c>
      <c r="M1151" s="14">
        <v>5.389825085</v>
      </c>
      <c r="N1151" s="14">
        <v>4.624461963</v>
      </c>
      <c r="O1151" s="14">
        <v>3.374508508</v>
      </c>
      <c r="P1151" s="14" t="s">
        <v>5990</v>
      </c>
      <c r="Q1151" s="14" t="s">
        <v>5991</v>
      </c>
      <c r="T1151" s="14" t="s">
        <v>5992</v>
      </c>
      <c r="U1151" s="14" t="s">
        <v>5993</v>
      </c>
    </row>
    <row r="1152" spans="1:21">
      <c r="A1152" s="14" t="s">
        <v>5994</v>
      </c>
      <c r="B1152" s="14">
        <v>2369.337102</v>
      </c>
      <c r="C1152" s="14">
        <v>1500.471383</v>
      </c>
      <c r="D1152" s="14">
        <v>3238.202821</v>
      </c>
      <c r="E1152" s="14">
        <v>2.158369711</v>
      </c>
      <c r="F1152" s="14">
        <v>1.109942008</v>
      </c>
      <c r="G1152" s="14">
        <v>0.000973097</v>
      </c>
      <c r="H1152" s="14">
        <v>0.003582098</v>
      </c>
      <c r="I1152" s="14" t="s">
        <v>164</v>
      </c>
      <c r="J1152" s="14">
        <v>17.36721425</v>
      </c>
      <c r="K1152" s="14">
        <v>9.430449366</v>
      </c>
      <c r="L1152" s="14">
        <v>15.83201031</v>
      </c>
      <c r="M1152" s="14">
        <v>5.599155197</v>
      </c>
      <c r="N1152" s="14">
        <v>6.586418396</v>
      </c>
      <c r="O1152" s="14">
        <v>3.854300322</v>
      </c>
      <c r="P1152" s="14" t="s">
        <v>5995</v>
      </c>
      <c r="Q1152" s="14" t="s">
        <v>5996</v>
      </c>
      <c r="T1152" s="14" t="s">
        <v>5997</v>
      </c>
      <c r="U1152" s="14" t="s">
        <v>5998</v>
      </c>
    </row>
    <row r="1153" spans="1:21">
      <c r="A1153" s="14" t="s">
        <v>5999</v>
      </c>
      <c r="B1153" s="14">
        <v>783.1031163</v>
      </c>
      <c r="C1153" s="14">
        <v>378.6958836</v>
      </c>
      <c r="D1153" s="14">
        <v>1187.510349</v>
      </c>
      <c r="E1153" s="14">
        <v>3.133996014</v>
      </c>
      <c r="F1153" s="14">
        <v>1.648003345</v>
      </c>
      <c r="G1153" s="51" t="s">
        <v>6000</v>
      </c>
      <c r="H1153" s="14">
        <v>0.000278081</v>
      </c>
      <c r="I1153" s="14" t="s">
        <v>164</v>
      </c>
      <c r="J1153" s="14">
        <v>117.1580659</v>
      </c>
      <c r="K1153" s="14">
        <v>83.68158821</v>
      </c>
      <c r="L1153" s="14">
        <v>119.0487978</v>
      </c>
      <c r="M1153" s="14">
        <v>17.32727751</v>
      </c>
      <c r="N1153" s="14">
        <v>19.02949362</v>
      </c>
      <c r="O1153" s="14">
        <v>49.96590532</v>
      </c>
      <c r="Q1153" s="14" t="s">
        <v>6001</v>
      </c>
      <c r="R1153" s="14" t="s">
        <v>6002</v>
      </c>
      <c r="S1153" s="14" t="s">
        <v>6003</v>
      </c>
      <c r="T1153" s="14" t="s">
        <v>6004</v>
      </c>
      <c r="U1153" s="14" t="s">
        <v>6005</v>
      </c>
    </row>
    <row r="1154" spans="1:21">
      <c r="A1154" s="14" t="s">
        <v>6006</v>
      </c>
      <c r="B1154" s="14">
        <v>880.7569269</v>
      </c>
      <c r="C1154" s="14">
        <v>222.1600574</v>
      </c>
      <c r="D1154" s="14">
        <v>1539.353796</v>
      </c>
      <c r="E1154" s="14">
        <v>6.921439121</v>
      </c>
      <c r="F1154" s="14">
        <v>2.791072037</v>
      </c>
      <c r="G1154" s="51" t="s">
        <v>6007</v>
      </c>
      <c r="H1154" s="51" t="s">
        <v>6008</v>
      </c>
      <c r="I1154" s="14" t="s">
        <v>164</v>
      </c>
      <c r="J1154" s="14">
        <v>11.88768335</v>
      </c>
      <c r="K1154" s="14">
        <v>11.28517505</v>
      </c>
      <c r="L1154" s="14">
        <v>15.79153176</v>
      </c>
      <c r="M1154" s="14">
        <v>0.885058822</v>
      </c>
      <c r="N1154" s="14">
        <v>1.314749212</v>
      </c>
      <c r="O1154" s="14">
        <v>2.534930627</v>
      </c>
      <c r="P1154" s="14" t="s">
        <v>6009</v>
      </c>
      <c r="Q1154" s="14" t="s">
        <v>6010</v>
      </c>
      <c r="T1154" s="14" t="s">
        <v>6011</v>
      </c>
      <c r="U1154" s="14" t="s">
        <v>6012</v>
      </c>
    </row>
    <row r="1155" spans="1:21">
      <c r="A1155" s="14" t="s">
        <v>6013</v>
      </c>
      <c r="B1155" s="14">
        <v>37.38914689</v>
      </c>
      <c r="C1155" s="14">
        <v>20.97335793</v>
      </c>
      <c r="D1155" s="14">
        <v>53.80493585</v>
      </c>
      <c r="E1155" s="14">
        <v>2.56284928</v>
      </c>
      <c r="F1155" s="14">
        <v>1.357748637</v>
      </c>
      <c r="G1155" s="14">
        <v>0.009026937</v>
      </c>
      <c r="H1155" s="14">
        <v>0.024745589</v>
      </c>
      <c r="I1155" s="14" t="s">
        <v>164</v>
      </c>
      <c r="J1155" s="14">
        <v>1.840709299</v>
      </c>
      <c r="K1155" s="14">
        <v>1.269462388</v>
      </c>
      <c r="L1155" s="14">
        <v>2.461563767</v>
      </c>
      <c r="M1155" s="14">
        <v>0.349978027</v>
      </c>
      <c r="N1155" s="14">
        <v>0.811425722</v>
      </c>
      <c r="O1155" s="14">
        <v>0.627756498</v>
      </c>
      <c r="Q1155" s="14" t="s">
        <v>6014</v>
      </c>
      <c r="T1155" s="14" t="s">
        <v>6015</v>
      </c>
      <c r="U1155" s="14" t="s">
        <v>6016</v>
      </c>
    </row>
    <row r="1156" spans="1:21">
      <c r="A1156" s="14" t="s">
        <v>6017</v>
      </c>
      <c r="B1156" s="14">
        <v>841.4386358</v>
      </c>
      <c r="C1156" s="14">
        <v>1249.657703</v>
      </c>
      <c r="D1156" s="14">
        <v>433.2195684</v>
      </c>
      <c r="E1156" s="14">
        <v>0.346700368</v>
      </c>
      <c r="F1156" s="14">
        <v>-1.528238725</v>
      </c>
      <c r="G1156" s="51" t="s">
        <v>6018</v>
      </c>
      <c r="H1156" s="51" t="s">
        <v>6019</v>
      </c>
      <c r="I1156" s="14" t="s">
        <v>147</v>
      </c>
      <c r="J1156" s="14">
        <v>7.96097823</v>
      </c>
      <c r="K1156" s="14">
        <v>7.709951197</v>
      </c>
      <c r="L1156" s="14">
        <v>6.248123282</v>
      </c>
      <c r="M1156" s="14">
        <v>20.37687395</v>
      </c>
      <c r="N1156" s="14">
        <v>19.12361212</v>
      </c>
      <c r="O1156" s="14">
        <v>11.87223339</v>
      </c>
      <c r="P1156" s="14" t="s">
        <v>6020</v>
      </c>
      <c r="Q1156" s="14" t="s">
        <v>6021</v>
      </c>
      <c r="R1156" s="14" t="s">
        <v>6022</v>
      </c>
      <c r="S1156" s="14" t="s">
        <v>6023</v>
      </c>
      <c r="T1156" s="14" t="s">
        <v>6024</v>
      </c>
      <c r="U1156" s="14" t="s">
        <v>6025</v>
      </c>
    </row>
    <row r="1157" spans="1:21">
      <c r="A1157" s="14" t="s">
        <v>6026</v>
      </c>
      <c r="B1157" s="14">
        <v>230.0950728</v>
      </c>
      <c r="C1157" s="14">
        <v>90.05267854</v>
      </c>
      <c r="D1157" s="14">
        <v>370.1374671</v>
      </c>
      <c r="E1157" s="14">
        <v>4.11072671</v>
      </c>
      <c r="F1157" s="14">
        <v>2.039393462</v>
      </c>
      <c r="G1157" s="14">
        <v>0.000574059</v>
      </c>
      <c r="H1157" s="14">
        <v>0.002243465</v>
      </c>
      <c r="I1157" s="14" t="s">
        <v>164</v>
      </c>
      <c r="J1157" s="14">
        <v>23.32893935</v>
      </c>
      <c r="K1157" s="14">
        <v>20.59207946</v>
      </c>
      <c r="L1157" s="14">
        <v>14.47232609</v>
      </c>
      <c r="M1157" s="14">
        <v>1.964754235</v>
      </c>
      <c r="N1157" s="14">
        <v>7.454114262</v>
      </c>
      <c r="O1157" s="14">
        <v>2.140723815</v>
      </c>
      <c r="P1157" s="14" t="s">
        <v>6027</v>
      </c>
      <c r="Q1157" s="14" t="s">
        <v>6028</v>
      </c>
      <c r="T1157" s="14" t="s">
        <v>6029</v>
      </c>
      <c r="U1157" s="14" t="s">
        <v>6030</v>
      </c>
    </row>
    <row r="1158" spans="1:15">
      <c r="A1158" s="14" t="s">
        <v>6031</v>
      </c>
      <c r="B1158" s="14">
        <v>44.32444884</v>
      </c>
      <c r="C1158" s="14">
        <v>71.04958538</v>
      </c>
      <c r="D1158" s="14">
        <v>17.59931231</v>
      </c>
      <c r="E1158" s="14">
        <v>0.247350216</v>
      </c>
      <c r="F1158" s="14">
        <v>-2.015372934</v>
      </c>
      <c r="G1158" s="14">
        <v>0.001173651</v>
      </c>
      <c r="H1158" s="14">
        <v>0.004212421</v>
      </c>
      <c r="I1158" s="14" t="s">
        <v>147</v>
      </c>
      <c r="J1158" s="14">
        <v>0.165098134</v>
      </c>
      <c r="K1158" s="14">
        <v>0.225524848</v>
      </c>
      <c r="L1158" s="14">
        <v>0.238446968</v>
      </c>
      <c r="M1158" s="14">
        <v>0.373322306</v>
      </c>
      <c r="N1158" s="14">
        <v>0.454958008</v>
      </c>
      <c r="O1158" s="14">
        <v>1.332677262</v>
      </c>
    </row>
    <row r="1159" spans="1:21">
      <c r="A1159" s="14" t="s">
        <v>6032</v>
      </c>
      <c r="B1159" s="14">
        <v>1407.114253</v>
      </c>
      <c r="C1159" s="14">
        <v>198.8629238</v>
      </c>
      <c r="D1159" s="14">
        <v>2615.365582</v>
      </c>
      <c r="E1159" s="14">
        <v>13.15825945</v>
      </c>
      <c r="F1159" s="14">
        <v>3.717896759</v>
      </c>
      <c r="G1159" s="51" t="s">
        <v>6033</v>
      </c>
      <c r="H1159" s="51" t="s">
        <v>6034</v>
      </c>
      <c r="I1159" s="14" t="s">
        <v>164</v>
      </c>
      <c r="J1159" s="14">
        <v>59.54474711</v>
      </c>
      <c r="K1159" s="14">
        <v>29.66490164</v>
      </c>
      <c r="L1159" s="14">
        <v>69.69244694</v>
      </c>
      <c r="M1159" s="14">
        <v>3.250427239</v>
      </c>
      <c r="N1159" s="14">
        <v>4.907375343</v>
      </c>
      <c r="O1159" s="14">
        <v>1.556606358</v>
      </c>
      <c r="P1159" s="14" t="s">
        <v>6035</v>
      </c>
      <c r="Q1159" s="14" t="s">
        <v>6036</v>
      </c>
      <c r="T1159" s="14" t="s">
        <v>6037</v>
      </c>
      <c r="U1159" s="14" t="s">
        <v>6038</v>
      </c>
    </row>
    <row r="1160" spans="1:21">
      <c r="A1160" s="14" t="s">
        <v>6039</v>
      </c>
      <c r="B1160" s="14">
        <v>849.511818</v>
      </c>
      <c r="C1160" s="14">
        <v>212.7920706</v>
      </c>
      <c r="D1160" s="14">
        <v>1486.231565</v>
      </c>
      <c r="E1160" s="14">
        <v>6.988848751</v>
      </c>
      <c r="F1160" s="14">
        <v>2.805054825</v>
      </c>
      <c r="G1160" s="51" t="s">
        <v>6040</v>
      </c>
      <c r="H1160" s="51" t="s">
        <v>6041</v>
      </c>
      <c r="I1160" s="14" t="s">
        <v>164</v>
      </c>
      <c r="J1160" s="14">
        <v>32.33171796</v>
      </c>
      <c r="K1160" s="14">
        <v>17.97604487</v>
      </c>
      <c r="L1160" s="14">
        <v>36.55989721</v>
      </c>
      <c r="M1160" s="14">
        <v>3.57311768</v>
      </c>
      <c r="N1160" s="14">
        <v>4.470594319</v>
      </c>
      <c r="O1160" s="14">
        <v>1.997644826</v>
      </c>
      <c r="P1160" s="14" t="s">
        <v>6042</v>
      </c>
      <c r="Q1160" s="14" t="s">
        <v>6043</v>
      </c>
      <c r="T1160" s="14" t="s">
        <v>2960</v>
      </c>
      <c r="U1160" s="14" t="s">
        <v>2961</v>
      </c>
    </row>
    <row r="1161" spans="1:21">
      <c r="A1161" s="14" t="s">
        <v>6044</v>
      </c>
      <c r="B1161" s="14">
        <v>12.06786161</v>
      </c>
      <c r="C1161" s="14">
        <v>4.053873184</v>
      </c>
      <c r="D1161" s="14">
        <v>20.08185003</v>
      </c>
      <c r="E1161" s="14">
        <v>4.968957786</v>
      </c>
      <c r="F1161" s="14">
        <v>2.312943285</v>
      </c>
      <c r="G1161" s="14">
        <v>0.010604342</v>
      </c>
      <c r="H1161" s="14">
        <v>0.028398222</v>
      </c>
      <c r="I1161" s="14" t="s">
        <v>164</v>
      </c>
      <c r="J1161" s="14">
        <v>0.380029235</v>
      </c>
      <c r="K1161" s="14">
        <v>0.559054211</v>
      </c>
      <c r="L1161" s="14">
        <v>0.844409849</v>
      </c>
      <c r="M1161" s="14">
        <v>0.050023231</v>
      </c>
      <c r="N1161" s="14">
        <v>0.191965404</v>
      </c>
      <c r="O1161" s="14">
        <v>0.04894189</v>
      </c>
      <c r="P1161" s="14" t="s">
        <v>6045</v>
      </c>
      <c r="Q1161" s="14" t="s">
        <v>6046</v>
      </c>
      <c r="T1161" s="14" t="s">
        <v>6047</v>
      </c>
      <c r="U1161" s="14" t="s">
        <v>6048</v>
      </c>
    </row>
    <row r="1162" spans="1:21">
      <c r="A1162" s="14" t="s">
        <v>6049</v>
      </c>
      <c r="B1162" s="14">
        <v>315.0041004</v>
      </c>
      <c r="C1162" s="14">
        <v>462.9767841</v>
      </c>
      <c r="D1162" s="14">
        <v>167.0314166</v>
      </c>
      <c r="E1162" s="14">
        <v>0.360793608</v>
      </c>
      <c r="F1162" s="14">
        <v>-1.470754317</v>
      </c>
      <c r="G1162" s="51" t="s">
        <v>459</v>
      </c>
      <c r="H1162" s="51" t="s">
        <v>6050</v>
      </c>
      <c r="I1162" s="14" t="s">
        <v>147</v>
      </c>
      <c r="J1162" s="14">
        <v>0.994892464</v>
      </c>
      <c r="K1162" s="14">
        <v>1.498630407</v>
      </c>
      <c r="L1162" s="14">
        <v>0.971144499</v>
      </c>
      <c r="M1162" s="14">
        <v>2.988092292</v>
      </c>
      <c r="N1162" s="14">
        <v>2.906144248</v>
      </c>
      <c r="O1162" s="14">
        <v>1.929854229</v>
      </c>
      <c r="P1162" s="14" t="s">
        <v>6051</v>
      </c>
      <c r="Q1162" s="14" t="s">
        <v>6052</v>
      </c>
      <c r="T1162" s="14" t="s">
        <v>6053</v>
      </c>
      <c r="U1162" s="14" t="s">
        <v>6054</v>
      </c>
    </row>
    <row r="1163" spans="1:15">
      <c r="A1163" s="14" t="s">
        <v>6055</v>
      </c>
      <c r="B1163" s="14">
        <v>25.78770998</v>
      </c>
      <c r="C1163" s="14">
        <v>51.57541996</v>
      </c>
      <c r="D1163" s="14">
        <v>0</v>
      </c>
      <c r="E1163" s="14">
        <v>0.003497221</v>
      </c>
      <c r="F1163" s="14">
        <v>-8.159575507</v>
      </c>
      <c r="G1163" s="51" t="s">
        <v>6056</v>
      </c>
      <c r="H1163" s="51" t="s">
        <v>6057</v>
      </c>
      <c r="I1163" s="14" t="s">
        <v>147</v>
      </c>
      <c r="J1163" s="14">
        <v>0</v>
      </c>
      <c r="K1163" s="14">
        <v>0</v>
      </c>
      <c r="L1163" s="14">
        <v>0</v>
      </c>
      <c r="M1163" s="14">
        <v>1.011130547</v>
      </c>
      <c r="N1163" s="14">
        <v>2.012873918</v>
      </c>
      <c r="O1163" s="14">
        <v>0.717223055</v>
      </c>
    </row>
    <row r="1164" spans="1:15">
      <c r="A1164" s="14" t="s">
        <v>6058</v>
      </c>
      <c r="B1164" s="14">
        <v>149.2828265</v>
      </c>
      <c r="C1164" s="14">
        <v>66.75881459</v>
      </c>
      <c r="D1164" s="14">
        <v>231.8068385</v>
      </c>
      <c r="E1164" s="14">
        <v>3.467419647</v>
      </c>
      <c r="F1164" s="14">
        <v>1.79386245</v>
      </c>
      <c r="G1164" s="14">
        <v>0.001293214</v>
      </c>
      <c r="H1164" s="14">
        <v>0.004586108</v>
      </c>
      <c r="I1164" s="14" t="s">
        <v>164</v>
      </c>
      <c r="J1164" s="14">
        <v>4.031652506</v>
      </c>
      <c r="K1164" s="14">
        <v>3.60287826</v>
      </c>
      <c r="L1164" s="14">
        <v>5.623275923</v>
      </c>
      <c r="M1164" s="14">
        <v>0.902662566</v>
      </c>
      <c r="N1164" s="14">
        <v>0.386606057</v>
      </c>
      <c r="O1164" s="14">
        <v>1.939775726</v>
      </c>
    </row>
    <row r="1165" spans="1:15">
      <c r="A1165" s="14" t="s">
        <v>6059</v>
      </c>
      <c r="B1165" s="14">
        <v>3.23875219</v>
      </c>
      <c r="C1165" s="14">
        <v>0.309088846</v>
      </c>
      <c r="D1165" s="14">
        <v>6.168415535</v>
      </c>
      <c r="E1165" s="14">
        <v>17.09564317</v>
      </c>
      <c r="F1165" s="14">
        <v>4.095556796</v>
      </c>
      <c r="G1165" s="14">
        <v>0.017705474</v>
      </c>
      <c r="H1165" s="14">
        <v>0.043883069</v>
      </c>
      <c r="I1165" s="14" t="s">
        <v>164</v>
      </c>
      <c r="J1165" s="14">
        <v>0.250633473</v>
      </c>
      <c r="K1165" s="14">
        <v>0.144154329</v>
      </c>
      <c r="L1165" s="14">
        <v>0.275796912</v>
      </c>
      <c r="M1165" s="14">
        <v>0</v>
      </c>
      <c r="N1165" s="14">
        <v>0</v>
      </c>
      <c r="O1165" s="14">
        <v>0.029972165</v>
      </c>
    </row>
    <row r="1166" spans="1:21">
      <c r="A1166" s="14" t="s">
        <v>6060</v>
      </c>
      <c r="B1166" s="14">
        <v>19.90101579</v>
      </c>
      <c r="C1166" s="14">
        <v>38.49428941</v>
      </c>
      <c r="D1166" s="14">
        <v>1.307742175</v>
      </c>
      <c r="E1166" s="14">
        <v>0.033986025</v>
      </c>
      <c r="F1166" s="14">
        <v>-4.878914552</v>
      </c>
      <c r="G1166" s="51" t="s">
        <v>6061</v>
      </c>
      <c r="H1166" s="14">
        <v>0.00020715</v>
      </c>
      <c r="I1166" s="14" t="s">
        <v>147</v>
      </c>
      <c r="J1166" s="14">
        <v>0.043414466</v>
      </c>
      <c r="K1166" s="14">
        <v>0</v>
      </c>
      <c r="L1166" s="14">
        <v>0.013933865</v>
      </c>
      <c r="M1166" s="14">
        <v>0.495269166</v>
      </c>
      <c r="N1166" s="14">
        <v>0.700849151</v>
      </c>
      <c r="O1166" s="14">
        <v>0.157482991</v>
      </c>
      <c r="P1166" s="14" t="s">
        <v>6062</v>
      </c>
      <c r="Q1166" s="14" t="s">
        <v>6063</v>
      </c>
      <c r="R1166" s="14" t="s">
        <v>3937</v>
      </c>
      <c r="S1166" s="14" t="s">
        <v>3938</v>
      </c>
      <c r="T1166" s="14" t="s">
        <v>6064</v>
      </c>
      <c r="U1166" s="14" t="s">
        <v>6065</v>
      </c>
    </row>
    <row r="1167" spans="1:21">
      <c r="A1167" s="14" t="s">
        <v>6066</v>
      </c>
      <c r="B1167" s="14">
        <v>28.87566022</v>
      </c>
      <c r="C1167" s="14">
        <v>49.19433266</v>
      </c>
      <c r="D1167" s="14">
        <v>8.556987792</v>
      </c>
      <c r="E1167" s="14">
        <v>0.173785884</v>
      </c>
      <c r="F1167" s="14">
        <v>-2.52461719</v>
      </c>
      <c r="G1167" s="14">
        <v>0.004864647</v>
      </c>
      <c r="H1167" s="14">
        <v>0.014476103</v>
      </c>
      <c r="I1167" s="14" t="s">
        <v>147</v>
      </c>
      <c r="J1167" s="14">
        <v>0.919167533</v>
      </c>
      <c r="K1167" s="14">
        <v>0.092516958</v>
      </c>
      <c r="L1167" s="14">
        <v>0.177003988</v>
      </c>
      <c r="M1167" s="14">
        <v>2.123374149</v>
      </c>
      <c r="N1167" s="14">
        <v>1.923951777</v>
      </c>
      <c r="O1167" s="14">
        <v>1.538869389</v>
      </c>
      <c r="P1167" s="14" t="s">
        <v>6067</v>
      </c>
      <c r="Q1167" s="14" t="s">
        <v>6068</v>
      </c>
      <c r="T1167" s="14" t="s">
        <v>3007</v>
      </c>
      <c r="U1167" s="14" t="s">
        <v>3008</v>
      </c>
    </row>
    <row r="1168" spans="1:21">
      <c r="A1168" s="14" t="s">
        <v>6069</v>
      </c>
      <c r="B1168" s="14">
        <v>2083.144711</v>
      </c>
      <c r="C1168" s="14">
        <v>3272.69652</v>
      </c>
      <c r="D1168" s="14">
        <v>893.592903</v>
      </c>
      <c r="E1168" s="14">
        <v>0.273045668</v>
      </c>
      <c r="F1168" s="14">
        <v>-1.872785828</v>
      </c>
      <c r="G1168" s="51" t="s">
        <v>2624</v>
      </c>
      <c r="H1168" s="51" t="s">
        <v>6070</v>
      </c>
      <c r="I1168" s="14" t="s">
        <v>147</v>
      </c>
      <c r="J1168" s="14">
        <v>11.38638763</v>
      </c>
      <c r="K1168" s="14">
        <v>17.25174771</v>
      </c>
      <c r="L1168" s="14">
        <v>12.06551534</v>
      </c>
      <c r="M1168" s="14">
        <v>46.01740297</v>
      </c>
      <c r="N1168" s="14">
        <v>45.38453394</v>
      </c>
      <c r="O1168" s="14">
        <v>30.01930643</v>
      </c>
      <c r="P1168" s="14" t="s">
        <v>6071</v>
      </c>
      <c r="Q1168" s="14" t="s">
        <v>6072</v>
      </c>
      <c r="R1168" s="14" t="s">
        <v>4179</v>
      </c>
      <c r="S1168" s="14" t="s">
        <v>4180</v>
      </c>
      <c r="T1168" s="14" t="s">
        <v>6073</v>
      </c>
      <c r="U1168" s="14" t="s">
        <v>6074</v>
      </c>
    </row>
    <row r="1169" spans="1:21">
      <c r="A1169" s="14" t="s">
        <v>6075</v>
      </c>
      <c r="B1169" s="14">
        <v>1014.749934</v>
      </c>
      <c r="C1169" s="14">
        <v>1423.838541</v>
      </c>
      <c r="D1169" s="14">
        <v>605.6613265</v>
      </c>
      <c r="E1169" s="14">
        <v>0.425439252</v>
      </c>
      <c r="F1169" s="14">
        <v>-1.232974948</v>
      </c>
      <c r="G1169" s="51" t="s">
        <v>6076</v>
      </c>
      <c r="H1169" s="51" t="s">
        <v>6077</v>
      </c>
      <c r="I1169" s="14" t="s">
        <v>147</v>
      </c>
      <c r="J1169" s="14">
        <v>4.391176789</v>
      </c>
      <c r="K1169" s="14">
        <v>4.08990841</v>
      </c>
      <c r="L1169" s="14">
        <v>4.043928292</v>
      </c>
      <c r="M1169" s="14">
        <v>8.256199855</v>
      </c>
      <c r="N1169" s="14">
        <v>9.16530734</v>
      </c>
      <c r="O1169" s="14">
        <v>6.625680274</v>
      </c>
      <c r="P1169" s="14" t="s">
        <v>6078</v>
      </c>
      <c r="Q1169" s="14" t="s">
        <v>6079</v>
      </c>
      <c r="R1169" s="14" t="s">
        <v>6080</v>
      </c>
      <c r="S1169" s="14" t="s">
        <v>6081</v>
      </c>
      <c r="T1169" s="14" t="s">
        <v>6082</v>
      </c>
      <c r="U1169" s="14" t="s">
        <v>6083</v>
      </c>
    </row>
    <row r="1170" spans="1:17">
      <c r="A1170" s="14" t="s">
        <v>6084</v>
      </c>
      <c r="B1170" s="14">
        <v>450.8076845</v>
      </c>
      <c r="C1170" s="14">
        <v>298.1903275</v>
      </c>
      <c r="D1170" s="14">
        <v>603.4250414</v>
      </c>
      <c r="E1170" s="14">
        <v>2.021671954</v>
      </c>
      <c r="F1170" s="14">
        <v>1.015548918</v>
      </c>
      <c r="G1170" s="14">
        <v>0.000525327</v>
      </c>
      <c r="H1170" s="14">
        <v>0.002073027</v>
      </c>
      <c r="I1170" s="14" t="s">
        <v>164</v>
      </c>
      <c r="J1170" s="14">
        <v>5.861355707</v>
      </c>
      <c r="K1170" s="14">
        <v>6.334339145</v>
      </c>
      <c r="L1170" s="14">
        <v>6.604005667</v>
      </c>
      <c r="M1170" s="14">
        <v>1.759629783</v>
      </c>
      <c r="N1170" s="14">
        <v>2.143957962</v>
      </c>
      <c r="O1170" s="14">
        <v>3.890798564</v>
      </c>
      <c r="P1170" s="14" t="s">
        <v>6085</v>
      </c>
      <c r="Q1170" s="14" t="s">
        <v>6086</v>
      </c>
    </row>
    <row r="1171" spans="1:21">
      <c r="A1171" s="14" t="s">
        <v>6087</v>
      </c>
      <c r="B1171" s="14">
        <v>31783.029</v>
      </c>
      <c r="C1171" s="14">
        <v>47274.80692</v>
      </c>
      <c r="D1171" s="14">
        <v>16291.25109</v>
      </c>
      <c r="E1171" s="14">
        <v>0.344609835</v>
      </c>
      <c r="F1171" s="14">
        <v>-1.536964217</v>
      </c>
      <c r="G1171" s="51" t="s">
        <v>6088</v>
      </c>
      <c r="H1171" s="51" t="s">
        <v>6089</v>
      </c>
      <c r="I1171" s="14" t="s">
        <v>147</v>
      </c>
      <c r="J1171" s="14">
        <v>208.6959001</v>
      </c>
      <c r="K1171" s="14">
        <v>212.7133655</v>
      </c>
      <c r="L1171" s="14">
        <v>213.4296464</v>
      </c>
      <c r="M1171" s="14">
        <v>569.5155958</v>
      </c>
      <c r="N1171" s="14">
        <v>562.3293657</v>
      </c>
      <c r="O1171" s="14">
        <v>365.9087948</v>
      </c>
      <c r="P1171" s="14" t="s">
        <v>4749</v>
      </c>
      <c r="Q1171" s="14" t="s">
        <v>4750</v>
      </c>
      <c r="R1171" s="14" t="s">
        <v>4751</v>
      </c>
      <c r="S1171" s="14" t="s">
        <v>4752</v>
      </c>
      <c r="T1171" s="14" t="s">
        <v>6090</v>
      </c>
      <c r="U1171" s="14" t="s">
        <v>6091</v>
      </c>
    </row>
    <row r="1172" spans="1:15">
      <c r="A1172" s="14" t="s">
        <v>6092</v>
      </c>
      <c r="B1172" s="14">
        <v>513.0519888</v>
      </c>
      <c r="C1172" s="14">
        <v>693.1209255</v>
      </c>
      <c r="D1172" s="14">
        <v>332.983052</v>
      </c>
      <c r="E1172" s="14">
        <v>0.480599529</v>
      </c>
      <c r="F1172" s="14">
        <v>-1.057092861</v>
      </c>
      <c r="G1172" s="51" t="s">
        <v>6093</v>
      </c>
      <c r="H1172" s="51" t="s">
        <v>6094</v>
      </c>
      <c r="I1172" s="14" t="s">
        <v>147</v>
      </c>
      <c r="J1172" s="14">
        <v>8.142803041</v>
      </c>
      <c r="K1172" s="14">
        <v>7.369489661</v>
      </c>
      <c r="L1172" s="14">
        <v>7.48890763</v>
      </c>
      <c r="M1172" s="14">
        <v>14.38272868</v>
      </c>
      <c r="N1172" s="14">
        <v>14.04191384</v>
      </c>
      <c r="O1172" s="14">
        <v>10.63501236</v>
      </c>
    </row>
    <row r="1173" spans="1:15">
      <c r="A1173" s="14" t="s">
        <v>6095</v>
      </c>
      <c r="B1173" s="14">
        <v>130.012335</v>
      </c>
      <c r="C1173" s="14">
        <v>51.40769245</v>
      </c>
      <c r="D1173" s="14">
        <v>208.6169775</v>
      </c>
      <c r="E1173" s="14">
        <v>4.04728318</v>
      </c>
      <c r="F1173" s="14">
        <v>2.016953795</v>
      </c>
      <c r="G1173" s="51" t="s">
        <v>6096</v>
      </c>
      <c r="H1173" s="51" t="s">
        <v>6097</v>
      </c>
      <c r="I1173" s="14" t="s">
        <v>164</v>
      </c>
      <c r="J1173" s="14">
        <v>5.894920284</v>
      </c>
      <c r="K1173" s="14">
        <v>3.41000767</v>
      </c>
      <c r="L1173" s="14">
        <v>4.980022357</v>
      </c>
      <c r="M1173" s="14">
        <v>0.715001972</v>
      </c>
      <c r="N1173" s="14">
        <v>0.57472283</v>
      </c>
      <c r="O1173" s="14">
        <v>1.682691595</v>
      </c>
    </row>
    <row r="1174" spans="1:21">
      <c r="A1174" s="14" t="s">
        <v>6098</v>
      </c>
      <c r="B1174" s="14">
        <v>423.3860214</v>
      </c>
      <c r="C1174" s="14">
        <v>612.164018</v>
      </c>
      <c r="D1174" s="14">
        <v>234.6080247</v>
      </c>
      <c r="E1174" s="14">
        <v>0.383469176</v>
      </c>
      <c r="F1174" s="14">
        <v>-1.38281748</v>
      </c>
      <c r="G1174" s="51" t="s">
        <v>6099</v>
      </c>
      <c r="H1174" s="51" t="s">
        <v>6100</v>
      </c>
      <c r="I1174" s="14" t="s">
        <v>147</v>
      </c>
      <c r="J1174" s="14">
        <v>16.40014679</v>
      </c>
      <c r="K1174" s="14">
        <v>12.86890769</v>
      </c>
      <c r="L1174" s="14">
        <v>18.36897367</v>
      </c>
      <c r="M1174" s="14">
        <v>32.81741423</v>
      </c>
      <c r="N1174" s="14">
        <v>39.56156595</v>
      </c>
      <c r="O1174" s="14">
        <v>29.13815735</v>
      </c>
      <c r="P1174" s="14" t="s">
        <v>6101</v>
      </c>
      <c r="Q1174" s="14" t="s">
        <v>6102</v>
      </c>
      <c r="T1174" s="14" t="s">
        <v>6103</v>
      </c>
      <c r="U1174" s="14" t="s">
        <v>6104</v>
      </c>
    </row>
    <row r="1175" spans="1:21">
      <c r="A1175" s="14" t="s">
        <v>6105</v>
      </c>
      <c r="B1175" s="14">
        <v>385.7141431</v>
      </c>
      <c r="C1175" s="14">
        <v>743.7507912</v>
      </c>
      <c r="D1175" s="14">
        <v>27.67749498</v>
      </c>
      <c r="E1175" s="14">
        <v>0.037174551</v>
      </c>
      <c r="F1175" s="14">
        <v>-4.749540855</v>
      </c>
      <c r="G1175" s="51" t="s">
        <v>2176</v>
      </c>
      <c r="H1175" s="51" t="s">
        <v>6106</v>
      </c>
      <c r="I1175" s="14" t="s">
        <v>147</v>
      </c>
      <c r="J1175" s="14">
        <v>0.211145913</v>
      </c>
      <c r="K1175" s="14">
        <v>0.605695305</v>
      </c>
      <c r="L1175" s="14">
        <v>0.060990517</v>
      </c>
      <c r="M1175" s="14">
        <v>8.951471326</v>
      </c>
      <c r="N1175" s="14">
        <v>8.865181764</v>
      </c>
      <c r="O1175" s="14">
        <v>1.095850876</v>
      </c>
      <c r="P1175" s="14" t="s">
        <v>6107</v>
      </c>
      <c r="Q1175" s="14" t="s">
        <v>6108</v>
      </c>
      <c r="T1175" s="14" t="s">
        <v>6109</v>
      </c>
      <c r="U1175" s="14" t="s">
        <v>6110</v>
      </c>
    </row>
    <row r="1176" spans="1:15">
      <c r="A1176" s="14" t="s">
        <v>6111</v>
      </c>
      <c r="B1176" s="14">
        <v>2786.810332</v>
      </c>
      <c r="C1176" s="14">
        <v>4634.085134</v>
      </c>
      <c r="D1176" s="14">
        <v>939.5355306</v>
      </c>
      <c r="E1176" s="14">
        <v>0.202745311</v>
      </c>
      <c r="F1176" s="14">
        <v>-2.302259545</v>
      </c>
      <c r="G1176" s="51" t="s">
        <v>6112</v>
      </c>
      <c r="H1176" s="51" t="s">
        <v>6113</v>
      </c>
      <c r="I1176" s="14" t="s">
        <v>147</v>
      </c>
      <c r="J1176" s="14">
        <v>33.11206601</v>
      </c>
      <c r="K1176" s="14">
        <v>52.34875609</v>
      </c>
      <c r="L1176" s="14">
        <v>34.35938378</v>
      </c>
      <c r="M1176" s="14">
        <v>190.8068751</v>
      </c>
      <c r="N1176" s="14">
        <v>215.6376314</v>
      </c>
      <c r="O1176" s="14">
        <v>69.6306778</v>
      </c>
    </row>
    <row r="1177" spans="1:15">
      <c r="A1177" s="14" t="s">
        <v>6114</v>
      </c>
      <c r="B1177" s="14">
        <v>13349.83085</v>
      </c>
      <c r="C1177" s="14">
        <v>22766.6055</v>
      </c>
      <c r="D1177" s="14">
        <v>3933.056188</v>
      </c>
      <c r="E1177" s="14">
        <v>0.172755593</v>
      </c>
      <c r="F1177" s="14">
        <v>-2.533195674</v>
      </c>
      <c r="G1177" s="51" t="s">
        <v>6115</v>
      </c>
      <c r="H1177" s="51" t="s">
        <v>6116</v>
      </c>
      <c r="I1177" s="14" t="s">
        <v>147</v>
      </c>
      <c r="J1177" s="14">
        <v>225.1991023</v>
      </c>
      <c r="K1177" s="14">
        <v>316.301049</v>
      </c>
      <c r="L1177" s="14">
        <v>214.3848151</v>
      </c>
      <c r="M1177" s="14">
        <v>1404.007293</v>
      </c>
      <c r="N1177" s="14">
        <v>1581.605168</v>
      </c>
      <c r="O1177" s="14">
        <v>541.8116465</v>
      </c>
    </row>
    <row r="1178" spans="1:21">
      <c r="A1178" s="14" t="s">
        <v>6117</v>
      </c>
      <c r="B1178" s="14">
        <v>33192.48047</v>
      </c>
      <c r="C1178" s="14">
        <v>49975.90589</v>
      </c>
      <c r="D1178" s="14">
        <v>16409.05506</v>
      </c>
      <c r="E1178" s="14">
        <v>0.328340895</v>
      </c>
      <c r="F1178" s="14">
        <v>-1.606733647</v>
      </c>
      <c r="G1178" s="51" t="s">
        <v>6118</v>
      </c>
      <c r="H1178" s="51" t="s">
        <v>6119</v>
      </c>
      <c r="I1178" s="14" t="s">
        <v>147</v>
      </c>
      <c r="J1178" s="14">
        <v>50.12394777</v>
      </c>
      <c r="K1178" s="14">
        <v>59.45181956</v>
      </c>
      <c r="L1178" s="14">
        <v>52.90691617</v>
      </c>
      <c r="M1178" s="14">
        <v>159.2105001</v>
      </c>
      <c r="N1178" s="14">
        <v>154.695388</v>
      </c>
      <c r="O1178" s="14">
        <v>87.28785283</v>
      </c>
      <c r="P1178" s="14" t="s">
        <v>453</v>
      </c>
      <c r="Q1178" s="14" t="s">
        <v>454</v>
      </c>
      <c r="T1178" s="14" t="s">
        <v>455</v>
      </c>
      <c r="U1178" s="14" t="s">
        <v>456</v>
      </c>
    </row>
    <row r="1179" spans="1:15">
      <c r="A1179" s="14" t="s">
        <v>6120</v>
      </c>
      <c r="B1179" s="14">
        <v>22.11290894</v>
      </c>
      <c r="C1179" s="14">
        <v>0.957165568</v>
      </c>
      <c r="D1179" s="14">
        <v>43.26865231</v>
      </c>
      <c r="E1179" s="14">
        <v>43.41861222</v>
      </c>
      <c r="F1179" s="14">
        <v>5.440241709</v>
      </c>
      <c r="G1179" s="51" t="s">
        <v>6121</v>
      </c>
      <c r="H1179" s="51" t="s">
        <v>6122</v>
      </c>
      <c r="I1179" s="14" t="s">
        <v>164</v>
      </c>
      <c r="J1179" s="14">
        <v>2.78241979</v>
      </c>
      <c r="K1179" s="14">
        <v>1.736364949</v>
      </c>
      <c r="L1179" s="14">
        <v>2.786213382</v>
      </c>
      <c r="M1179" s="14">
        <v>0</v>
      </c>
      <c r="N1179" s="14">
        <v>0.045678515</v>
      </c>
      <c r="O1179" s="14">
        <v>0.09316649</v>
      </c>
    </row>
    <row r="1180" spans="1:21">
      <c r="A1180" s="14" t="s">
        <v>6123</v>
      </c>
      <c r="B1180" s="14">
        <v>31.75175018</v>
      </c>
      <c r="C1180" s="14">
        <v>45.94154585</v>
      </c>
      <c r="D1180" s="14">
        <v>17.56195451</v>
      </c>
      <c r="E1180" s="14">
        <v>0.3823719</v>
      </c>
      <c r="F1180" s="14">
        <v>-1.386951591</v>
      </c>
      <c r="G1180" s="14">
        <v>0.001996917</v>
      </c>
      <c r="H1180" s="14">
        <v>0.006706463</v>
      </c>
      <c r="I1180" s="14" t="s">
        <v>147</v>
      </c>
      <c r="J1180" s="14">
        <v>1.319661957</v>
      </c>
      <c r="K1180" s="14">
        <v>1.172011039</v>
      </c>
      <c r="L1180" s="14">
        <v>1.644352177</v>
      </c>
      <c r="M1180" s="14">
        <v>2.855948144</v>
      </c>
      <c r="N1180" s="14">
        <v>2.166466707</v>
      </c>
      <c r="O1180" s="14">
        <v>3.963881844</v>
      </c>
      <c r="P1180" s="14" t="s">
        <v>6124</v>
      </c>
      <c r="Q1180" s="14" t="s">
        <v>6125</v>
      </c>
      <c r="T1180" s="14" t="s">
        <v>6126</v>
      </c>
      <c r="U1180" s="14" t="s">
        <v>6127</v>
      </c>
    </row>
    <row r="1181" spans="1:21">
      <c r="A1181" s="14" t="s">
        <v>6128</v>
      </c>
      <c r="B1181" s="14">
        <v>8614.116634</v>
      </c>
      <c r="C1181" s="14">
        <v>11859.44964</v>
      </c>
      <c r="D1181" s="14">
        <v>5368.783633</v>
      </c>
      <c r="E1181" s="14">
        <v>0.452708333</v>
      </c>
      <c r="F1181" s="14">
        <v>-1.143346232</v>
      </c>
      <c r="G1181" s="14">
        <v>0.00031125</v>
      </c>
      <c r="H1181" s="14">
        <v>0.001306596</v>
      </c>
      <c r="I1181" s="14" t="s">
        <v>147</v>
      </c>
      <c r="J1181" s="14">
        <v>48.23013634</v>
      </c>
      <c r="K1181" s="14">
        <v>63.34527605</v>
      </c>
      <c r="L1181" s="14">
        <v>52.41441972</v>
      </c>
      <c r="M1181" s="14">
        <v>116.2064059</v>
      </c>
      <c r="N1181" s="14">
        <v>114.3939391</v>
      </c>
      <c r="O1181" s="14">
        <v>63.08189048</v>
      </c>
      <c r="P1181" s="14" t="s">
        <v>6129</v>
      </c>
      <c r="Q1181" s="14" t="s">
        <v>6130</v>
      </c>
      <c r="T1181" s="14" t="s">
        <v>6131</v>
      </c>
      <c r="U1181" s="14" t="s">
        <v>6132</v>
      </c>
    </row>
    <row r="1182" spans="1:21">
      <c r="A1182" s="14" t="s">
        <v>6133</v>
      </c>
      <c r="B1182" s="14">
        <v>1516.272564</v>
      </c>
      <c r="C1182" s="14">
        <v>389.7741887</v>
      </c>
      <c r="D1182" s="14">
        <v>2642.77094</v>
      </c>
      <c r="E1182" s="14">
        <v>6.783619439</v>
      </c>
      <c r="F1182" s="14">
        <v>2.762055237</v>
      </c>
      <c r="G1182" s="51" t="s">
        <v>6134</v>
      </c>
      <c r="H1182" s="51" t="s">
        <v>4885</v>
      </c>
      <c r="I1182" s="14" t="s">
        <v>164</v>
      </c>
      <c r="J1182" s="14">
        <v>72.01381112</v>
      </c>
      <c r="K1182" s="14">
        <v>72.75899142</v>
      </c>
      <c r="L1182" s="14">
        <v>53.67753003</v>
      </c>
      <c r="M1182" s="14">
        <v>8.456077518</v>
      </c>
      <c r="N1182" s="14">
        <v>9.702509498</v>
      </c>
      <c r="O1182" s="14">
        <v>5.674891128</v>
      </c>
      <c r="P1182" s="14" t="s">
        <v>6135</v>
      </c>
      <c r="Q1182" s="14" t="s">
        <v>6136</v>
      </c>
      <c r="T1182" s="14" t="s">
        <v>6137</v>
      </c>
      <c r="U1182" s="14" t="s">
        <v>6138</v>
      </c>
    </row>
    <row r="1183" spans="1:15">
      <c r="A1183" s="14" t="s">
        <v>6139</v>
      </c>
      <c r="B1183" s="14">
        <v>3317.818867</v>
      </c>
      <c r="C1183" s="14">
        <v>4814.214598</v>
      </c>
      <c r="D1183" s="14">
        <v>1821.423135</v>
      </c>
      <c r="E1183" s="14">
        <v>0.378357431</v>
      </c>
      <c r="F1183" s="14">
        <v>-1.402178315</v>
      </c>
      <c r="G1183" s="51" t="s">
        <v>3169</v>
      </c>
      <c r="H1183" s="51" t="s">
        <v>6140</v>
      </c>
      <c r="I1183" s="14" t="s">
        <v>147</v>
      </c>
      <c r="J1183" s="14">
        <v>28.43809852</v>
      </c>
      <c r="K1183" s="14">
        <v>36.16643511</v>
      </c>
      <c r="L1183" s="14">
        <v>30.59025936</v>
      </c>
      <c r="M1183" s="14">
        <v>78.16508471</v>
      </c>
      <c r="N1183" s="14">
        <v>78.7601761</v>
      </c>
      <c r="O1183" s="14">
        <v>47.49540595</v>
      </c>
    </row>
    <row r="1184" spans="1:21">
      <c r="A1184" s="14" t="s">
        <v>6141</v>
      </c>
      <c r="B1184" s="14">
        <v>3931.632706</v>
      </c>
      <c r="C1184" s="14">
        <v>5339.462171</v>
      </c>
      <c r="D1184" s="14">
        <v>2523.80324</v>
      </c>
      <c r="E1184" s="14">
        <v>0.472691444</v>
      </c>
      <c r="F1184" s="14">
        <v>-1.081029342</v>
      </c>
      <c r="G1184" s="14">
        <v>0.000219023</v>
      </c>
      <c r="H1184" s="14">
        <v>0.000951341</v>
      </c>
      <c r="I1184" s="14" t="s">
        <v>147</v>
      </c>
      <c r="J1184" s="14">
        <v>34.42767192</v>
      </c>
      <c r="K1184" s="14">
        <v>39.15336973</v>
      </c>
      <c r="L1184" s="14">
        <v>37.02227897</v>
      </c>
      <c r="M1184" s="14">
        <v>72.22262616</v>
      </c>
      <c r="N1184" s="14">
        <v>75.31158677</v>
      </c>
      <c r="O1184" s="14">
        <v>42.3023543</v>
      </c>
      <c r="P1184" s="14" t="s">
        <v>6142</v>
      </c>
      <c r="Q1184" s="14" t="s">
        <v>6143</v>
      </c>
      <c r="T1184" s="14" t="s">
        <v>3177</v>
      </c>
      <c r="U1184" s="14" t="s">
        <v>3178</v>
      </c>
    </row>
    <row r="1185" spans="1:21">
      <c r="A1185" s="14" t="s">
        <v>6144</v>
      </c>
      <c r="B1185" s="14">
        <v>360.652064</v>
      </c>
      <c r="C1185" s="14">
        <v>173.6496945</v>
      </c>
      <c r="D1185" s="14">
        <v>547.6544336</v>
      </c>
      <c r="E1185" s="14">
        <v>3.157758104</v>
      </c>
      <c r="F1185" s="14">
        <v>1.65890066</v>
      </c>
      <c r="G1185" s="51" t="s">
        <v>497</v>
      </c>
      <c r="H1185" s="51" t="s">
        <v>498</v>
      </c>
      <c r="I1185" s="14" t="s">
        <v>164</v>
      </c>
      <c r="J1185" s="14">
        <v>16.12057646</v>
      </c>
      <c r="K1185" s="14">
        <v>11.25130598</v>
      </c>
      <c r="L1185" s="14">
        <v>15.59643125</v>
      </c>
      <c r="M1185" s="14">
        <v>4.140017852</v>
      </c>
      <c r="N1185" s="14">
        <v>4.141774586</v>
      </c>
      <c r="O1185" s="14">
        <v>2.794211792</v>
      </c>
      <c r="P1185" s="14" t="s">
        <v>6145</v>
      </c>
      <c r="Q1185" s="14" t="s">
        <v>6146</v>
      </c>
      <c r="T1185" s="14" t="s">
        <v>6147</v>
      </c>
      <c r="U1185" s="14" t="s">
        <v>6148</v>
      </c>
    </row>
    <row r="1186" spans="1:15">
      <c r="A1186" s="14" t="s">
        <v>6149</v>
      </c>
      <c r="B1186" s="14">
        <v>1738.435811</v>
      </c>
      <c r="C1186" s="14">
        <v>2894.329337</v>
      </c>
      <c r="D1186" s="14">
        <v>582.5422861</v>
      </c>
      <c r="E1186" s="14">
        <v>0.201314256</v>
      </c>
      <c r="F1186" s="14">
        <v>-2.312478754</v>
      </c>
      <c r="G1186" s="51" t="s">
        <v>6150</v>
      </c>
      <c r="H1186" s="51" t="s">
        <v>6151</v>
      </c>
      <c r="I1186" s="14" t="s">
        <v>147</v>
      </c>
      <c r="J1186" s="14">
        <v>12.00819472</v>
      </c>
      <c r="K1186" s="14">
        <v>13.03328077</v>
      </c>
      <c r="L1186" s="14">
        <v>13.56280836</v>
      </c>
      <c r="M1186" s="14">
        <v>53.42931125</v>
      </c>
      <c r="N1186" s="14">
        <v>53.32380761</v>
      </c>
      <c r="O1186" s="14">
        <v>50.60815509</v>
      </c>
    </row>
    <row r="1187" spans="1:21">
      <c r="A1187" s="14" t="s">
        <v>6152</v>
      </c>
      <c r="B1187" s="14">
        <v>11990.30021</v>
      </c>
      <c r="C1187" s="14">
        <v>7874.97134</v>
      </c>
      <c r="D1187" s="14">
        <v>16105.62909</v>
      </c>
      <c r="E1187" s="14">
        <v>2.0452345</v>
      </c>
      <c r="F1187" s="14">
        <v>1.032266267</v>
      </c>
      <c r="G1187" s="14">
        <v>0.0005083</v>
      </c>
      <c r="H1187" s="14">
        <v>0.002015661</v>
      </c>
      <c r="I1187" s="14" t="s">
        <v>164</v>
      </c>
      <c r="J1187" s="14">
        <v>103.6448861</v>
      </c>
      <c r="K1187" s="14">
        <v>118.8063456</v>
      </c>
      <c r="L1187" s="14">
        <v>147.7398129</v>
      </c>
      <c r="M1187" s="14">
        <v>54.21697478</v>
      </c>
      <c r="N1187" s="14">
        <v>58.86338028</v>
      </c>
      <c r="O1187" s="14">
        <v>33.67804296</v>
      </c>
      <c r="P1187" s="14" t="s">
        <v>6153</v>
      </c>
      <c r="Q1187" s="14" t="s">
        <v>6154</v>
      </c>
      <c r="T1187" s="14" t="s">
        <v>6155</v>
      </c>
      <c r="U1187" s="14" t="s">
        <v>6156</v>
      </c>
    </row>
    <row r="1188" spans="1:15">
      <c r="A1188" s="14" t="s">
        <v>6157</v>
      </c>
      <c r="B1188" s="14">
        <v>1805.472774</v>
      </c>
      <c r="C1188" s="14">
        <v>1083.123877</v>
      </c>
      <c r="D1188" s="14">
        <v>2527.821672</v>
      </c>
      <c r="E1188" s="14">
        <v>2.333271198</v>
      </c>
      <c r="F1188" s="14">
        <v>1.222354002</v>
      </c>
      <c r="G1188" s="51" t="s">
        <v>6158</v>
      </c>
      <c r="H1188" s="51" t="s">
        <v>6159</v>
      </c>
      <c r="I1188" s="14" t="s">
        <v>164</v>
      </c>
      <c r="J1188" s="14">
        <v>110.901809</v>
      </c>
      <c r="K1188" s="14">
        <v>148.0092825</v>
      </c>
      <c r="L1188" s="14">
        <v>125.2473968</v>
      </c>
      <c r="M1188" s="14">
        <v>39.00289545</v>
      </c>
      <c r="N1188" s="14">
        <v>43.92982219</v>
      </c>
      <c r="O1188" s="14">
        <v>53.45731175</v>
      </c>
    </row>
    <row r="1189" spans="1:15">
      <c r="A1189" s="14" t="s">
        <v>6160</v>
      </c>
      <c r="B1189" s="14">
        <v>2802.158626</v>
      </c>
      <c r="C1189" s="14">
        <v>140.7688973</v>
      </c>
      <c r="D1189" s="14">
        <v>5463.548355</v>
      </c>
      <c r="E1189" s="14">
        <v>38.76308069</v>
      </c>
      <c r="F1189" s="14">
        <v>5.276611328</v>
      </c>
      <c r="G1189" s="51" t="s">
        <v>6161</v>
      </c>
      <c r="H1189" s="51" t="s">
        <v>6162</v>
      </c>
      <c r="I1189" s="14" t="s">
        <v>164</v>
      </c>
      <c r="J1189" s="14">
        <v>501.5441858</v>
      </c>
      <c r="K1189" s="14">
        <v>381.3867287</v>
      </c>
      <c r="L1189" s="14">
        <v>521.1821539</v>
      </c>
      <c r="M1189" s="14">
        <v>2.827918783</v>
      </c>
      <c r="N1189" s="14">
        <v>9.182638702</v>
      </c>
      <c r="O1189" s="14">
        <v>18.79997202</v>
      </c>
    </row>
    <row r="1190" spans="1:21">
      <c r="A1190" s="14" t="s">
        <v>6163</v>
      </c>
      <c r="B1190" s="14">
        <v>19717.21153</v>
      </c>
      <c r="C1190" s="14">
        <v>11956.13284</v>
      </c>
      <c r="D1190" s="14">
        <v>27478.29022</v>
      </c>
      <c r="E1190" s="14">
        <v>2.298209286</v>
      </c>
      <c r="F1190" s="14">
        <v>1.200510183</v>
      </c>
      <c r="G1190" s="14">
        <v>0.000391313</v>
      </c>
      <c r="H1190" s="14">
        <v>0.001600934</v>
      </c>
      <c r="I1190" s="14" t="s">
        <v>164</v>
      </c>
      <c r="J1190" s="14">
        <v>261.918839</v>
      </c>
      <c r="K1190" s="14">
        <v>191.5882926</v>
      </c>
      <c r="L1190" s="14">
        <v>219.2252467</v>
      </c>
      <c r="M1190" s="14">
        <v>56.77089619</v>
      </c>
      <c r="N1190" s="14">
        <v>56.24947438</v>
      </c>
      <c r="O1190" s="14">
        <v>133.7513782</v>
      </c>
      <c r="P1190" s="14" t="s">
        <v>6164</v>
      </c>
      <c r="Q1190" s="14" t="s">
        <v>6165</v>
      </c>
      <c r="T1190" s="14" t="s">
        <v>6166</v>
      </c>
      <c r="U1190" s="14" t="s">
        <v>6167</v>
      </c>
    </row>
    <row r="1191" spans="1:21">
      <c r="A1191" s="14" t="s">
        <v>6168</v>
      </c>
      <c r="B1191" s="14">
        <v>4.212201574</v>
      </c>
      <c r="C1191" s="14">
        <v>0.309088846</v>
      </c>
      <c r="D1191" s="14">
        <v>8.115314301</v>
      </c>
      <c r="E1191" s="14">
        <v>22.49121621</v>
      </c>
      <c r="F1191" s="14">
        <v>4.491289772</v>
      </c>
      <c r="G1191" s="14">
        <v>0.005626423</v>
      </c>
      <c r="H1191" s="14">
        <v>0.016422948</v>
      </c>
      <c r="I1191" s="14" t="s">
        <v>164</v>
      </c>
      <c r="J1191" s="14">
        <v>0.13719258</v>
      </c>
      <c r="K1191" s="14">
        <v>0.138088429</v>
      </c>
      <c r="L1191" s="14">
        <v>0.207579111</v>
      </c>
      <c r="M1191" s="14">
        <v>0</v>
      </c>
      <c r="N1191" s="14">
        <v>0</v>
      </c>
      <c r="O1191" s="14">
        <v>0.016406263</v>
      </c>
      <c r="P1191" s="14" t="s">
        <v>6169</v>
      </c>
      <c r="Q1191" s="14" t="s">
        <v>6170</v>
      </c>
      <c r="T1191" s="14" t="s">
        <v>6171</v>
      </c>
      <c r="U1191" s="14" t="s">
        <v>6172</v>
      </c>
    </row>
    <row r="1192" spans="1:21">
      <c r="A1192" s="14" t="s">
        <v>6173</v>
      </c>
      <c r="B1192" s="14">
        <v>1748.772511</v>
      </c>
      <c r="C1192" s="14">
        <v>2361.716692</v>
      </c>
      <c r="D1192" s="14">
        <v>1135.82833</v>
      </c>
      <c r="E1192" s="14">
        <v>0.480912714</v>
      </c>
      <c r="F1192" s="14">
        <v>-1.056153026</v>
      </c>
      <c r="G1192" s="51" t="s">
        <v>6174</v>
      </c>
      <c r="H1192" s="51" t="s">
        <v>6175</v>
      </c>
      <c r="I1192" s="14" t="s">
        <v>147</v>
      </c>
      <c r="J1192" s="14">
        <v>22.69951196</v>
      </c>
      <c r="K1192" s="14">
        <v>16.5868028</v>
      </c>
      <c r="L1192" s="14">
        <v>13.8705751</v>
      </c>
      <c r="M1192" s="14">
        <v>31.40285811</v>
      </c>
      <c r="N1192" s="14">
        <v>29.36524052</v>
      </c>
      <c r="O1192" s="14">
        <v>30.15410701</v>
      </c>
      <c r="P1192" s="14" t="s">
        <v>6176</v>
      </c>
      <c r="Q1192" s="14" t="s">
        <v>6177</v>
      </c>
      <c r="T1192" s="14" t="s">
        <v>6178</v>
      </c>
      <c r="U1192" s="14" t="s">
        <v>6179</v>
      </c>
    </row>
    <row r="1193" spans="1:21">
      <c r="A1193" s="14" t="s">
        <v>6180</v>
      </c>
      <c r="B1193" s="14">
        <v>771.2752435</v>
      </c>
      <c r="C1193" s="14">
        <v>1512.936475</v>
      </c>
      <c r="D1193" s="14">
        <v>29.61401192</v>
      </c>
      <c r="E1193" s="14">
        <v>0.019570622</v>
      </c>
      <c r="F1193" s="14">
        <v>-5.675166549</v>
      </c>
      <c r="G1193" s="14">
        <v>0.0001417</v>
      </c>
      <c r="H1193" s="14">
        <v>0.00064671</v>
      </c>
      <c r="I1193" s="14" t="s">
        <v>147</v>
      </c>
      <c r="J1193" s="14">
        <v>1.349317282</v>
      </c>
      <c r="K1193" s="14">
        <v>1.079537759</v>
      </c>
      <c r="L1193" s="14">
        <v>0.666250967</v>
      </c>
      <c r="M1193" s="14">
        <v>3.374600864</v>
      </c>
      <c r="N1193" s="14">
        <v>3.038733265</v>
      </c>
      <c r="O1193" s="14">
        <v>134.4989137</v>
      </c>
      <c r="P1193" s="14" t="s">
        <v>1448</v>
      </c>
      <c r="Q1193" s="14" t="s">
        <v>1449</v>
      </c>
      <c r="R1193" s="14" t="s">
        <v>1450</v>
      </c>
      <c r="S1193" s="14" t="s">
        <v>1451</v>
      </c>
      <c r="T1193" s="14" t="s">
        <v>1452</v>
      </c>
      <c r="U1193" s="14" t="s">
        <v>1453</v>
      </c>
    </row>
    <row r="1194" spans="1:21">
      <c r="A1194" s="14" t="s">
        <v>6181</v>
      </c>
      <c r="B1194" s="14">
        <v>11276.72803</v>
      </c>
      <c r="C1194" s="14">
        <v>15485.39084</v>
      </c>
      <c r="D1194" s="14">
        <v>7068.065229</v>
      </c>
      <c r="E1194" s="14">
        <v>0.45642236</v>
      </c>
      <c r="F1194" s="14">
        <v>-1.131558624</v>
      </c>
      <c r="G1194" s="51" t="s">
        <v>6182</v>
      </c>
      <c r="H1194" s="51" t="s">
        <v>6183</v>
      </c>
      <c r="I1194" s="14" t="s">
        <v>147</v>
      </c>
      <c r="J1194" s="14">
        <v>134.508959</v>
      </c>
      <c r="K1194" s="14">
        <v>119.2510605</v>
      </c>
      <c r="L1194" s="14">
        <v>117.14642</v>
      </c>
      <c r="M1194" s="14">
        <v>191.4230427</v>
      </c>
      <c r="N1194" s="14">
        <v>177.9002469</v>
      </c>
      <c r="O1194" s="14">
        <v>308.6018502</v>
      </c>
      <c r="P1194" s="14" t="s">
        <v>6184</v>
      </c>
      <c r="Q1194" s="14" t="s">
        <v>6185</v>
      </c>
      <c r="R1194" s="14" t="s">
        <v>1536</v>
      </c>
      <c r="S1194" s="14" t="s">
        <v>1537</v>
      </c>
      <c r="T1194" s="14" t="s">
        <v>6186</v>
      </c>
      <c r="U1194" s="14" t="s">
        <v>6187</v>
      </c>
    </row>
    <row r="1195" spans="1:21">
      <c r="A1195" s="14" t="s">
        <v>6188</v>
      </c>
      <c r="B1195" s="14">
        <v>13.37069308</v>
      </c>
      <c r="C1195" s="14">
        <v>2.901395732</v>
      </c>
      <c r="D1195" s="14">
        <v>23.83999043</v>
      </c>
      <c r="E1195" s="14">
        <v>8.107086447</v>
      </c>
      <c r="F1195" s="14">
        <v>3.019183527</v>
      </c>
      <c r="G1195" s="14">
        <v>0.004367915</v>
      </c>
      <c r="H1195" s="14">
        <v>0.013154585</v>
      </c>
      <c r="I1195" s="14" t="s">
        <v>164</v>
      </c>
      <c r="J1195" s="14">
        <v>0.267405186</v>
      </c>
      <c r="K1195" s="14">
        <v>0.146809804</v>
      </c>
      <c r="L1195" s="14">
        <v>0.468128969</v>
      </c>
      <c r="M1195" s="14">
        <v>0</v>
      </c>
      <c r="N1195" s="14">
        <v>0.039908597</v>
      </c>
      <c r="O1195" s="14">
        <v>0.050873807</v>
      </c>
      <c r="P1195" s="14" t="s">
        <v>6189</v>
      </c>
      <c r="Q1195" s="14" t="s">
        <v>6190</v>
      </c>
      <c r="T1195" s="14" t="s">
        <v>6191</v>
      </c>
      <c r="U1195" s="14" t="s">
        <v>6192</v>
      </c>
    </row>
    <row r="1196" spans="1:21">
      <c r="A1196" s="14" t="s">
        <v>6193</v>
      </c>
      <c r="B1196" s="14">
        <v>927.1138709</v>
      </c>
      <c r="C1196" s="14">
        <v>617.008286</v>
      </c>
      <c r="D1196" s="14">
        <v>1237.219456</v>
      </c>
      <c r="E1196" s="14">
        <v>2.00406328</v>
      </c>
      <c r="F1196" s="14">
        <v>1.002928063</v>
      </c>
      <c r="G1196" s="51" t="s">
        <v>6194</v>
      </c>
      <c r="H1196" s="51" t="s">
        <v>6195</v>
      </c>
      <c r="I1196" s="14" t="s">
        <v>164</v>
      </c>
      <c r="J1196" s="14">
        <v>13.49972777</v>
      </c>
      <c r="K1196" s="14">
        <v>14.00303326</v>
      </c>
      <c r="L1196" s="14">
        <v>14.27548557</v>
      </c>
      <c r="M1196" s="14">
        <v>4.711681254</v>
      </c>
      <c r="N1196" s="14">
        <v>4.712457247</v>
      </c>
      <c r="O1196" s="14">
        <v>7.959888577</v>
      </c>
      <c r="P1196" s="14" t="s">
        <v>6196</v>
      </c>
      <c r="Q1196" s="14" t="s">
        <v>6197</v>
      </c>
      <c r="R1196" s="14" t="s">
        <v>556</v>
      </c>
      <c r="S1196" s="14" t="s">
        <v>557</v>
      </c>
      <c r="T1196" s="14" t="s">
        <v>6198</v>
      </c>
      <c r="U1196" s="14" t="s">
        <v>6199</v>
      </c>
    </row>
    <row r="1197" spans="1:21">
      <c r="A1197" s="14" t="s">
        <v>6200</v>
      </c>
      <c r="B1197" s="14">
        <v>16.84784569</v>
      </c>
      <c r="C1197" s="14">
        <v>4.990066767</v>
      </c>
      <c r="D1197" s="14">
        <v>28.70562461</v>
      </c>
      <c r="E1197" s="14">
        <v>5.733929898</v>
      </c>
      <c r="F1197" s="14">
        <v>2.519524266</v>
      </c>
      <c r="G1197" s="14">
        <v>0.000296569</v>
      </c>
      <c r="H1197" s="14">
        <v>0.001248885</v>
      </c>
      <c r="I1197" s="14" t="s">
        <v>164</v>
      </c>
      <c r="J1197" s="14">
        <v>0.930924327</v>
      </c>
      <c r="K1197" s="14">
        <v>0.45648871</v>
      </c>
      <c r="L1197" s="14">
        <v>0.68949228</v>
      </c>
      <c r="M1197" s="14">
        <v>0.102114605</v>
      </c>
      <c r="N1197" s="14">
        <v>0.058780104</v>
      </c>
      <c r="O1197" s="14">
        <v>0.139870105</v>
      </c>
      <c r="P1197" s="14" t="s">
        <v>6201</v>
      </c>
      <c r="Q1197" s="14" t="s">
        <v>6202</v>
      </c>
      <c r="R1197" s="14" t="s">
        <v>907</v>
      </c>
      <c r="S1197" s="14" t="s">
        <v>908</v>
      </c>
      <c r="T1197" s="14" t="s">
        <v>6203</v>
      </c>
      <c r="U1197" s="14" t="s">
        <v>6204</v>
      </c>
    </row>
    <row r="1198" spans="1:21">
      <c r="A1198" s="14" t="s">
        <v>6205</v>
      </c>
      <c r="B1198" s="14">
        <v>378.9133375</v>
      </c>
      <c r="C1198" s="14">
        <v>251.9423074</v>
      </c>
      <c r="D1198" s="14">
        <v>505.8843676</v>
      </c>
      <c r="E1198" s="14">
        <v>2.006931179</v>
      </c>
      <c r="F1198" s="14">
        <v>1.004991145</v>
      </c>
      <c r="G1198" s="51" t="s">
        <v>6206</v>
      </c>
      <c r="H1198" s="51" t="s">
        <v>6207</v>
      </c>
      <c r="I1198" s="14" t="s">
        <v>164</v>
      </c>
      <c r="J1198" s="14">
        <v>17.11780691</v>
      </c>
      <c r="K1198" s="14">
        <v>15.5274678</v>
      </c>
      <c r="L1198" s="14">
        <v>20.30327223</v>
      </c>
      <c r="M1198" s="14">
        <v>6.259943216</v>
      </c>
      <c r="N1198" s="14">
        <v>6.997174849</v>
      </c>
      <c r="O1198" s="14">
        <v>8.551361131</v>
      </c>
      <c r="P1198" s="14" t="s">
        <v>6208</v>
      </c>
      <c r="Q1198" s="14" t="s">
        <v>6209</v>
      </c>
      <c r="T1198" s="14" t="s">
        <v>6210</v>
      </c>
      <c r="U1198" s="14" t="s">
        <v>6211</v>
      </c>
    </row>
    <row r="1199" spans="1:21">
      <c r="A1199" s="14" t="s">
        <v>6212</v>
      </c>
      <c r="B1199" s="14">
        <v>68.43718781</v>
      </c>
      <c r="C1199" s="14">
        <v>97.38807439</v>
      </c>
      <c r="D1199" s="14">
        <v>39.48630123</v>
      </c>
      <c r="E1199" s="14">
        <v>0.404841321</v>
      </c>
      <c r="F1199" s="14">
        <v>-1.304571546</v>
      </c>
      <c r="G1199" s="51" t="s">
        <v>1914</v>
      </c>
      <c r="H1199" s="14">
        <v>0.000404487</v>
      </c>
      <c r="I1199" s="14" t="s">
        <v>147</v>
      </c>
      <c r="J1199" s="14">
        <v>0.491460315</v>
      </c>
      <c r="K1199" s="14">
        <v>0.563373582</v>
      </c>
      <c r="L1199" s="14">
        <v>0.578358352</v>
      </c>
      <c r="M1199" s="14">
        <v>0.852661984</v>
      </c>
      <c r="N1199" s="14">
        <v>0.997321743</v>
      </c>
      <c r="O1199" s="14">
        <v>1.508471033</v>
      </c>
      <c r="P1199" s="14" t="s">
        <v>3499</v>
      </c>
      <c r="Q1199" s="14" t="s">
        <v>6213</v>
      </c>
      <c r="R1199" s="14" t="s">
        <v>6214</v>
      </c>
      <c r="S1199" s="14" t="s">
        <v>6215</v>
      </c>
      <c r="T1199" s="14" t="s">
        <v>6216</v>
      </c>
      <c r="U1199" s="14" t="s">
        <v>6217</v>
      </c>
    </row>
    <row r="1200" spans="1:15">
      <c r="A1200" s="14" t="s">
        <v>6218</v>
      </c>
      <c r="B1200" s="14">
        <v>40.13162727</v>
      </c>
      <c r="C1200" s="14">
        <v>14.13885664</v>
      </c>
      <c r="D1200" s="14">
        <v>66.12439791</v>
      </c>
      <c r="E1200" s="14">
        <v>4.65352279</v>
      </c>
      <c r="F1200" s="14">
        <v>2.218323273</v>
      </c>
      <c r="G1200" s="14">
        <v>0.000128392</v>
      </c>
      <c r="H1200" s="14">
        <v>0.000592548</v>
      </c>
      <c r="I1200" s="14" t="s">
        <v>164</v>
      </c>
      <c r="J1200" s="14">
        <v>2.720468178</v>
      </c>
      <c r="K1200" s="14">
        <v>1.173528206</v>
      </c>
      <c r="L1200" s="14">
        <v>2.101277929</v>
      </c>
      <c r="M1200" s="14">
        <v>0.179047551</v>
      </c>
      <c r="N1200" s="14">
        <v>0.39262827</v>
      </c>
      <c r="O1200" s="14">
        <v>0.500506063</v>
      </c>
    </row>
    <row r="1201" spans="1:21">
      <c r="A1201" s="14" t="s">
        <v>6219</v>
      </c>
      <c r="B1201" s="14">
        <v>14.83687066</v>
      </c>
      <c r="C1201" s="14">
        <v>3.934277066</v>
      </c>
      <c r="D1201" s="14">
        <v>25.73946425</v>
      </c>
      <c r="E1201" s="14">
        <v>6.467452474</v>
      </c>
      <c r="F1201" s="14">
        <v>2.693197547</v>
      </c>
      <c r="G1201" s="14">
        <v>0.000172457</v>
      </c>
      <c r="H1201" s="14">
        <v>0.000771271</v>
      </c>
      <c r="I1201" s="14" t="s">
        <v>164</v>
      </c>
      <c r="J1201" s="14">
        <v>1.154704213</v>
      </c>
      <c r="K1201" s="14">
        <v>0.712343269</v>
      </c>
      <c r="L1201" s="14">
        <v>1.040076863</v>
      </c>
      <c r="M1201" s="14">
        <v>0.063739278</v>
      </c>
      <c r="N1201" s="14">
        <v>0.12230054</v>
      </c>
      <c r="O1201" s="14">
        <v>0.187084323</v>
      </c>
      <c r="P1201" s="14" t="s">
        <v>6220</v>
      </c>
      <c r="Q1201" s="14" t="s">
        <v>6221</v>
      </c>
      <c r="T1201" s="14" t="s">
        <v>6222</v>
      </c>
      <c r="U1201" s="14" t="s">
        <v>6223</v>
      </c>
    </row>
    <row r="1202" spans="1:21">
      <c r="A1202" s="14" t="s">
        <v>6224</v>
      </c>
      <c r="B1202" s="14">
        <v>3673.472524</v>
      </c>
      <c r="C1202" s="14">
        <v>5014.844042</v>
      </c>
      <c r="D1202" s="14">
        <v>2332.101005</v>
      </c>
      <c r="E1202" s="14">
        <v>0.465050149</v>
      </c>
      <c r="F1202" s="14">
        <v>-1.104541797</v>
      </c>
      <c r="G1202" s="14">
        <v>0.003733721</v>
      </c>
      <c r="H1202" s="14">
        <v>0.011518665</v>
      </c>
      <c r="I1202" s="14" t="s">
        <v>147</v>
      </c>
      <c r="J1202" s="14">
        <v>10.50216447</v>
      </c>
      <c r="K1202" s="14">
        <v>11.3445482</v>
      </c>
      <c r="L1202" s="14">
        <v>10.46449128</v>
      </c>
      <c r="M1202" s="14">
        <v>17.59140917</v>
      </c>
      <c r="N1202" s="14">
        <v>28.07427473</v>
      </c>
      <c r="O1202" s="14">
        <v>10.59942666</v>
      </c>
      <c r="P1202" s="14" t="s">
        <v>1466</v>
      </c>
      <c r="Q1202" s="14" t="s">
        <v>1467</v>
      </c>
      <c r="T1202" s="14" t="s">
        <v>1468</v>
      </c>
      <c r="U1202" s="14" t="s">
        <v>1469</v>
      </c>
    </row>
    <row r="1203" spans="1:21">
      <c r="A1203" s="14" t="s">
        <v>6225</v>
      </c>
      <c r="B1203" s="14">
        <v>1557.370259</v>
      </c>
      <c r="C1203" s="14">
        <v>2426.515171</v>
      </c>
      <c r="D1203" s="14">
        <v>688.2253457</v>
      </c>
      <c r="E1203" s="14">
        <v>0.283632782</v>
      </c>
      <c r="F1203" s="14">
        <v>-1.81790381</v>
      </c>
      <c r="G1203" s="51" t="s">
        <v>6226</v>
      </c>
      <c r="H1203" s="51" t="s">
        <v>6227</v>
      </c>
      <c r="I1203" s="14" t="s">
        <v>147</v>
      </c>
      <c r="J1203" s="14">
        <v>5.37468529</v>
      </c>
      <c r="K1203" s="14">
        <v>9.438780298</v>
      </c>
      <c r="L1203" s="14">
        <v>6.495873093</v>
      </c>
      <c r="M1203" s="14">
        <v>23.36940459</v>
      </c>
      <c r="N1203" s="14">
        <v>24.38655597</v>
      </c>
      <c r="O1203" s="14">
        <v>13.23177544</v>
      </c>
      <c r="P1203" s="14" t="s">
        <v>1478</v>
      </c>
      <c r="Q1203" s="14" t="s">
        <v>1479</v>
      </c>
      <c r="T1203" s="14" t="s">
        <v>1480</v>
      </c>
      <c r="U1203" s="14" t="s">
        <v>1481</v>
      </c>
    </row>
    <row r="1204" spans="1:21">
      <c r="A1204" s="14" t="s">
        <v>6228</v>
      </c>
      <c r="B1204" s="14">
        <v>3104.414182</v>
      </c>
      <c r="C1204" s="14">
        <v>1433.438102</v>
      </c>
      <c r="D1204" s="14">
        <v>4775.390262</v>
      </c>
      <c r="E1204" s="14">
        <v>3.331627304</v>
      </c>
      <c r="F1204" s="14">
        <v>1.736227021</v>
      </c>
      <c r="G1204" s="51" t="s">
        <v>6229</v>
      </c>
      <c r="H1204" s="51" t="s">
        <v>6230</v>
      </c>
      <c r="I1204" s="14" t="s">
        <v>164</v>
      </c>
      <c r="J1204" s="14">
        <v>48.25867262</v>
      </c>
      <c r="K1204" s="14">
        <v>39.73059689</v>
      </c>
      <c r="L1204" s="14">
        <v>53.22586845</v>
      </c>
      <c r="M1204" s="14">
        <v>10.17854814</v>
      </c>
      <c r="N1204" s="14">
        <v>13.25493423</v>
      </c>
      <c r="O1204" s="14">
        <v>11.3706718</v>
      </c>
      <c r="P1204" s="14" t="s">
        <v>1478</v>
      </c>
      <c r="Q1204" s="14" t="s">
        <v>1479</v>
      </c>
      <c r="T1204" s="14" t="s">
        <v>1480</v>
      </c>
      <c r="U1204" s="14" t="s">
        <v>1481</v>
      </c>
    </row>
    <row r="1205" spans="1:21">
      <c r="A1205" s="14" t="s">
        <v>6231</v>
      </c>
      <c r="B1205" s="14">
        <v>95.71107655</v>
      </c>
      <c r="C1205" s="14">
        <v>41.57196142</v>
      </c>
      <c r="D1205" s="14">
        <v>149.8501917</v>
      </c>
      <c r="E1205" s="14">
        <v>3.615769938</v>
      </c>
      <c r="F1205" s="14">
        <v>1.854302886</v>
      </c>
      <c r="G1205" s="14">
        <v>0.000225388</v>
      </c>
      <c r="H1205" s="14">
        <v>0.000975568</v>
      </c>
      <c r="I1205" s="14" t="s">
        <v>164</v>
      </c>
      <c r="J1205" s="14">
        <v>1.839119338</v>
      </c>
      <c r="K1205" s="14">
        <v>1.205878025</v>
      </c>
      <c r="L1205" s="14">
        <v>1.730319704</v>
      </c>
      <c r="M1205" s="14">
        <v>0.440591413</v>
      </c>
      <c r="N1205" s="14">
        <v>0.457200881</v>
      </c>
      <c r="O1205" s="14">
        <v>0.167148527</v>
      </c>
      <c r="P1205" s="14" t="s">
        <v>6232</v>
      </c>
      <c r="Q1205" s="14" t="s">
        <v>6233</v>
      </c>
      <c r="T1205" s="14" t="s">
        <v>6234</v>
      </c>
      <c r="U1205" s="14" t="s">
        <v>6235</v>
      </c>
    </row>
    <row r="1206" spans="1:21">
      <c r="A1206" s="14" t="s">
        <v>6236</v>
      </c>
      <c r="B1206" s="14">
        <v>672.3674763</v>
      </c>
      <c r="C1206" s="14">
        <v>244.5106304</v>
      </c>
      <c r="D1206" s="14">
        <v>1100.224322</v>
      </c>
      <c r="E1206" s="14">
        <v>4.499438565</v>
      </c>
      <c r="F1206" s="14">
        <v>2.169744995</v>
      </c>
      <c r="G1206" s="51" t="s">
        <v>6237</v>
      </c>
      <c r="H1206" s="51" t="s">
        <v>6238</v>
      </c>
      <c r="I1206" s="14" t="s">
        <v>164</v>
      </c>
      <c r="J1206" s="14">
        <v>13.56901733</v>
      </c>
      <c r="K1206" s="14">
        <v>9.203337099</v>
      </c>
      <c r="L1206" s="14">
        <v>13.42000248</v>
      </c>
      <c r="M1206" s="14">
        <v>1.614761633</v>
      </c>
      <c r="N1206" s="14">
        <v>2.884665259</v>
      </c>
      <c r="O1206" s="14">
        <v>2.106474286</v>
      </c>
      <c r="P1206" s="14" t="s">
        <v>1492</v>
      </c>
      <c r="Q1206" s="14" t="s">
        <v>1493</v>
      </c>
      <c r="T1206" s="14" t="s">
        <v>1494</v>
      </c>
      <c r="U1206" s="14" t="s">
        <v>1495</v>
      </c>
    </row>
    <row r="1207" spans="1:15">
      <c r="A1207" s="14" t="s">
        <v>6239</v>
      </c>
      <c r="B1207" s="14">
        <v>401.1621288</v>
      </c>
      <c r="C1207" s="14">
        <v>535.5687158</v>
      </c>
      <c r="D1207" s="14">
        <v>266.7555418</v>
      </c>
      <c r="E1207" s="14">
        <v>0.49818151</v>
      </c>
      <c r="F1207" s="14">
        <v>-1.005256617</v>
      </c>
      <c r="G1207" s="14">
        <v>0.000584389</v>
      </c>
      <c r="H1207" s="14">
        <v>0.002279835</v>
      </c>
      <c r="I1207" s="14" t="s">
        <v>147</v>
      </c>
      <c r="J1207" s="14">
        <v>6.664697689</v>
      </c>
      <c r="K1207" s="14">
        <v>11.43134988</v>
      </c>
      <c r="L1207" s="14">
        <v>9.363728163</v>
      </c>
      <c r="M1207" s="14">
        <v>15.56489701</v>
      </c>
      <c r="N1207" s="14">
        <v>16.83065516</v>
      </c>
      <c r="O1207" s="14">
        <v>12.66664164</v>
      </c>
    </row>
    <row r="1208" spans="1:21">
      <c r="A1208" s="14" t="s">
        <v>6240</v>
      </c>
      <c r="B1208" s="14">
        <v>3.709276815</v>
      </c>
      <c r="C1208" s="14">
        <v>0</v>
      </c>
      <c r="D1208" s="14">
        <v>7.418553629</v>
      </c>
      <c r="E1208" s="14">
        <v>40.04456761</v>
      </c>
      <c r="F1208" s="14">
        <v>5.323534637</v>
      </c>
      <c r="G1208" s="14">
        <v>0.010751633</v>
      </c>
      <c r="H1208" s="14">
        <v>0.028722081</v>
      </c>
      <c r="I1208" s="14" t="s">
        <v>164</v>
      </c>
      <c r="J1208" s="14">
        <v>0.015885871</v>
      </c>
      <c r="K1208" s="14">
        <v>0.063958413</v>
      </c>
      <c r="L1208" s="14">
        <v>0.09942206</v>
      </c>
      <c r="M1208" s="14">
        <v>0</v>
      </c>
      <c r="N1208" s="14">
        <v>0</v>
      </c>
      <c r="O1208" s="14">
        <v>0</v>
      </c>
      <c r="P1208" s="14" t="s">
        <v>6241</v>
      </c>
      <c r="Q1208" s="14" t="s">
        <v>6242</v>
      </c>
      <c r="R1208" s="14" t="s">
        <v>565</v>
      </c>
      <c r="S1208" s="14" t="s">
        <v>566</v>
      </c>
      <c r="T1208" s="14" t="s">
        <v>6243</v>
      </c>
      <c r="U1208" s="14" t="s">
        <v>6244</v>
      </c>
    </row>
    <row r="1209" spans="1:15">
      <c r="A1209" s="14" t="s">
        <v>6245</v>
      </c>
      <c r="B1209" s="14">
        <v>1110.013338</v>
      </c>
      <c r="C1209" s="14">
        <v>1535.659745</v>
      </c>
      <c r="D1209" s="14">
        <v>684.366932</v>
      </c>
      <c r="E1209" s="14">
        <v>0.445695843</v>
      </c>
      <c r="F1209" s="14">
        <v>-1.165868591</v>
      </c>
      <c r="G1209" s="51" t="s">
        <v>3325</v>
      </c>
      <c r="H1209" s="51" t="s">
        <v>6246</v>
      </c>
      <c r="I1209" s="14" t="s">
        <v>147</v>
      </c>
      <c r="J1209" s="14">
        <v>15.26254793</v>
      </c>
      <c r="K1209" s="14">
        <v>21.28064989</v>
      </c>
      <c r="L1209" s="14">
        <v>16.39401469</v>
      </c>
      <c r="M1209" s="14">
        <v>39.02255002</v>
      </c>
      <c r="N1209" s="14">
        <v>31.7924992</v>
      </c>
      <c r="O1209" s="14">
        <v>26.06616186</v>
      </c>
    </row>
    <row r="1210" spans="1:21">
      <c r="A1210" s="14" t="s">
        <v>6247</v>
      </c>
      <c r="B1210" s="14">
        <v>3175.583484</v>
      </c>
      <c r="C1210" s="14">
        <v>1324.597043</v>
      </c>
      <c r="D1210" s="14">
        <v>5026.569926</v>
      </c>
      <c r="E1210" s="14">
        <v>3.793999266</v>
      </c>
      <c r="F1210" s="14">
        <v>1.9237194</v>
      </c>
      <c r="G1210" s="51" t="s">
        <v>6248</v>
      </c>
      <c r="H1210" s="51" t="s">
        <v>6249</v>
      </c>
      <c r="I1210" s="14" t="s">
        <v>164</v>
      </c>
      <c r="J1210" s="14">
        <v>40.00160108</v>
      </c>
      <c r="K1210" s="14">
        <v>27.61823168</v>
      </c>
      <c r="L1210" s="14">
        <v>36.69619968</v>
      </c>
      <c r="M1210" s="14">
        <v>5.804746104</v>
      </c>
      <c r="N1210" s="14">
        <v>6.400656763</v>
      </c>
      <c r="O1210" s="14">
        <v>10.75106313</v>
      </c>
      <c r="P1210" s="14" t="s">
        <v>6250</v>
      </c>
      <c r="Q1210" s="14" t="s">
        <v>6251</v>
      </c>
      <c r="T1210" s="14" t="s">
        <v>399</v>
      </c>
      <c r="U1210" s="14" t="s">
        <v>400</v>
      </c>
    </row>
    <row r="1211" spans="1:21">
      <c r="A1211" s="14" t="s">
        <v>6252</v>
      </c>
      <c r="B1211" s="14">
        <v>3667.254434</v>
      </c>
      <c r="C1211" s="14">
        <v>6172.329156</v>
      </c>
      <c r="D1211" s="14">
        <v>1162.179711</v>
      </c>
      <c r="E1211" s="14">
        <v>0.188288215</v>
      </c>
      <c r="F1211" s="14">
        <v>-2.408985392</v>
      </c>
      <c r="G1211" s="51" t="s">
        <v>6253</v>
      </c>
      <c r="H1211" s="51" t="s">
        <v>6254</v>
      </c>
      <c r="I1211" s="14" t="s">
        <v>147</v>
      </c>
      <c r="J1211" s="14">
        <v>19.40530066</v>
      </c>
      <c r="K1211" s="14">
        <v>18.93248602</v>
      </c>
      <c r="L1211" s="14">
        <v>16.79783367</v>
      </c>
      <c r="M1211" s="14">
        <v>87.17283578</v>
      </c>
      <c r="N1211" s="14">
        <v>85.78068558</v>
      </c>
      <c r="O1211" s="14">
        <v>66.22319436</v>
      </c>
      <c r="P1211" s="14" t="s">
        <v>6255</v>
      </c>
      <c r="Q1211" s="14" t="s">
        <v>6256</v>
      </c>
      <c r="R1211" s="14" t="s">
        <v>6257</v>
      </c>
      <c r="S1211" s="14" t="s">
        <v>6258</v>
      </c>
      <c r="T1211" s="14" t="s">
        <v>6259</v>
      </c>
      <c r="U1211" s="14" t="s">
        <v>6260</v>
      </c>
    </row>
    <row r="1212" spans="1:21">
      <c r="A1212" s="14" t="s">
        <v>6261</v>
      </c>
      <c r="B1212" s="14">
        <v>36245.66469</v>
      </c>
      <c r="C1212" s="14">
        <v>49165.20817</v>
      </c>
      <c r="D1212" s="14">
        <v>23326.12121</v>
      </c>
      <c r="E1212" s="14">
        <v>0.47444531</v>
      </c>
      <c r="F1212" s="14">
        <v>-1.075686301</v>
      </c>
      <c r="G1212" s="51" t="s">
        <v>6262</v>
      </c>
      <c r="H1212" s="51" t="s">
        <v>6263</v>
      </c>
      <c r="I1212" s="14" t="s">
        <v>147</v>
      </c>
      <c r="J1212" s="14">
        <v>707.2086329</v>
      </c>
      <c r="K1212" s="14">
        <v>934.8055429</v>
      </c>
      <c r="L1212" s="14">
        <v>770.4283014</v>
      </c>
      <c r="M1212" s="14">
        <v>1467.802235</v>
      </c>
      <c r="N1212" s="14">
        <v>1501.64192</v>
      </c>
      <c r="O1212" s="14">
        <v>1189.071047</v>
      </c>
      <c r="P1212" s="14" t="s">
        <v>6264</v>
      </c>
      <c r="Q1212" s="14" t="s">
        <v>6265</v>
      </c>
      <c r="R1212" s="14" t="s">
        <v>2754</v>
      </c>
      <c r="S1212" s="14" t="s">
        <v>2755</v>
      </c>
      <c r="T1212" s="14" t="s">
        <v>6266</v>
      </c>
      <c r="U1212" s="14" t="s">
        <v>6267</v>
      </c>
    </row>
    <row r="1213" spans="1:21">
      <c r="A1213" s="14" t="s">
        <v>6268</v>
      </c>
      <c r="B1213" s="14">
        <v>102.1013254</v>
      </c>
      <c r="C1213" s="14">
        <v>34.46490272</v>
      </c>
      <c r="D1213" s="14">
        <v>169.7377482</v>
      </c>
      <c r="E1213" s="14">
        <v>4.924085965</v>
      </c>
      <c r="F1213" s="14">
        <v>2.299855949</v>
      </c>
      <c r="G1213" s="51" t="s">
        <v>1868</v>
      </c>
      <c r="H1213" s="14">
        <v>0.000148558</v>
      </c>
      <c r="I1213" s="14" t="s">
        <v>164</v>
      </c>
      <c r="J1213" s="14">
        <v>11.10250811</v>
      </c>
      <c r="K1213" s="14">
        <v>3.055665714</v>
      </c>
      <c r="L1213" s="14">
        <v>8.184564697</v>
      </c>
      <c r="M1213" s="14">
        <v>0.964767284</v>
      </c>
      <c r="N1213" s="14">
        <v>1.495167164</v>
      </c>
      <c r="O1213" s="14">
        <v>1.270650957</v>
      </c>
      <c r="P1213" s="14" t="s">
        <v>6269</v>
      </c>
      <c r="Q1213" s="14" t="s">
        <v>6270</v>
      </c>
      <c r="T1213" s="14" t="s">
        <v>6271</v>
      </c>
      <c r="U1213" s="14" t="s">
        <v>6272</v>
      </c>
    </row>
    <row r="1214" spans="1:21">
      <c r="A1214" s="14" t="s">
        <v>6273</v>
      </c>
      <c r="B1214" s="14">
        <v>43.88585888</v>
      </c>
      <c r="C1214" s="14">
        <v>4.137751116</v>
      </c>
      <c r="D1214" s="14">
        <v>83.63396665</v>
      </c>
      <c r="E1214" s="14">
        <v>19.79594622</v>
      </c>
      <c r="F1214" s="14">
        <v>4.307133122</v>
      </c>
      <c r="G1214" s="51" t="s">
        <v>6274</v>
      </c>
      <c r="H1214" s="51" t="s">
        <v>6275</v>
      </c>
      <c r="I1214" s="14" t="s">
        <v>164</v>
      </c>
      <c r="J1214" s="14">
        <v>0.600821704</v>
      </c>
      <c r="K1214" s="14">
        <v>0.319817063</v>
      </c>
      <c r="L1214" s="14">
        <v>0.545125791</v>
      </c>
      <c r="M1214" s="14">
        <v>0</v>
      </c>
      <c r="N1214" s="14">
        <v>0.018968439</v>
      </c>
      <c r="O1214" s="14">
        <v>0.043524308</v>
      </c>
      <c r="P1214" s="14" t="s">
        <v>6276</v>
      </c>
      <c r="Q1214" s="14" t="s">
        <v>6277</v>
      </c>
      <c r="R1214" s="14" t="s">
        <v>6278</v>
      </c>
      <c r="S1214" s="14" t="s">
        <v>6279</v>
      </c>
      <c r="T1214" s="14" t="s">
        <v>6280</v>
      </c>
      <c r="U1214" s="14" t="s">
        <v>6281</v>
      </c>
    </row>
    <row r="1215" spans="1:21">
      <c r="A1215" s="14" t="s">
        <v>6282</v>
      </c>
      <c r="B1215" s="14">
        <v>197.0717458</v>
      </c>
      <c r="C1215" s="14">
        <v>20.12842956</v>
      </c>
      <c r="D1215" s="14">
        <v>374.015062</v>
      </c>
      <c r="E1215" s="14">
        <v>18.51258855</v>
      </c>
      <c r="F1215" s="14">
        <v>4.210434731</v>
      </c>
      <c r="G1215" s="51" t="s">
        <v>6283</v>
      </c>
      <c r="H1215" s="14">
        <v>0.000394135</v>
      </c>
      <c r="I1215" s="14" t="s">
        <v>164</v>
      </c>
      <c r="J1215" s="14">
        <v>3.996423091</v>
      </c>
      <c r="K1215" s="14">
        <v>7.869190591</v>
      </c>
      <c r="L1215" s="14">
        <v>12.9737019</v>
      </c>
      <c r="M1215" s="14">
        <v>0.112108801</v>
      </c>
      <c r="N1215" s="14">
        <v>0.017925847</v>
      </c>
      <c r="O1215" s="14">
        <v>1.042011028</v>
      </c>
      <c r="Q1215" s="14" t="s">
        <v>6284</v>
      </c>
      <c r="T1215" s="14" t="s">
        <v>6285</v>
      </c>
      <c r="U1215" s="14" t="s">
        <v>6286</v>
      </c>
    </row>
    <row r="1216" spans="1:21">
      <c r="A1216" s="14" t="s">
        <v>6287</v>
      </c>
      <c r="B1216" s="14">
        <v>4866.89625</v>
      </c>
      <c r="C1216" s="14">
        <v>3195.150366</v>
      </c>
      <c r="D1216" s="14">
        <v>6538.642133</v>
      </c>
      <c r="E1216" s="14">
        <v>2.046169018</v>
      </c>
      <c r="F1216" s="14">
        <v>1.03292532</v>
      </c>
      <c r="G1216" s="51" t="s">
        <v>6288</v>
      </c>
      <c r="H1216" s="51" t="s">
        <v>6289</v>
      </c>
      <c r="I1216" s="14" t="s">
        <v>164</v>
      </c>
      <c r="J1216" s="14">
        <v>30.37635168</v>
      </c>
      <c r="K1216" s="14">
        <v>29.46119652</v>
      </c>
      <c r="L1216" s="14">
        <v>32.25543649</v>
      </c>
      <c r="M1216" s="14">
        <v>10.75784731</v>
      </c>
      <c r="N1216" s="14">
        <v>10.6566397</v>
      </c>
      <c r="O1216" s="14">
        <v>15.98055333</v>
      </c>
      <c r="P1216" s="14" t="s">
        <v>6290</v>
      </c>
      <c r="Q1216" s="14" t="s">
        <v>6291</v>
      </c>
      <c r="T1216" s="14" t="s">
        <v>6292</v>
      </c>
      <c r="U1216" s="14" t="s">
        <v>6293</v>
      </c>
    </row>
    <row r="1217" spans="1:21">
      <c r="A1217" s="14" t="s">
        <v>6294</v>
      </c>
      <c r="B1217" s="14">
        <v>315.424671</v>
      </c>
      <c r="C1217" s="14">
        <v>97.04100108</v>
      </c>
      <c r="D1217" s="14">
        <v>533.808341</v>
      </c>
      <c r="E1217" s="14">
        <v>5.494428829</v>
      </c>
      <c r="F1217" s="14">
        <v>2.457969514</v>
      </c>
      <c r="G1217" s="14">
        <v>0.001359543</v>
      </c>
      <c r="H1217" s="14">
        <v>0.004790807</v>
      </c>
      <c r="I1217" s="14" t="s">
        <v>164</v>
      </c>
      <c r="J1217" s="14">
        <v>13.46103272</v>
      </c>
      <c r="K1217" s="14">
        <v>5.06391315</v>
      </c>
      <c r="L1217" s="14">
        <v>8.700036194</v>
      </c>
      <c r="M1217" s="14">
        <v>0.619048869</v>
      </c>
      <c r="N1217" s="14">
        <v>0.3729164</v>
      </c>
      <c r="O1217" s="14">
        <v>3.295955503</v>
      </c>
      <c r="P1217" s="14" t="s">
        <v>6295</v>
      </c>
      <c r="Q1217" s="14" t="s">
        <v>6296</v>
      </c>
      <c r="R1217" s="14" t="s">
        <v>556</v>
      </c>
      <c r="S1217" s="14" t="s">
        <v>557</v>
      </c>
      <c r="T1217" s="14" t="s">
        <v>6297</v>
      </c>
      <c r="U1217" s="14" t="s">
        <v>6298</v>
      </c>
    </row>
    <row r="1218" spans="1:21">
      <c r="A1218" s="14" t="s">
        <v>6299</v>
      </c>
      <c r="B1218" s="14">
        <v>155.6065195</v>
      </c>
      <c r="C1218" s="14">
        <v>98.6950529</v>
      </c>
      <c r="D1218" s="14">
        <v>212.5179862</v>
      </c>
      <c r="E1218" s="14">
        <v>2.154874544</v>
      </c>
      <c r="F1218" s="14">
        <v>1.107603878</v>
      </c>
      <c r="G1218" s="14">
        <v>0.002661025</v>
      </c>
      <c r="H1218" s="14">
        <v>0.00857158</v>
      </c>
      <c r="I1218" s="14" t="s">
        <v>164</v>
      </c>
      <c r="J1218" s="14">
        <v>4.500004842</v>
      </c>
      <c r="K1218" s="14">
        <v>2.227323445</v>
      </c>
      <c r="L1218" s="14">
        <v>2.831352382</v>
      </c>
      <c r="M1218" s="14">
        <v>1.23256597</v>
      </c>
      <c r="N1218" s="14">
        <v>1.353170925</v>
      </c>
      <c r="O1218" s="14">
        <v>1.044303487</v>
      </c>
      <c r="P1218" s="14" t="s">
        <v>6300</v>
      </c>
      <c r="Q1218" s="14" t="s">
        <v>2146</v>
      </c>
      <c r="T1218" s="14" t="s">
        <v>3571</v>
      </c>
      <c r="U1218" s="14" t="s">
        <v>3572</v>
      </c>
    </row>
    <row r="1219" spans="1:21">
      <c r="A1219" s="14" t="s">
        <v>6301</v>
      </c>
      <c r="B1219" s="14">
        <v>1243.409907</v>
      </c>
      <c r="C1219" s="14">
        <v>1765.544828</v>
      </c>
      <c r="D1219" s="14">
        <v>721.2749849</v>
      </c>
      <c r="E1219" s="14">
        <v>0.408525361</v>
      </c>
      <c r="F1219" s="14">
        <v>-1.291502451</v>
      </c>
      <c r="G1219" s="14">
        <v>0.000287221</v>
      </c>
      <c r="H1219" s="14">
        <v>0.001214399</v>
      </c>
      <c r="I1219" s="14" t="s">
        <v>147</v>
      </c>
      <c r="J1219" s="14">
        <v>14.24946988</v>
      </c>
      <c r="K1219" s="14">
        <v>19.29240979</v>
      </c>
      <c r="L1219" s="14">
        <v>10.36284332</v>
      </c>
      <c r="M1219" s="14">
        <v>34.71292059</v>
      </c>
      <c r="N1219" s="14">
        <v>32.52536162</v>
      </c>
      <c r="O1219" s="14">
        <v>20.22905367</v>
      </c>
      <c r="P1219" s="14" t="s">
        <v>6302</v>
      </c>
      <c r="Q1219" s="14" t="s">
        <v>6303</v>
      </c>
      <c r="R1219" s="14" t="s">
        <v>6257</v>
      </c>
      <c r="S1219" s="14" t="s">
        <v>6258</v>
      </c>
      <c r="T1219" s="14" t="s">
        <v>6304</v>
      </c>
      <c r="U1219" s="14" t="s">
        <v>6305</v>
      </c>
    </row>
    <row r="1220" spans="1:21">
      <c r="A1220" s="14" t="s">
        <v>6306</v>
      </c>
      <c r="B1220" s="14">
        <v>2161.050258</v>
      </c>
      <c r="C1220" s="14">
        <v>1348.145853</v>
      </c>
      <c r="D1220" s="14">
        <v>2973.954663</v>
      </c>
      <c r="E1220" s="14">
        <v>2.206528023</v>
      </c>
      <c r="F1220" s="14">
        <v>1.14177807</v>
      </c>
      <c r="G1220" s="51" t="s">
        <v>6307</v>
      </c>
      <c r="H1220" s="51" t="s">
        <v>6308</v>
      </c>
      <c r="I1220" s="14" t="s">
        <v>164</v>
      </c>
      <c r="J1220" s="14">
        <v>23.54782193</v>
      </c>
      <c r="K1220" s="14">
        <v>20.95357615</v>
      </c>
      <c r="L1220" s="14">
        <v>25.42125038</v>
      </c>
      <c r="M1220" s="14">
        <v>8.527469791</v>
      </c>
      <c r="N1220" s="14">
        <v>8.696790365</v>
      </c>
      <c r="O1220" s="14">
        <v>8.823594111</v>
      </c>
      <c r="P1220" s="14" t="s">
        <v>4232</v>
      </c>
      <c r="Q1220" s="14" t="s">
        <v>4233</v>
      </c>
      <c r="R1220" s="14" t="s">
        <v>341</v>
      </c>
      <c r="S1220" s="14" t="s">
        <v>342</v>
      </c>
      <c r="T1220" s="14" t="s">
        <v>6309</v>
      </c>
      <c r="U1220" s="14" t="s">
        <v>6310</v>
      </c>
    </row>
    <row r="1221" spans="1:21">
      <c r="A1221" s="14" t="s">
        <v>6311</v>
      </c>
      <c r="B1221" s="14">
        <v>49.97004659</v>
      </c>
      <c r="C1221" s="14">
        <v>89.68336499</v>
      </c>
      <c r="D1221" s="14">
        <v>10.25672819</v>
      </c>
      <c r="E1221" s="14">
        <v>0.113936229</v>
      </c>
      <c r="F1221" s="14">
        <v>-3.133701532</v>
      </c>
      <c r="G1221" s="51" t="s">
        <v>6312</v>
      </c>
      <c r="H1221" s="51" t="s">
        <v>6313</v>
      </c>
      <c r="I1221" s="14" t="s">
        <v>147</v>
      </c>
      <c r="J1221" s="14">
        <v>0.296592922</v>
      </c>
      <c r="K1221" s="14">
        <v>0.205239124</v>
      </c>
      <c r="L1221" s="14">
        <v>0.071393582</v>
      </c>
      <c r="M1221" s="14">
        <v>1.17365541</v>
      </c>
      <c r="N1221" s="14">
        <v>1.810702441</v>
      </c>
      <c r="O1221" s="14">
        <v>1.132767419</v>
      </c>
      <c r="P1221" s="14" t="s">
        <v>6314</v>
      </c>
      <c r="Q1221" s="14" t="s">
        <v>6315</v>
      </c>
      <c r="T1221" s="14" t="s">
        <v>1668</v>
      </c>
      <c r="U1221" s="14" t="s">
        <v>1669</v>
      </c>
    </row>
    <row r="1222" spans="1:21">
      <c r="A1222" s="14" t="s">
        <v>6316</v>
      </c>
      <c r="B1222" s="14">
        <v>676.3921197</v>
      </c>
      <c r="C1222" s="14">
        <v>936.7092936</v>
      </c>
      <c r="D1222" s="14">
        <v>416.0749458</v>
      </c>
      <c r="E1222" s="14">
        <v>0.444201519</v>
      </c>
      <c r="F1222" s="14">
        <v>-1.170713768</v>
      </c>
      <c r="G1222" s="51" t="s">
        <v>6317</v>
      </c>
      <c r="H1222" s="51" t="s">
        <v>6318</v>
      </c>
      <c r="I1222" s="14" t="s">
        <v>147</v>
      </c>
      <c r="J1222" s="14">
        <v>5.802005228</v>
      </c>
      <c r="K1222" s="14">
        <v>9.245024715</v>
      </c>
      <c r="L1222" s="14">
        <v>7.021046245</v>
      </c>
      <c r="M1222" s="14">
        <v>14.33758813</v>
      </c>
      <c r="N1222" s="14">
        <v>13.56816578</v>
      </c>
      <c r="O1222" s="14">
        <v>12.86846676</v>
      </c>
      <c r="P1222" s="14" t="s">
        <v>6319</v>
      </c>
      <c r="Q1222" s="14" t="s">
        <v>6320</v>
      </c>
      <c r="T1222" s="14" t="s">
        <v>6321</v>
      </c>
      <c r="U1222" s="14" t="s">
        <v>6322</v>
      </c>
    </row>
    <row r="1223" spans="1:21">
      <c r="A1223" s="14" t="s">
        <v>6323</v>
      </c>
      <c r="B1223" s="14">
        <v>680.0875464</v>
      </c>
      <c r="C1223" s="14">
        <v>1048.942465</v>
      </c>
      <c r="D1223" s="14">
        <v>311.2326283</v>
      </c>
      <c r="E1223" s="14">
        <v>0.29664888</v>
      </c>
      <c r="F1223" s="14">
        <v>-1.75317176</v>
      </c>
      <c r="G1223" s="51" t="s">
        <v>6324</v>
      </c>
      <c r="H1223" s="51" t="s">
        <v>1422</v>
      </c>
      <c r="I1223" s="14" t="s">
        <v>147</v>
      </c>
      <c r="J1223" s="14">
        <v>9.733438901</v>
      </c>
      <c r="K1223" s="14">
        <v>9.639404543</v>
      </c>
      <c r="L1223" s="14">
        <v>5.150741057</v>
      </c>
      <c r="M1223" s="14">
        <v>23.73333808</v>
      </c>
      <c r="N1223" s="14">
        <v>25.25402504</v>
      </c>
      <c r="O1223" s="14">
        <v>18.6985672</v>
      </c>
      <c r="P1223" s="14" t="s">
        <v>6325</v>
      </c>
      <c r="Q1223" s="14" t="s">
        <v>6326</v>
      </c>
      <c r="T1223" s="14" t="s">
        <v>3291</v>
      </c>
      <c r="U1223" s="14" t="s">
        <v>3292</v>
      </c>
    </row>
    <row r="1224" spans="1:21">
      <c r="A1224" s="14" t="s">
        <v>6327</v>
      </c>
      <c r="B1224" s="14">
        <v>759.9057047</v>
      </c>
      <c r="C1224" s="14">
        <v>1038.09068</v>
      </c>
      <c r="D1224" s="14">
        <v>481.7207295</v>
      </c>
      <c r="E1224" s="14">
        <v>0.464172951</v>
      </c>
      <c r="F1224" s="14">
        <v>-1.107265642</v>
      </c>
      <c r="G1224" s="14">
        <v>0.000556324</v>
      </c>
      <c r="H1224" s="14">
        <v>0.002179417</v>
      </c>
      <c r="I1224" s="14" t="s">
        <v>147</v>
      </c>
      <c r="J1224" s="14">
        <v>15.19201205</v>
      </c>
      <c r="K1224" s="14">
        <v>8.317748226</v>
      </c>
      <c r="L1224" s="14">
        <v>17.19950953</v>
      </c>
      <c r="M1224" s="14">
        <v>23.83004251</v>
      </c>
      <c r="N1224" s="14">
        <v>27.04168082</v>
      </c>
      <c r="O1224" s="14">
        <v>20.68296081</v>
      </c>
      <c r="P1224" s="14" t="s">
        <v>6328</v>
      </c>
      <c r="Q1224" s="14" t="s">
        <v>6329</v>
      </c>
      <c r="T1224" s="14" t="s">
        <v>2890</v>
      </c>
      <c r="U1224" s="14" t="s">
        <v>2891</v>
      </c>
    </row>
    <row r="1225" spans="1:15">
      <c r="A1225" s="14" t="s">
        <v>6330</v>
      </c>
      <c r="B1225" s="14">
        <v>11.65904345</v>
      </c>
      <c r="C1225" s="14">
        <v>21.08208061</v>
      </c>
      <c r="D1225" s="14">
        <v>2.236006297</v>
      </c>
      <c r="E1225" s="14">
        <v>0.106941447</v>
      </c>
      <c r="F1225" s="14">
        <v>-3.225106995</v>
      </c>
      <c r="G1225" s="14">
        <v>0.00211138</v>
      </c>
      <c r="H1225" s="14">
        <v>0.007031222</v>
      </c>
      <c r="I1225" s="14" t="s">
        <v>147</v>
      </c>
      <c r="J1225" s="14">
        <v>0</v>
      </c>
      <c r="K1225" s="14">
        <v>0.047927599</v>
      </c>
      <c r="L1225" s="14">
        <v>0.114619206</v>
      </c>
      <c r="M1225" s="14">
        <v>0.30555427</v>
      </c>
      <c r="N1225" s="14">
        <v>0.332228786</v>
      </c>
      <c r="O1225" s="14">
        <v>0.637758242</v>
      </c>
    </row>
    <row r="1226" spans="1:15">
      <c r="A1226" s="14" t="s">
        <v>6331</v>
      </c>
      <c r="B1226" s="14">
        <v>52.95172236</v>
      </c>
      <c r="C1226" s="14">
        <v>14.38697592</v>
      </c>
      <c r="D1226" s="14">
        <v>91.51646881</v>
      </c>
      <c r="E1226" s="14">
        <v>6.353117054</v>
      </c>
      <c r="F1226" s="14">
        <v>2.6674646</v>
      </c>
      <c r="G1226" s="51" t="s">
        <v>6332</v>
      </c>
      <c r="H1226" s="51" t="s">
        <v>6333</v>
      </c>
      <c r="I1226" s="14" t="s">
        <v>164</v>
      </c>
      <c r="J1226" s="14">
        <v>4.200476693</v>
      </c>
      <c r="K1226" s="14">
        <v>5.259101662</v>
      </c>
      <c r="L1226" s="14">
        <v>4.734938481</v>
      </c>
      <c r="M1226" s="14">
        <v>0.438281171</v>
      </c>
      <c r="N1226" s="14">
        <v>0.798909627</v>
      </c>
      <c r="O1226" s="14">
        <v>0.600329731</v>
      </c>
    </row>
    <row r="1227" spans="1:21">
      <c r="A1227" s="14" t="s">
        <v>6334</v>
      </c>
      <c r="B1227" s="14">
        <v>5.322260678</v>
      </c>
      <c r="C1227" s="14">
        <v>9.971971368</v>
      </c>
      <c r="D1227" s="14">
        <v>0.672549988</v>
      </c>
      <c r="E1227" s="14">
        <v>0.066445578</v>
      </c>
      <c r="F1227" s="14">
        <v>-3.911682996</v>
      </c>
      <c r="G1227" s="14">
        <v>0.013840616</v>
      </c>
      <c r="H1227" s="14">
        <v>0.035627585</v>
      </c>
      <c r="I1227" s="14" t="s">
        <v>147</v>
      </c>
      <c r="J1227" s="14">
        <v>0</v>
      </c>
      <c r="K1227" s="14">
        <v>0.008447566</v>
      </c>
      <c r="L1227" s="14">
        <v>0</v>
      </c>
      <c r="M1227" s="14">
        <v>0.050265621</v>
      </c>
      <c r="N1227" s="14">
        <v>0.031001076</v>
      </c>
      <c r="O1227" s="14">
        <v>0.021076732</v>
      </c>
      <c r="P1227" s="14" t="s">
        <v>6335</v>
      </c>
      <c r="Q1227" s="14" t="s">
        <v>6336</v>
      </c>
      <c r="T1227" s="14" t="s">
        <v>2363</v>
      </c>
      <c r="U1227" s="14" t="s">
        <v>2364</v>
      </c>
    </row>
    <row r="1228" spans="1:21">
      <c r="A1228" s="14" t="s">
        <v>6337</v>
      </c>
      <c r="B1228" s="14">
        <v>980.1230693</v>
      </c>
      <c r="C1228" s="14">
        <v>625.102061</v>
      </c>
      <c r="D1228" s="14">
        <v>1335.144078</v>
      </c>
      <c r="E1228" s="14">
        <v>2.135073436</v>
      </c>
      <c r="F1228" s="14">
        <v>1.094285692</v>
      </c>
      <c r="G1228" s="51" t="s">
        <v>6338</v>
      </c>
      <c r="H1228" s="51" t="s">
        <v>6339</v>
      </c>
      <c r="I1228" s="14" t="s">
        <v>164</v>
      </c>
      <c r="J1228" s="14">
        <v>7.299497337</v>
      </c>
      <c r="K1228" s="14">
        <v>5.767865576</v>
      </c>
      <c r="L1228" s="14">
        <v>8.185387047</v>
      </c>
      <c r="M1228" s="14">
        <v>2.200037029</v>
      </c>
      <c r="N1228" s="14">
        <v>2.390661756</v>
      </c>
      <c r="O1228" s="14">
        <v>3.689964604</v>
      </c>
      <c r="P1228" s="14" t="s">
        <v>6340</v>
      </c>
      <c r="Q1228" s="14" t="s">
        <v>6341</v>
      </c>
      <c r="T1228" s="14" t="s">
        <v>6342</v>
      </c>
      <c r="U1228" s="14" t="s">
        <v>6343</v>
      </c>
    </row>
    <row r="1229" spans="1:21">
      <c r="A1229" s="14" t="s">
        <v>6344</v>
      </c>
      <c r="B1229" s="14">
        <v>3.055719203</v>
      </c>
      <c r="C1229" s="14">
        <v>0</v>
      </c>
      <c r="D1229" s="14">
        <v>6.111438406</v>
      </c>
      <c r="E1229" s="14">
        <v>33.00256224</v>
      </c>
      <c r="F1229" s="14">
        <v>5.044506131</v>
      </c>
      <c r="G1229" s="14">
        <v>0.013856538</v>
      </c>
      <c r="H1229" s="14">
        <v>0.035653115</v>
      </c>
      <c r="I1229" s="14" t="s">
        <v>164</v>
      </c>
      <c r="J1229" s="14">
        <v>0.530390452</v>
      </c>
      <c r="K1229" s="14">
        <v>0.533853832</v>
      </c>
      <c r="L1229" s="14">
        <v>1.404386907</v>
      </c>
      <c r="M1229" s="14">
        <v>0</v>
      </c>
      <c r="N1229" s="14">
        <v>0</v>
      </c>
      <c r="O1229" s="14">
        <v>0</v>
      </c>
      <c r="P1229" s="14" t="s">
        <v>6345</v>
      </c>
      <c r="Q1229" s="14" t="s">
        <v>6346</v>
      </c>
      <c r="R1229" s="14" t="s">
        <v>6347</v>
      </c>
      <c r="S1229" s="14" t="s">
        <v>6348</v>
      </c>
      <c r="T1229" s="14" t="s">
        <v>6349</v>
      </c>
      <c r="U1229" s="14" t="s">
        <v>6350</v>
      </c>
    </row>
    <row r="1230" spans="1:21">
      <c r="A1230" s="14" t="s">
        <v>6351</v>
      </c>
      <c r="B1230" s="14">
        <v>27.48684691</v>
      </c>
      <c r="C1230" s="14">
        <v>12.5922409</v>
      </c>
      <c r="D1230" s="14">
        <v>42.38145291</v>
      </c>
      <c r="E1230" s="14">
        <v>3.37503586</v>
      </c>
      <c r="F1230" s="14">
        <v>1.754902831</v>
      </c>
      <c r="G1230" s="14">
        <v>0.007610129</v>
      </c>
      <c r="H1230" s="14">
        <v>0.021304295</v>
      </c>
      <c r="I1230" s="14" t="s">
        <v>164</v>
      </c>
      <c r="J1230" s="14">
        <v>2.023118125</v>
      </c>
      <c r="K1230" s="14">
        <v>1.690537136</v>
      </c>
      <c r="L1230" s="14">
        <v>1.176125674</v>
      </c>
      <c r="M1230" s="14">
        <v>0.326597952</v>
      </c>
      <c r="N1230" s="14">
        <v>0.65799712</v>
      </c>
      <c r="O1230" s="14">
        <v>0.191722777</v>
      </c>
      <c r="P1230" s="14" t="s">
        <v>2872</v>
      </c>
      <c r="Q1230" s="14" t="s">
        <v>2873</v>
      </c>
      <c r="T1230" s="14" t="s">
        <v>549</v>
      </c>
      <c r="U1230" s="14" t="s">
        <v>550</v>
      </c>
    </row>
    <row r="1231" spans="1:21">
      <c r="A1231" s="14" t="s">
        <v>6352</v>
      </c>
      <c r="B1231" s="14">
        <v>60.89671277</v>
      </c>
      <c r="C1231" s="14">
        <v>120.5000844</v>
      </c>
      <c r="D1231" s="14">
        <v>1.293341155</v>
      </c>
      <c r="E1231" s="14">
        <v>0.010792498</v>
      </c>
      <c r="F1231" s="14">
        <v>-6.533827306</v>
      </c>
      <c r="G1231" s="51" t="s">
        <v>6353</v>
      </c>
      <c r="H1231" s="51" t="s">
        <v>4882</v>
      </c>
      <c r="I1231" s="14" t="s">
        <v>147</v>
      </c>
      <c r="J1231" s="14">
        <v>0.017180968</v>
      </c>
      <c r="K1231" s="14">
        <v>0.017293157</v>
      </c>
      <c r="L1231" s="14">
        <v>0.03308537</v>
      </c>
      <c r="M1231" s="14">
        <v>2.072692249</v>
      </c>
      <c r="N1231" s="14">
        <v>2.735953305</v>
      </c>
      <c r="O1231" s="14">
        <v>0.172586158</v>
      </c>
      <c r="P1231" s="14" t="s">
        <v>6354</v>
      </c>
      <c r="Q1231" s="14" t="s">
        <v>6355</v>
      </c>
      <c r="R1231" s="14" t="s">
        <v>3937</v>
      </c>
      <c r="S1231" s="14" t="s">
        <v>3938</v>
      </c>
      <c r="T1231" s="14" t="s">
        <v>6356</v>
      </c>
      <c r="U1231" s="14" t="s">
        <v>6357</v>
      </c>
    </row>
    <row r="1232" spans="1:21">
      <c r="A1232" s="14" t="s">
        <v>6358</v>
      </c>
      <c r="B1232" s="14">
        <v>2329.735602</v>
      </c>
      <c r="C1232" s="14">
        <v>1522.571181</v>
      </c>
      <c r="D1232" s="14">
        <v>3136.900024</v>
      </c>
      <c r="E1232" s="14">
        <v>2.060697514</v>
      </c>
      <c r="F1232" s="14">
        <v>1.04313275</v>
      </c>
      <c r="G1232" s="51" t="s">
        <v>6359</v>
      </c>
      <c r="H1232" s="51" t="s">
        <v>4925</v>
      </c>
      <c r="I1232" s="14" t="s">
        <v>164</v>
      </c>
      <c r="J1232" s="14">
        <v>47.06556187</v>
      </c>
      <c r="K1232" s="14">
        <v>38.46387962</v>
      </c>
      <c r="L1232" s="14">
        <v>44.0958137</v>
      </c>
      <c r="M1232" s="14">
        <v>18.23834189</v>
      </c>
      <c r="N1232" s="14">
        <v>18.97524174</v>
      </c>
      <c r="O1232" s="14">
        <v>14.12228845</v>
      </c>
      <c r="P1232" s="14" t="s">
        <v>6360</v>
      </c>
      <c r="Q1232" s="14" t="s">
        <v>6361</v>
      </c>
      <c r="R1232" s="14" t="s">
        <v>1065</v>
      </c>
      <c r="S1232" s="14" t="s">
        <v>1066</v>
      </c>
      <c r="T1232" s="14" t="s">
        <v>6362</v>
      </c>
      <c r="U1232" s="14" t="s">
        <v>6363</v>
      </c>
    </row>
    <row r="1233" spans="1:21">
      <c r="A1233" s="14" t="s">
        <v>6364</v>
      </c>
      <c r="B1233" s="14">
        <v>47.66357646</v>
      </c>
      <c r="C1233" s="14">
        <v>21.21642293</v>
      </c>
      <c r="D1233" s="14">
        <v>74.11072999</v>
      </c>
      <c r="E1233" s="14">
        <v>3.500185195</v>
      </c>
      <c r="F1233" s="14">
        <v>1.807431257</v>
      </c>
      <c r="G1233" s="51" t="s">
        <v>3525</v>
      </c>
      <c r="H1233" s="51" t="s">
        <v>3526</v>
      </c>
      <c r="I1233" s="14" t="s">
        <v>164</v>
      </c>
      <c r="J1233" s="14">
        <v>3.399129284</v>
      </c>
      <c r="K1233" s="14">
        <v>2.052795093</v>
      </c>
      <c r="L1233" s="14">
        <v>3.542378519</v>
      </c>
      <c r="M1233" s="14">
        <v>0.684300471</v>
      </c>
      <c r="N1233" s="14">
        <v>0.754980822</v>
      </c>
      <c r="O1233" s="14">
        <v>0.669508111</v>
      </c>
      <c r="P1233" s="14" t="s">
        <v>6365</v>
      </c>
      <c r="Q1233" s="14" t="s">
        <v>6366</v>
      </c>
      <c r="T1233" s="14" t="s">
        <v>6367</v>
      </c>
      <c r="U1233" s="14" t="s">
        <v>6368</v>
      </c>
    </row>
    <row r="1234" spans="1:21">
      <c r="A1234" s="14" t="s">
        <v>6369</v>
      </c>
      <c r="B1234" s="14">
        <v>1450.256252</v>
      </c>
      <c r="C1234" s="14">
        <v>863.2566543</v>
      </c>
      <c r="D1234" s="14">
        <v>2037.25585</v>
      </c>
      <c r="E1234" s="14">
        <v>2.360501169</v>
      </c>
      <c r="F1234" s="14">
        <v>1.239093197</v>
      </c>
      <c r="G1234" s="51" t="s">
        <v>6370</v>
      </c>
      <c r="H1234" s="51" t="s">
        <v>6371</v>
      </c>
      <c r="I1234" s="14" t="s">
        <v>164</v>
      </c>
      <c r="J1234" s="14">
        <v>19.97191636</v>
      </c>
      <c r="K1234" s="14">
        <v>16.20214221</v>
      </c>
      <c r="L1234" s="14">
        <v>18.0539859</v>
      </c>
      <c r="M1234" s="14">
        <v>6.051795854</v>
      </c>
      <c r="N1234" s="14">
        <v>7.782176459</v>
      </c>
      <c r="O1234" s="14">
        <v>4.90595123</v>
      </c>
      <c r="P1234" s="14" t="s">
        <v>6372</v>
      </c>
      <c r="Q1234" s="14" t="s">
        <v>6373</v>
      </c>
      <c r="T1234" s="14" t="s">
        <v>6374</v>
      </c>
      <c r="U1234" s="14" t="s">
        <v>6375</v>
      </c>
    </row>
    <row r="1235" spans="1:21">
      <c r="A1235" s="14" t="s">
        <v>6376</v>
      </c>
      <c r="B1235" s="14">
        <v>95.14103582</v>
      </c>
      <c r="C1235" s="14">
        <v>38.53428699</v>
      </c>
      <c r="D1235" s="14">
        <v>151.7477846</v>
      </c>
      <c r="E1235" s="14">
        <v>3.951729691</v>
      </c>
      <c r="F1235" s="14">
        <v>1.982484266</v>
      </c>
      <c r="G1235" s="51" t="s">
        <v>6377</v>
      </c>
      <c r="H1235" s="51" t="s">
        <v>6378</v>
      </c>
      <c r="I1235" s="14" t="s">
        <v>164</v>
      </c>
      <c r="J1235" s="14">
        <v>1.4415144</v>
      </c>
      <c r="K1235" s="14">
        <v>1.14185403</v>
      </c>
      <c r="L1235" s="14">
        <v>1.338684596</v>
      </c>
      <c r="M1235" s="14">
        <v>0.291917653</v>
      </c>
      <c r="N1235" s="14">
        <v>0.350075414</v>
      </c>
      <c r="O1235" s="14">
        <v>0.164224219</v>
      </c>
      <c r="P1235" s="14" t="s">
        <v>752</v>
      </c>
      <c r="Q1235" s="14" t="s">
        <v>753</v>
      </c>
      <c r="R1235" s="14" t="s">
        <v>754</v>
      </c>
      <c r="S1235" s="14" t="s">
        <v>755</v>
      </c>
      <c r="T1235" s="14" t="s">
        <v>756</v>
      </c>
      <c r="U1235" s="14" t="s">
        <v>757</v>
      </c>
    </row>
    <row r="1236" spans="1:21">
      <c r="A1236" s="14" t="s">
        <v>6379</v>
      </c>
      <c r="B1236" s="14">
        <v>168.690005</v>
      </c>
      <c r="C1236" s="14">
        <v>11.93951653</v>
      </c>
      <c r="D1236" s="14">
        <v>325.4404935</v>
      </c>
      <c r="E1236" s="14">
        <v>27.01499172</v>
      </c>
      <c r="F1236" s="14">
        <v>4.755688334</v>
      </c>
      <c r="G1236" s="51" t="s">
        <v>6380</v>
      </c>
      <c r="H1236" s="51" t="s">
        <v>6381</v>
      </c>
      <c r="I1236" s="14" t="s">
        <v>164</v>
      </c>
      <c r="J1236" s="14">
        <v>2.855997037</v>
      </c>
      <c r="K1236" s="14">
        <v>0.87564377</v>
      </c>
      <c r="L1236" s="14">
        <v>1.917762542</v>
      </c>
      <c r="M1236" s="14">
        <v>0.024484729</v>
      </c>
      <c r="N1236" s="14">
        <v>0.037584305</v>
      </c>
      <c r="O1236" s="14">
        <v>0.114986151</v>
      </c>
      <c r="P1236" s="14" t="s">
        <v>2604</v>
      </c>
      <c r="Q1236" s="14" t="s">
        <v>2605</v>
      </c>
      <c r="T1236" s="14" t="s">
        <v>2606</v>
      </c>
      <c r="U1236" s="14" t="s">
        <v>2607</v>
      </c>
    </row>
    <row r="1237" spans="1:21">
      <c r="A1237" s="14" t="s">
        <v>6382</v>
      </c>
      <c r="B1237" s="14">
        <v>3561.000196</v>
      </c>
      <c r="C1237" s="14">
        <v>5656.657346</v>
      </c>
      <c r="D1237" s="14">
        <v>1465.343046</v>
      </c>
      <c r="E1237" s="14">
        <v>0.259039306</v>
      </c>
      <c r="F1237" s="14">
        <v>-1.94875707</v>
      </c>
      <c r="G1237" s="51" t="s">
        <v>6383</v>
      </c>
      <c r="H1237" s="51" t="s">
        <v>6384</v>
      </c>
      <c r="I1237" s="14" t="s">
        <v>147</v>
      </c>
      <c r="J1237" s="14">
        <v>34.96169582</v>
      </c>
      <c r="K1237" s="14">
        <v>45.77859626</v>
      </c>
      <c r="L1237" s="14">
        <v>35.27544072</v>
      </c>
      <c r="M1237" s="14">
        <v>125.204887</v>
      </c>
      <c r="N1237" s="14">
        <v>128.9477301</v>
      </c>
      <c r="O1237" s="14">
        <v>113.25403</v>
      </c>
      <c r="P1237" s="14" t="s">
        <v>6385</v>
      </c>
      <c r="Q1237" s="14" t="s">
        <v>6386</v>
      </c>
      <c r="T1237" s="14" t="s">
        <v>6387</v>
      </c>
      <c r="U1237" s="14" t="s">
        <v>6388</v>
      </c>
    </row>
    <row r="1238" spans="1:21">
      <c r="A1238" s="14" t="s">
        <v>6389</v>
      </c>
      <c r="B1238" s="14">
        <v>27.82464624</v>
      </c>
      <c r="C1238" s="14">
        <v>6.164687709</v>
      </c>
      <c r="D1238" s="14">
        <v>49.48460478</v>
      </c>
      <c r="E1238" s="14">
        <v>7.938329178</v>
      </c>
      <c r="F1238" s="14">
        <v>2.988835388</v>
      </c>
      <c r="G1238" s="51" t="s">
        <v>6390</v>
      </c>
      <c r="H1238" s="14">
        <v>0.000450703</v>
      </c>
      <c r="I1238" s="14" t="s">
        <v>164</v>
      </c>
      <c r="J1238" s="14">
        <v>0.429048404</v>
      </c>
      <c r="K1238" s="14">
        <v>0.237213399</v>
      </c>
      <c r="L1238" s="14">
        <v>0.238555909</v>
      </c>
      <c r="M1238" s="14">
        <v>0.005170303</v>
      </c>
      <c r="N1238" s="14">
        <v>0.039682338</v>
      </c>
      <c r="O1238" s="14">
        <v>0.050585382</v>
      </c>
      <c r="P1238" s="14" t="s">
        <v>6391</v>
      </c>
      <c r="Q1238" s="14" t="s">
        <v>6392</v>
      </c>
      <c r="T1238" s="14" t="s">
        <v>6393</v>
      </c>
      <c r="U1238" s="14" t="s">
        <v>6394</v>
      </c>
    </row>
    <row r="1239" spans="1:21">
      <c r="A1239" s="14" t="s">
        <v>6395</v>
      </c>
      <c r="B1239" s="14">
        <v>257.6992834</v>
      </c>
      <c r="C1239" s="14">
        <v>391.6233944</v>
      </c>
      <c r="D1239" s="14">
        <v>123.7751725</v>
      </c>
      <c r="E1239" s="14">
        <v>0.315976426</v>
      </c>
      <c r="F1239" s="14">
        <v>-1.662111167</v>
      </c>
      <c r="G1239" s="14">
        <v>0.000387804</v>
      </c>
      <c r="H1239" s="14">
        <v>0.001588923</v>
      </c>
      <c r="I1239" s="14" t="s">
        <v>147</v>
      </c>
      <c r="J1239" s="14">
        <v>0.862829111</v>
      </c>
      <c r="K1239" s="14">
        <v>2.782026415</v>
      </c>
      <c r="L1239" s="14">
        <v>1.830520137</v>
      </c>
      <c r="M1239" s="14">
        <v>4.567028568</v>
      </c>
      <c r="N1239" s="14">
        <v>3.433192359</v>
      </c>
      <c r="O1239" s="14">
        <v>6.439254817</v>
      </c>
      <c r="P1239" s="14" t="s">
        <v>6396</v>
      </c>
      <c r="Q1239" s="14" t="s">
        <v>2881</v>
      </c>
      <c r="T1239" s="14" t="s">
        <v>1965</v>
      </c>
      <c r="U1239" s="14" t="s">
        <v>1966</v>
      </c>
    </row>
    <row r="1240" spans="1:21">
      <c r="A1240" s="14" t="s">
        <v>6397</v>
      </c>
      <c r="B1240" s="14">
        <v>45.90989081</v>
      </c>
      <c r="C1240" s="14">
        <v>90.84372309</v>
      </c>
      <c r="D1240" s="14">
        <v>0.976058537</v>
      </c>
      <c r="E1240" s="14">
        <v>0.010760043</v>
      </c>
      <c r="F1240" s="14">
        <v>-6.538172403</v>
      </c>
      <c r="G1240" s="51" t="s">
        <v>6398</v>
      </c>
      <c r="H1240" s="51" t="s">
        <v>6399</v>
      </c>
      <c r="I1240" s="14" t="s">
        <v>147</v>
      </c>
      <c r="J1240" s="14">
        <v>0.030403622</v>
      </c>
      <c r="K1240" s="14">
        <v>0</v>
      </c>
      <c r="L1240" s="14">
        <v>0.014637055</v>
      </c>
      <c r="M1240" s="14">
        <v>0.273138364</v>
      </c>
      <c r="N1240" s="14">
        <v>0.686305279</v>
      </c>
      <c r="O1240" s="14">
        <v>2.659614543</v>
      </c>
      <c r="P1240" s="14" t="s">
        <v>6396</v>
      </c>
      <c r="Q1240" s="14" t="s">
        <v>2881</v>
      </c>
      <c r="T1240" s="14" t="s">
        <v>1965</v>
      </c>
      <c r="U1240" s="14" t="s">
        <v>1966</v>
      </c>
    </row>
    <row r="1241" spans="1:21">
      <c r="A1241" s="14" t="s">
        <v>6400</v>
      </c>
      <c r="B1241" s="14">
        <v>2957.257277</v>
      </c>
      <c r="C1241" s="14">
        <v>4034.547429</v>
      </c>
      <c r="D1241" s="14">
        <v>1879.967126</v>
      </c>
      <c r="E1241" s="14">
        <v>0.465896995</v>
      </c>
      <c r="F1241" s="14">
        <v>-1.101917068</v>
      </c>
      <c r="G1241" s="51" t="s">
        <v>6401</v>
      </c>
      <c r="H1241" s="51" t="s">
        <v>6402</v>
      </c>
      <c r="I1241" s="14" t="s">
        <v>147</v>
      </c>
      <c r="J1241" s="14">
        <v>14.39861138</v>
      </c>
      <c r="K1241" s="14">
        <v>15.02719675</v>
      </c>
      <c r="L1241" s="14">
        <v>12.53556426</v>
      </c>
      <c r="M1241" s="14">
        <v>23.40807587</v>
      </c>
      <c r="N1241" s="14">
        <v>23.24439439</v>
      </c>
      <c r="O1241" s="14">
        <v>27.78627953</v>
      </c>
      <c r="Q1241" s="14" t="s">
        <v>6403</v>
      </c>
      <c r="T1241" s="14" t="s">
        <v>6404</v>
      </c>
      <c r="U1241" s="14" t="s">
        <v>6405</v>
      </c>
    </row>
    <row r="1242" spans="1:21">
      <c r="A1242" s="14" t="s">
        <v>6406</v>
      </c>
      <c r="B1242" s="14">
        <v>814.2791618</v>
      </c>
      <c r="C1242" s="14">
        <v>1209.332805</v>
      </c>
      <c r="D1242" s="14">
        <v>419.2255182</v>
      </c>
      <c r="E1242" s="14">
        <v>0.346684353</v>
      </c>
      <c r="F1242" s="14">
        <v>-1.52830537</v>
      </c>
      <c r="G1242" s="51" t="s">
        <v>5231</v>
      </c>
      <c r="H1242" s="51" t="s">
        <v>6246</v>
      </c>
      <c r="I1242" s="14" t="s">
        <v>147</v>
      </c>
      <c r="J1242" s="14">
        <v>4.629338074</v>
      </c>
      <c r="K1242" s="14">
        <v>5.051394277</v>
      </c>
      <c r="L1242" s="14">
        <v>3.657057629</v>
      </c>
      <c r="M1242" s="14">
        <v>13.25980246</v>
      </c>
      <c r="N1242" s="14">
        <v>11.33076893</v>
      </c>
      <c r="O1242" s="14">
        <v>6.596675617</v>
      </c>
      <c r="P1242" s="14" t="s">
        <v>6407</v>
      </c>
      <c r="Q1242" s="14" t="s">
        <v>6408</v>
      </c>
      <c r="T1242" s="14" t="s">
        <v>6409</v>
      </c>
      <c r="U1242" s="14" t="s">
        <v>6410</v>
      </c>
    </row>
    <row r="1243" spans="1:21">
      <c r="A1243" s="14" t="s">
        <v>6411</v>
      </c>
      <c r="B1243" s="14">
        <v>809.6825536</v>
      </c>
      <c r="C1243" s="14">
        <v>445.6123271</v>
      </c>
      <c r="D1243" s="14">
        <v>1173.75278</v>
      </c>
      <c r="E1243" s="14">
        <v>2.632495222</v>
      </c>
      <c r="F1243" s="14">
        <v>1.396430913</v>
      </c>
      <c r="G1243" s="51" t="s">
        <v>6412</v>
      </c>
      <c r="H1243" s="14">
        <v>0.000158251</v>
      </c>
      <c r="I1243" s="14" t="s">
        <v>164</v>
      </c>
      <c r="J1243" s="14">
        <v>8.121461062</v>
      </c>
      <c r="K1243" s="14">
        <v>8.317115154</v>
      </c>
      <c r="L1243" s="14">
        <v>10.10319569</v>
      </c>
      <c r="M1243" s="14">
        <v>1.831286397</v>
      </c>
      <c r="N1243" s="14">
        <v>2.130320061</v>
      </c>
      <c r="O1243" s="14">
        <v>4.519828357</v>
      </c>
      <c r="P1243" s="14" t="s">
        <v>6413</v>
      </c>
      <c r="Q1243" s="14" t="s">
        <v>6414</v>
      </c>
      <c r="T1243" s="14" t="s">
        <v>6415</v>
      </c>
      <c r="U1243" s="14" t="s">
        <v>6416</v>
      </c>
    </row>
    <row r="1244" spans="1:19">
      <c r="A1244" s="14" t="s">
        <v>6417</v>
      </c>
      <c r="B1244" s="14">
        <v>4145.553039</v>
      </c>
      <c r="C1244" s="14">
        <v>808.7431307</v>
      </c>
      <c r="D1244" s="14">
        <v>7482.362948</v>
      </c>
      <c r="E1244" s="14">
        <v>9.250869334</v>
      </c>
      <c r="F1244" s="14">
        <v>3.209588947</v>
      </c>
      <c r="G1244" s="51" t="s">
        <v>6418</v>
      </c>
      <c r="H1244" s="51" t="s">
        <v>6419</v>
      </c>
      <c r="I1244" s="14" t="s">
        <v>164</v>
      </c>
      <c r="J1244" s="14">
        <v>71.39821186</v>
      </c>
      <c r="K1244" s="14">
        <v>61.23623017</v>
      </c>
      <c r="L1244" s="14">
        <v>100.7400355</v>
      </c>
      <c r="M1244" s="14">
        <v>6.072760871</v>
      </c>
      <c r="N1244" s="14">
        <v>6.753546418</v>
      </c>
      <c r="O1244" s="14">
        <v>7.987904248</v>
      </c>
      <c r="R1244" s="14" t="s">
        <v>6420</v>
      </c>
      <c r="S1244" s="14" t="s">
        <v>6421</v>
      </c>
    </row>
    <row r="1245" spans="1:15">
      <c r="A1245" s="14" t="s">
        <v>6422</v>
      </c>
      <c r="B1245" s="14">
        <v>14.5205317</v>
      </c>
      <c r="C1245" s="14">
        <v>3.022928234</v>
      </c>
      <c r="D1245" s="14">
        <v>26.01813516</v>
      </c>
      <c r="E1245" s="14">
        <v>8.623691686</v>
      </c>
      <c r="F1245" s="14">
        <v>3.1083056</v>
      </c>
      <c r="G1245" s="51" t="s">
        <v>6423</v>
      </c>
      <c r="H1245" s="14">
        <v>0.000275149</v>
      </c>
      <c r="I1245" s="14" t="s">
        <v>164</v>
      </c>
      <c r="J1245" s="14">
        <v>0.81093731</v>
      </c>
      <c r="K1245" s="14">
        <v>0.851721</v>
      </c>
      <c r="L1245" s="14">
        <v>1.120293372</v>
      </c>
      <c r="M1245" s="14">
        <v>0.120666724</v>
      </c>
      <c r="N1245" s="14">
        <v>0.028941349</v>
      </c>
      <c r="O1245" s="14">
        <v>0.1180583</v>
      </c>
    </row>
    <row r="1246" spans="1:21">
      <c r="A1246" s="14" t="s">
        <v>6424</v>
      </c>
      <c r="B1246" s="14">
        <v>994.2982451</v>
      </c>
      <c r="C1246" s="14">
        <v>1329.000674</v>
      </c>
      <c r="D1246" s="14">
        <v>659.5958167</v>
      </c>
      <c r="E1246" s="14">
        <v>0.496348014</v>
      </c>
      <c r="F1246" s="14">
        <v>-1.010576074</v>
      </c>
      <c r="G1246" s="51" t="s">
        <v>6425</v>
      </c>
      <c r="H1246" s="51" t="s">
        <v>6426</v>
      </c>
      <c r="I1246" s="14" t="s">
        <v>147</v>
      </c>
      <c r="J1246" s="14">
        <v>12.54373419</v>
      </c>
      <c r="K1246" s="14">
        <v>12.07510637</v>
      </c>
      <c r="L1246" s="14">
        <v>11.79685002</v>
      </c>
      <c r="M1246" s="14">
        <v>19.24959736</v>
      </c>
      <c r="N1246" s="14">
        <v>21.02684216</v>
      </c>
      <c r="O1246" s="14">
        <v>20.05445476</v>
      </c>
      <c r="P1246" s="14" t="s">
        <v>6427</v>
      </c>
      <c r="Q1246" s="14" t="s">
        <v>6428</v>
      </c>
      <c r="R1246" s="14" t="s">
        <v>6429</v>
      </c>
      <c r="S1246" s="14" t="s">
        <v>6430</v>
      </c>
      <c r="T1246" s="14" t="s">
        <v>6431</v>
      </c>
      <c r="U1246" s="14" t="s">
        <v>6432</v>
      </c>
    </row>
    <row r="1247" spans="1:15">
      <c r="A1247" s="14" t="s">
        <v>6433</v>
      </c>
      <c r="B1247" s="14">
        <v>328.5042725</v>
      </c>
      <c r="C1247" s="14">
        <v>202.8279131</v>
      </c>
      <c r="D1247" s="14">
        <v>454.1806318</v>
      </c>
      <c r="E1247" s="14">
        <v>2.240400343</v>
      </c>
      <c r="F1247" s="14">
        <v>1.163756554</v>
      </c>
      <c r="G1247" s="14">
        <v>0.001856141</v>
      </c>
      <c r="H1247" s="14">
        <v>0.006284396</v>
      </c>
      <c r="I1247" s="14" t="s">
        <v>164</v>
      </c>
      <c r="J1247" s="14">
        <v>3.277238246</v>
      </c>
      <c r="K1247" s="14">
        <v>2.700677876</v>
      </c>
      <c r="L1247" s="14">
        <v>3.004627065</v>
      </c>
      <c r="M1247" s="14">
        <v>0.960728845</v>
      </c>
      <c r="N1247" s="14">
        <v>1.596907968</v>
      </c>
      <c r="O1247" s="14">
        <v>0.699505859</v>
      </c>
    </row>
    <row r="1248" spans="1:21">
      <c r="A1248" s="14" t="s">
        <v>6434</v>
      </c>
      <c r="B1248" s="14">
        <v>2683.744223</v>
      </c>
      <c r="C1248" s="14">
        <v>3774.573599</v>
      </c>
      <c r="D1248" s="14">
        <v>1592.914846</v>
      </c>
      <c r="E1248" s="14">
        <v>0.422001947</v>
      </c>
      <c r="F1248" s="14">
        <v>-1.244678439</v>
      </c>
      <c r="G1248" s="51" t="s">
        <v>1849</v>
      </c>
      <c r="H1248" s="51" t="s">
        <v>6099</v>
      </c>
      <c r="I1248" s="14" t="s">
        <v>147</v>
      </c>
      <c r="J1248" s="14">
        <v>30.36075732</v>
      </c>
      <c r="K1248" s="14">
        <v>38.41417735</v>
      </c>
      <c r="L1248" s="14">
        <v>27.12423994</v>
      </c>
      <c r="M1248" s="14">
        <v>64.96680835</v>
      </c>
      <c r="N1248" s="14">
        <v>64.41970076</v>
      </c>
      <c r="O1248" s="14">
        <v>57.04620332</v>
      </c>
      <c r="P1248" s="14" t="s">
        <v>5438</v>
      </c>
      <c r="Q1248" s="14" t="s">
        <v>5439</v>
      </c>
      <c r="T1248" s="14" t="s">
        <v>5440</v>
      </c>
      <c r="U1248" s="14" t="s">
        <v>5441</v>
      </c>
    </row>
    <row r="1249" spans="1:15">
      <c r="A1249" s="14" t="s">
        <v>6435</v>
      </c>
      <c r="B1249" s="14">
        <v>2746.878772</v>
      </c>
      <c r="C1249" s="14">
        <v>3840.06847</v>
      </c>
      <c r="D1249" s="14">
        <v>1653.689075</v>
      </c>
      <c r="E1249" s="14">
        <v>0.430676007</v>
      </c>
      <c r="F1249" s="14">
        <v>-1.215325141</v>
      </c>
      <c r="G1249" s="51" t="s">
        <v>6436</v>
      </c>
      <c r="H1249" s="51" t="s">
        <v>6437</v>
      </c>
      <c r="I1249" s="14" t="s">
        <v>147</v>
      </c>
      <c r="J1249" s="14">
        <v>19.10618826</v>
      </c>
      <c r="K1249" s="14">
        <v>20.82454185</v>
      </c>
      <c r="L1249" s="14">
        <v>19.68011773</v>
      </c>
      <c r="M1249" s="14">
        <v>39.89520249</v>
      </c>
      <c r="N1249" s="14">
        <v>36.42790926</v>
      </c>
      <c r="O1249" s="14">
        <v>37.358682</v>
      </c>
    </row>
    <row r="1250" spans="1:21">
      <c r="A1250" s="14" t="s">
        <v>6438</v>
      </c>
      <c r="B1250" s="14">
        <v>53.27745631</v>
      </c>
      <c r="C1250" s="14">
        <v>22.76926445</v>
      </c>
      <c r="D1250" s="14">
        <v>83.78564818</v>
      </c>
      <c r="E1250" s="14">
        <v>3.661744372</v>
      </c>
      <c r="F1250" s="14">
        <v>1.872531079</v>
      </c>
      <c r="G1250" s="14">
        <v>0.001900373</v>
      </c>
      <c r="H1250" s="14">
        <v>0.006418532</v>
      </c>
      <c r="I1250" s="14" t="s">
        <v>164</v>
      </c>
      <c r="J1250" s="14">
        <v>0.794799961</v>
      </c>
      <c r="K1250" s="14">
        <v>0.403300694</v>
      </c>
      <c r="L1250" s="14">
        <v>0.468018012</v>
      </c>
      <c r="M1250" s="14">
        <v>0.050580493</v>
      </c>
      <c r="N1250" s="14">
        <v>0.118619059</v>
      </c>
      <c r="O1250" s="14">
        <v>0.21444413</v>
      </c>
      <c r="P1250" s="14" t="s">
        <v>1666</v>
      </c>
      <c r="Q1250" s="14" t="s">
        <v>1667</v>
      </c>
      <c r="T1250" s="14" t="s">
        <v>1668</v>
      </c>
      <c r="U1250" s="14" t="s">
        <v>1669</v>
      </c>
    </row>
    <row r="1251" spans="1:21">
      <c r="A1251" s="14" t="s">
        <v>6439</v>
      </c>
      <c r="B1251" s="14">
        <v>12.4414406</v>
      </c>
      <c r="C1251" s="14">
        <v>4.605262155</v>
      </c>
      <c r="D1251" s="14">
        <v>20.27761905</v>
      </c>
      <c r="E1251" s="14">
        <v>4.369607148</v>
      </c>
      <c r="F1251" s="14">
        <v>2.127503579</v>
      </c>
      <c r="G1251" s="14">
        <v>0.008031691</v>
      </c>
      <c r="H1251" s="14">
        <v>0.022340493</v>
      </c>
      <c r="I1251" s="14" t="s">
        <v>164</v>
      </c>
      <c r="J1251" s="14">
        <v>0.927628489</v>
      </c>
      <c r="K1251" s="14">
        <v>0.350132168</v>
      </c>
      <c r="L1251" s="14">
        <v>0.502406195</v>
      </c>
      <c r="M1251" s="14">
        <v>0.074406939</v>
      </c>
      <c r="N1251" s="14">
        <v>0.0951795</v>
      </c>
      <c r="O1251" s="14">
        <v>0.169863172</v>
      </c>
      <c r="P1251" s="14" t="s">
        <v>6440</v>
      </c>
      <c r="Q1251" s="14" t="s">
        <v>6441</v>
      </c>
      <c r="R1251" s="14" t="s">
        <v>6442</v>
      </c>
      <c r="S1251" s="14" t="s">
        <v>6443</v>
      </c>
      <c r="T1251" s="14" t="s">
        <v>6444</v>
      </c>
      <c r="U1251" s="14" t="s">
        <v>6445</v>
      </c>
    </row>
    <row r="1252" spans="1:15">
      <c r="A1252" s="14" t="s">
        <v>6446</v>
      </c>
      <c r="B1252" s="14">
        <v>2448.31084</v>
      </c>
      <c r="C1252" s="14">
        <v>3508.168574</v>
      </c>
      <c r="D1252" s="14">
        <v>1388.453107</v>
      </c>
      <c r="E1252" s="14">
        <v>0.395800001</v>
      </c>
      <c r="F1252" s="14">
        <v>-1.337156478</v>
      </c>
      <c r="G1252" s="51" t="s">
        <v>6447</v>
      </c>
      <c r="H1252" s="51" t="s">
        <v>6448</v>
      </c>
      <c r="I1252" s="14" t="s">
        <v>147</v>
      </c>
      <c r="J1252" s="14">
        <v>9.119667849</v>
      </c>
      <c r="K1252" s="14">
        <v>10.43964804</v>
      </c>
      <c r="L1252" s="14">
        <v>9.04298249</v>
      </c>
      <c r="M1252" s="14">
        <v>23.30922848</v>
      </c>
      <c r="N1252" s="14">
        <v>22.18367205</v>
      </c>
      <c r="O1252" s="14">
        <v>13.14883019</v>
      </c>
    </row>
    <row r="1253" spans="1:21">
      <c r="A1253" s="14" t="s">
        <v>6449</v>
      </c>
      <c r="B1253" s="14">
        <v>119.9041867</v>
      </c>
      <c r="C1253" s="14">
        <v>209.221383</v>
      </c>
      <c r="D1253" s="14">
        <v>30.58699049</v>
      </c>
      <c r="E1253" s="14">
        <v>0.146218012</v>
      </c>
      <c r="F1253" s="14">
        <v>-2.773807056</v>
      </c>
      <c r="G1253" s="51" t="s">
        <v>6450</v>
      </c>
      <c r="H1253" s="51" t="s">
        <v>6451</v>
      </c>
      <c r="I1253" s="14" t="s">
        <v>147</v>
      </c>
      <c r="J1253" s="14">
        <v>0.620653514</v>
      </c>
      <c r="K1253" s="14">
        <v>0.232448856</v>
      </c>
      <c r="L1253" s="14">
        <v>0.486415257</v>
      </c>
      <c r="M1253" s="14">
        <v>1.87712173</v>
      </c>
      <c r="N1253" s="14">
        <v>2.07337634</v>
      </c>
      <c r="O1253" s="14">
        <v>3.709336461</v>
      </c>
      <c r="P1253" s="14" t="s">
        <v>6452</v>
      </c>
      <c r="Q1253" s="14" t="s">
        <v>6453</v>
      </c>
      <c r="T1253" s="14" t="s">
        <v>6454</v>
      </c>
      <c r="U1253" s="14" t="s">
        <v>6455</v>
      </c>
    </row>
    <row r="1254" spans="1:21">
      <c r="A1254" s="14" t="s">
        <v>6456</v>
      </c>
      <c r="B1254" s="14">
        <v>47.03882812</v>
      </c>
      <c r="C1254" s="14">
        <v>92.43363907</v>
      </c>
      <c r="D1254" s="14">
        <v>1.644017169</v>
      </c>
      <c r="E1254" s="14">
        <v>0.017732375</v>
      </c>
      <c r="F1254" s="14">
        <v>-5.817470392</v>
      </c>
      <c r="G1254" s="51" t="s">
        <v>6457</v>
      </c>
      <c r="H1254" s="51" t="s">
        <v>6458</v>
      </c>
      <c r="I1254" s="14" t="s">
        <v>147</v>
      </c>
      <c r="J1254" s="14">
        <v>0.035228264</v>
      </c>
      <c r="K1254" s="14">
        <v>0.011819433</v>
      </c>
      <c r="L1254" s="14">
        <v>0.011306505</v>
      </c>
      <c r="M1254" s="14">
        <v>1.145362412</v>
      </c>
      <c r="N1254" s="14">
        <v>1.253062311</v>
      </c>
      <c r="O1254" s="14">
        <v>0.226086648</v>
      </c>
      <c r="P1254" s="14" t="s">
        <v>6459</v>
      </c>
      <c r="Q1254" s="14" t="s">
        <v>6460</v>
      </c>
      <c r="T1254" s="14" t="s">
        <v>6461</v>
      </c>
      <c r="U1254" s="14" t="s">
        <v>6462</v>
      </c>
    </row>
    <row r="1255" spans="1:15">
      <c r="A1255" s="14" t="s">
        <v>6463</v>
      </c>
      <c r="B1255" s="14">
        <v>13.22272505</v>
      </c>
      <c r="C1255" s="14">
        <v>5.984122026</v>
      </c>
      <c r="D1255" s="14">
        <v>20.46132808</v>
      </c>
      <c r="E1255" s="14">
        <v>3.409359413</v>
      </c>
      <c r="F1255" s="14">
        <v>1.769500696</v>
      </c>
      <c r="G1255" s="14">
        <v>0.006373414</v>
      </c>
      <c r="H1255" s="14">
        <v>0.018258223</v>
      </c>
      <c r="I1255" s="14" t="s">
        <v>164</v>
      </c>
      <c r="J1255" s="14">
        <v>1.553230445</v>
      </c>
      <c r="K1255" s="14">
        <v>1.398807276</v>
      </c>
      <c r="L1255" s="14">
        <v>2.125222665</v>
      </c>
      <c r="M1255" s="14">
        <v>0.279775945</v>
      </c>
      <c r="N1255" s="14">
        <v>0.469720658</v>
      </c>
      <c r="O1255" s="14">
        <v>0.479024166</v>
      </c>
    </row>
    <row r="1256" spans="1:21">
      <c r="A1256" s="14" t="s">
        <v>6464</v>
      </c>
      <c r="B1256" s="14">
        <v>1934.368026</v>
      </c>
      <c r="C1256" s="14">
        <v>1251.857598</v>
      </c>
      <c r="D1256" s="14">
        <v>2616.878454</v>
      </c>
      <c r="E1256" s="14">
        <v>2.090025796</v>
      </c>
      <c r="F1256" s="14">
        <v>1.063520749</v>
      </c>
      <c r="G1256" s="14">
        <v>0.011209359</v>
      </c>
      <c r="H1256" s="14">
        <v>0.029788498</v>
      </c>
      <c r="I1256" s="14" t="s">
        <v>164</v>
      </c>
      <c r="J1256" s="14">
        <v>30.26000406</v>
      </c>
      <c r="K1256" s="14">
        <v>23.635096</v>
      </c>
      <c r="L1256" s="14">
        <v>29.59186692</v>
      </c>
      <c r="M1256" s="14">
        <v>6.862054932</v>
      </c>
      <c r="N1256" s="14">
        <v>6.695641028</v>
      </c>
      <c r="O1256" s="14">
        <v>20.33499299</v>
      </c>
      <c r="P1256" s="14" t="s">
        <v>6465</v>
      </c>
      <c r="Q1256" s="14" t="s">
        <v>6466</v>
      </c>
      <c r="R1256" s="14" t="s">
        <v>6467</v>
      </c>
      <c r="S1256" s="14" t="s">
        <v>6468</v>
      </c>
      <c r="T1256" s="14" t="s">
        <v>6469</v>
      </c>
      <c r="U1256" s="14" t="s">
        <v>6470</v>
      </c>
    </row>
    <row r="1257" spans="1:21">
      <c r="A1257" s="14" t="s">
        <v>6471</v>
      </c>
      <c r="B1257" s="14">
        <v>144.2023266</v>
      </c>
      <c r="C1257" s="14">
        <v>31.12201221</v>
      </c>
      <c r="D1257" s="14">
        <v>257.2826409</v>
      </c>
      <c r="E1257" s="14">
        <v>8.247075443</v>
      </c>
      <c r="F1257" s="14">
        <v>3.043882605</v>
      </c>
      <c r="G1257" s="51" t="s">
        <v>6472</v>
      </c>
      <c r="H1257" s="51" t="s">
        <v>6473</v>
      </c>
      <c r="I1257" s="14" t="s">
        <v>164</v>
      </c>
      <c r="J1257" s="14">
        <v>5.904052844</v>
      </c>
      <c r="K1257" s="14">
        <v>11.72350753</v>
      </c>
      <c r="L1257" s="14">
        <v>13.72839085</v>
      </c>
      <c r="M1257" s="14">
        <v>0.859094613</v>
      </c>
      <c r="N1257" s="14">
        <v>0.824199291</v>
      </c>
      <c r="O1257" s="14">
        <v>1.479321834</v>
      </c>
      <c r="P1257" s="14" t="s">
        <v>273</v>
      </c>
      <c r="Q1257" s="14" t="s">
        <v>274</v>
      </c>
      <c r="R1257" s="14" t="s">
        <v>275</v>
      </c>
      <c r="S1257" s="14" t="s">
        <v>276</v>
      </c>
      <c r="T1257" s="14" t="s">
        <v>277</v>
      </c>
      <c r="U1257" s="14" t="s">
        <v>278</v>
      </c>
    </row>
    <row r="1258" spans="1:15">
      <c r="A1258" s="14" t="s">
        <v>6474</v>
      </c>
      <c r="B1258" s="14">
        <v>779.3564505</v>
      </c>
      <c r="C1258" s="14">
        <v>1057.158672</v>
      </c>
      <c r="D1258" s="14">
        <v>501.5542292</v>
      </c>
      <c r="E1258" s="14">
        <v>0.474554304</v>
      </c>
      <c r="F1258" s="14">
        <v>-1.075354907</v>
      </c>
      <c r="G1258" s="14">
        <v>0.000185676</v>
      </c>
      <c r="H1258" s="14">
        <v>0.000822026</v>
      </c>
      <c r="I1258" s="14" t="s">
        <v>147</v>
      </c>
      <c r="J1258" s="14">
        <v>8.738959598</v>
      </c>
      <c r="K1258" s="14">
        <v>9.714189195</v>
      </c>
      <c r="L1258" s="14">
        <v>9.257489203</v>
      </c>
      <c r="M1258" s="14">
        <v>19.12178333</v>
      </c>
      <c r="N1258" s="14">
        <v>17.17698603</v>
      </c>
      <c r="O1258" s="14">
        <v>11.11815405</v>
      </c>
    </row>
    <row r="1259" spans="1:21">
      <c r="A1259" s="14" t="s">
        <v>6475</v>
      </c>
      <c r="B1259" s="14">
        <v>108.1633409</v>
      </c>
      <c r="C1259" s="14">
        <v>146.1688649</v>
      </c>
      <c r="D1259" s="14">
        <v>70.15781698</v>
      </c>
      <c r="E1259" s="14">
        <v>0.479621137</v>
      </c>
      <c r="F1259" s="14">
        <v>-1.060032854</v>
      </c>
      <c r="G1259" s="14">
        <v>0.000729838</v>
      </c>
      <c r="H1259" s="14">
        <v>0.002774348</v>
      </c>
      <c r="I1259" s="14" t="s">
        <v>147</v>
      </c>
      <c r="J1259" s="14">
        <v>1.320489332</v>
      </c>
      <c r="K1259" s="14">
        <v>1.101763857</v>
      </c>
      <c r="L1259" s="14">
        <v>1.27143241</v>
      </c>
      <c r="M1259" s="14">
        <v>1.962290593</v>
      </c>
      <c r="N1259" s="14">
        <v>1.526034699</v>
      </c>
      <c r="O1259" s="14">
        <v>2.923441796</v>
      </c>
      <c r="P1259" s="14" t="s">
        <v>6476</v>
      </c>
      <c r="Q1259" s="14" t="s">
        <v>6477</v>
      </c>
      <c r="T1259" s="14" t="s">
        <v>5498</v>
      </c>
      <c r="U1259" s="14" t="s">
        <v>5499</v>
      </c>
    </row>
    <row r="1260" spans="1:21">
      <c r="A1260" s="14" t="s">
        <v>6478</v>
      </c>
      <c r="B1260" s="14">
        <v>26050.77517</v>
      </c>
      <c r="C1260" s="14">
        <v>39940.31492</v>
      </c>
      <c r="D1260" s="14">
        <v>12161.23543</v>
      </c>
      <c r="E1260" s="14">
        <v>0.304484993</v>
      </c>
      <c r="F1260" s="14">
        <v>-1.715556969</v>
      </c>
      <c r="G1260" s="51" t="s">
        <v>6479</v>
      </c>
      <c r="H1260" s="51" t="s">
        <v>6480</v>
      </c>
      <c r="I1260" s="14" t="s">
        <v>147</v>
      </c>
      <c r="J1260" s="14">
        <v>193.5533548</v>
      </c>
      <c r="K1260" s="14">
        <v>235.6346318</v>
      </c>
      <c r="L1260" s="14">
        <v>189.2430519</v>
      </c>
      <c r="M1260" s="14">
        <v>584.6655135</v>
      </c>
      <c r="N1260" s="14">
        <v>577.8021887</v>
      </c>
      <c r="O1260" s="14">
        <v>501.8829104</v>
      </c>
      <c r="P1260" s="14" t="s">
        <v>6481</v>
      </c>
      <c r="Q1260" s="14" t="s">
        <v>6482</v>
      </c>
      <c r="T1260" s="14" t="s">
        <v>6483</v>
      </c>
      <c r="U1260" s="14" t="s">
        <v>6484</v>
      </c>
    </row>
    <row r="1261" spans="1:21">
      <c r="A1261" s="14" t="s">
        <v>6485</v>
      </c>
      <c r="B1261" s="14">
        <v>1723.243869</v>
      </c>
      <c r="C1261" s="14">
        <v>1052.909262</v>
      </c>
      <c r="D1261" s="14">
        <v>2393.578476</v>
      </c>
      <c r="E1261" s="14">
        <v>2.272546937</v>
      </c>
      <c r="F1261" s="14">
        <v>1.184310092</v>
      </c>
      <c r="G1261" s="51" t="s">
        <v>6486</v>
      </c>
      <c r="H1261" s="51" t="s">
        <v>6487</v>
      </c>
      <c r="I1261" s="14" t="s">
        <v>164</v>
      </c>
      <c r="J1261" s="14">
        <v>17.59324844</v>
      </c>
      <c r="K1261" s="14">
        <v>15.37008763</v>
      </c>
      <c r="L1261" s="14">
        <v>15.84405015</v>
      </c>
      <c r="M1261" s="14">
        <v>5.357444251</v>
      </c>
      <c r="N1261" s="14">
        <v>5.405113365</v>
      </c>
      <c r="O1261" s="14">
        <v>7.017025697</v>
      </c>
      <c r="P1261" s="14" t="s">
        <v>6488</v>
      </c>
      <c r="Q1261" s="14" t="s">
        <v>6489</v>
      </c>
      <c r="T1261" s="14" t="s">
        <v>2621</v>
      </c>
      <c r="U1261" s="14" t="s">
        <v>2622</v>
      </c>
    </row>
    <row r="1262" spans="1:15">
      <c r="A1262" s="14" t="s">
        <v>6490</v>
      </c>
      <c r="B1262" s="14">
        <v>4785.583038</v>
      </c>
      <c r="C1262" s="14">
        <v>7671.569144</v>
      </c>
      <c r="D1262" s="14">
        <v>1899.596933</v>
      </c>
      <c r="E1262" s="14">
        <v>0.247622609</v>
      </c>
      <c r="F1262" s="14">
        <v>-2.013785052</v>
      </c>
      <c r="G1262" s="51" t="s">
        <v>6491</v>
      </c>
      <c r="H1262" s="51" t="s">
        <v>6492</v>
      </c>
      <c r="I1262" s="14" t="s">
        <v>147</v>
      </c>
      <c r="J1262" s="14">
        <v>31.66695366</v>
      </c>
      <c r="K1262" s="14">
        <v>34.932501</v>
      </c>
      <c r="L1262" s="14">
        <v>32.7182774</v>
      </c>
      <c r="M1262" s="14">
        <v>125.0257252</v>
      </c>
      <c r="N1262" s="14">
        <v>124.2559769</v>
      </c>
      <c r="O1262" s="14">
        <v>76.547678</v>
      </c>
    </row>
    <row r="1263" spans="1:21">
      <c r="A1263" s="14" t="s">
        <v>6493</v>
      </c>
      <c r="B1263" s="14">
        <v>452.7484907</v>
      </c>
      <c r="C1263" s="14">
        <v>632.7198926</v>
      </c>
      <c r="D1263" s="14">
        <v>272.7770888</v>
      </c>
      <c r="E1263" s="14">
        <v>0.431380881</v>
      </c>
      <c r="F1263" s="14">
        <v>-1.212965859</v>
      </c>
      <c r="G1263" s="51" t="s">
        <v>6494</v>
      </c>
      <c r="H1263" s="51" t="s">
        <v>6495</v>
      </c>
      <c r="I1263" s="14" t="s">
        <v>147</v>
      </c>
      <c r="J1263" s="14">
        <v>1.402507261</v>
      </c>
      <c r="K1263" s="14">
        <v>1.460157775</v>
      </c>
      <c r="L1263" s="14">
        <v>1.561725985</v>
      </c>
      <c r="M1263" s="14">
        <v>2.880862686</v>
      </c>
      <c r="N1263" s="14">
        <v>2.979153271</v>
      </c>
      <c r="O1263" s="14">
        <v>2.540761942</v>
      </c>
      <c r="P1263" s="14" t="s">
        <v>6496</v>
      </c>
      <c r="Q1263" s="14" t="s">
        <v>6497</v>
      </c>
      <c r="R1263" s="14" t="s">
        <v>1086</v>
      </c>
      <c r="S1263" s="14" t="s">
        <v>1087</v>
      </c>
      <c r="T1263" s="14" t="s">
        <v>6498</v>
      </c>
      <c r="U1263" s="14" t="s">
        <v>6499</v>
      </c>
    </row>
    <row r="1264" spans="1:21">
      <c r="A1264" s="14" t="s">
        <v>6500</v>
      </c>
      <c r="B1264" s="14">
        <v>765.6738009</v>
      </c>
      <c r="C1264" s="14">
        <v>310.0784997</v>
      </c>
      <c r="D1264" s="14">
        <v>1221.269102</v>
      </c>
      <c r="E1264" s="14">
        <v>3.937283931</v>
      </c>
      <c r="F1264" s="14">
        <v>1.977200754</v>
      </c>
      <c r="G1264" s="51" t="s">
        <v>6501</v>
      </c>
      <c r="H1264" s="51" t="s">
        <v>6502</v>
      </c>
      <c r="I1264" s="14" t="s">
        <v>164</v>
      </c>
      <c r="J1264" s="14">
        <v>18.84529514</v>
      </c>
      <c r="K1264" s="14">
        <v>13.25024205</v>
      </c>
      <c r="L1264" s="14">
        <v>16.23383904</v>
      </c>
      <c r="M1264" s="14">
        <v>2.70408329</v>
      </c>
      <c r="N1264" s="14">
        <v>3.752009966</v>
      </c>
      <c r="O1264" s="14">
        <v>3.673271079</v>
      </c>
      <c r="P1264" s="14" t="s">
        <v>6503</v>
      </c>
      <c r="Q1264" s="14" t="s">
        <v>3528</v>
      </c>
      <c r="R1264" s="14" t="s">
        <v>3529</v>
      </c>
      <c r="S1264" s="14" t="s">
        <v>3530</v>
      </c>
      <c r="T1264" s="14" t="s">
        <v>6504</v>
      </c>
      <c r="U1264" s="14" t="s">
        <v>6505</v>
      </c>
    </row>
    <row r="1265" spans="1:21">
      <c r="A1265" s="14" t="s">
        <v>6506</v>
      </c>
      <c r="B1265" s="14">
        <v>3512.203171</v>
      </c>
      <c r="C1265" s="14">
        <v>5530.728057</v>
      </c>
      <c r="D1265" s="14">
        <v>1493.678285</v>
      </c>
      <c r="E1265" s="14">
        <v>0.270071152</v>
      </c>
      <c r="F1265" s="14">
        <v>-1.888588551</v>
      </c>
      <c r="G1265" s="51" t="s">
        <v>6507</v>
      </c>
      <c r="H1265" s="51" t="s">
        <v>3628</v>
      </c>
      <c r="I1265" s="14" t="s">
        <v>147</v>
      </c>
      <c r="J1265" s="14">
        <v>24.80765661</v>
      </c>
      <c r="K1265" s="14">
        <v>30.46787267</v>
      </c>
      <c r="L1265" s="14">
        <v>23.33327575</v>
      </c>
      <c r="M1265" s="14">
        <v>89.87262173</v>
      </c>
      <c r="N1265" s="14">
        <v>87.99282008</v>
      </c>
      <c r="O1265" s="14">
        <v>59.21212948</v>
      </c>
      <c r="P1265" s="14" t="s">
        <v>6508</v>
      </c>
      <c r="Q1265" s="14" t="s">
        <v>6509</v>
      </c>
      <c r="T1265" s="14" t="s">
        <v>6510</v>
      </c>
      <c r="U1265" s="14" t="s">
        <v>6511</v>
      </c>
    </row>
    <row r="1266" spans="1:21">
      <c r="A1266" s="14" t="s">
        <v>6512</v>
      </c>
      <c r="B1266" s="14">
        <v>156.3224439</v>
      </c>
      <c r="C1266" s="14">
        <v>17.98695113</v>
      </c>
      <c r="D1266" s="14">
        <v>294.6579366</v>
      </c>
      <c r="E1266" s="14">
        <v>16.32654261</v>
      </c>
      <c r="F1266" s="14">
        <v>4.029147406</v>
      </c>
      <c r="G1266" s="14">
        <v>0.002429488</v>
      </c>
      <c r="H1266" s="14">
        <v>0.00793045</v>
      </c>
      <c r="I1266" s="14" t="s">
        <v>164</v>
      </c>
      <c r="J1266" s="14">
        <v>8.412470359</v>
      </c>
      <c r="K1266" s="14">
        <v>3.631903399</v>
      </c>
      <c r="L1266" s="14">
        <v>6.706186684</v>
      </c>
      <c r="M1266" s="14">
        <v>0</v>
      </c>
      <c r="N1266" s="14">
        <v>0.034440425</v>
      </c>
      <c r="O1266" s="14">
        <v>0.983431899</v>
      </c>
      <c r="P1266" s="14" t="s">
        <v>6513</v>
      </c>
      <c r="Q1266" s="14" t="s">
        <v>6514</v>
      </c>
      <c r="T1266" s="14" t="s">
        <v>6515</v>
      </c>
      <c r="U1266" s="14" t="s">
        <v>6516</v>
      </c>
    </row>
    <row r="1267" spans="1:21">
      <c r="A1267" s="14" t="s">
        <v>6517</v>
      </c>
      <c r="B1267" s="14">
        <v>4.818097251</v>
      </c>
      <c r="C1267" s="14">
        <v>0</v>
      </c>
      <c r="D1267" s="14">
        <v>9.636194502</v>
      </c>
      <c r="E1267" s="14">
        <v>52.03378112</v>
      </c>
      <c r="F1267" s="14">
        <v>5.701376642</v>
      </c>
      <c r="G1267" s="14">
        <v>0.002154325</v>
      </c>
      <c r="H1267" s="14">
        <v>0.007154175</v>
      </c>
      <c r="I1267" s="14" t="s">
        <v>164</v>
      </c>
      <c r="J1267" s="14">
        <v>0.689947745</v>
      </c>
      <c r="K1267" s="14">
        <v>0.694453014</v>
      </c>
      <c r="L1267" s="14">
        <v>1.992947395</v>
      </c>
      <c r="M1267" s="14">
        <v>0</v>
      </c>
      <c r="N1267" s="14">
        <v>0</v>
      </c>
      <c r="O1267" s="14">
        <v>0</v>
      </c>
      <c r="P1267" s="14" t="s">
        <v>6518</v>
      </c>
      <c r="Q1267" s="14" t="s">
        <v>6519</v>
      </c>
      <c r="R1267" s="14" t="s">
        <v>6520</v>
      </c>
      <c r="S1267" s="14" t="s">
        <v>6521</v>
      </c>
      <c r="T1267" s="14" t="s">
        <v>6522</v>
      </c>
      <c r="U1267" s="14" t="s">
        <v>6523</v>
      </c>
    </row>
    <row r="1268" spans="1:15">
      <c r="A1268" s="14" t="s">
        <v>6524</v>
      </c>
      <c r="B1268" s="14">
        <v>158.4128511</v>
      </c>
      <c r="C1268" s="14">
        <v>226.4693705</v>
      </c>
      <c r="D1268" s="14">
        <v>90.35633177</v>
      </c>
      <c r="E1268" s="14">
        <v>0.398791093</v>
      </c>
      <c r="F1268" s="14">
        <v>-1.326294909</v>
      </c>
      <c r="G1268" s="51" t="s">
        <v>6525</v>
      </c>
      <c r="H1268" s="51" t="s">
        <v>6526</v>
      </c>
      <c r="I1268" s="14" t="s">
        <v>147</v>
      </c>
      <c r="J1268" s="14">
        <v>2.38748003</v>
      </c>
      <c r="K1268" s="14">
        <v>2.889767677</v>
      </c>
      <c r="L1268" s="14">
        <v>2.997148503</v>
      </c>
      <c r="M1268" s="14">
        <v>3.930287593</v>
      </c>
      <c r="N1268" s="14">
        <v>6.598627603</v>
      </c>
      <c r="O1268" s="14">
        <v>6.653428505</v>
      </c>
    </row>
    <row r="1269" spans="1:21">
      <c r="A1269" s="14" t="s">
        <v>6527</v>
      </c>
      <c r="B1269" s="14">
        <v>402.2526034</v>
      </c>
      <c r="C1269" s="14">
        <v>179.7993261</v>
      </c>
      <c r="D1269" s="14">
        <v>624.7058806</v>
      </c>
      <c r="E1269" s="14">
        <v>3.472500828</v>
      </c>
      <c r="F1269" s="14">
        <v>1.795975038</v>
      </c>
      <c r="G1269" s="51" t="s">
        <v>6528</v>
      </c>
      <c r="H1269" s="51" t="s">
        <v>3554</v>
      </c>
      <c r="I1269" s="14" t="s">
        <v>164</v>
      </c>
      <c r="J1269" s="14">
        <v>5.330189527</v>
      </c>
      <c r="K1269" s="14">
        <v>3.295737651</v>
      </c>
      <c r="L1269" s="14">
        <v>4.260422083</v>
      </c>
      <c r="M1269" s="14">
        <v>0.809587466</v>
      </c>
      <c r="N1269" s="14">
        <v>1.095207193</v>
      </c>
      <c r="O1269" s="14">
        <v>1.162487112</v>
      </c>
      <c r="P1269" s="14" t="s">
        <v>6529</v>
      </c>
      <c r="Q1269" s="14" t="s">
        <v>6530</v>
      </c>
      <c r="T1269" s="14" t="s">
        <v>6531</v>
      </c>
      <c r="U1269" s="14" t="s">
        <v>6532</v>
      </c>
    </row>
    <row r="1270" spans="1:21">
      <c r="A1270" s="14" t="s">
        <v>6533</v>
      </c>
      <c r="B1270" s="14">
        <v>44.0552501</v>
      </c>
      <c r="C1270" s="14">
        <v>18.89748671</v>
      </c>
      <c r="D1270" s="14">
        <v>69.2130135</v>
      </c>
      <c r="E1270" s="14">
        <v>3.649117924</v>
      </c>
      <c r="F1270" s="14">
        <v>1.867547774</v>
      </c>
      <c r="G1270" s="51" t="s">
        <v>6534</v>
      </c>
      <c r="H1270" s="14">
        <v>0.00028625</v>
      </c>
      <c r="I1270" s="14" t="s">
        <v>164</v>
      </c>
      <c r="J1270" s="14">
        <v>1.357913029</v>
      </c>
      <c r="K1270" s="14">
        <v>1.540033829</v>
      </c>
      <c r="L1270" s="14">
        <v>1.104900672</v>
      </c>
      <c r="M1270" s="14">
        <v>0.294546725</v>
      </c>
      <c r="N1270" s="14">
        <v>0.172689375</v>
      </c>
      <c r="O1270" s="14">
        <v>0.448279344</v>
      </c>
      <c r="P1270" s="14" t="s">
        <v>6535</v>
      </c>
      <c r="Q1270" s="14" t="s">
        <v>6536</v>
      </c>
      <c r="R1270" s="14" t="s">
        <v>6537</v>
      </c>
      <c r="S1270" s="14" t="s">
        <v>6538</v>
      </c>
      <c r="T1270" s="14" t="s">
        <v>6539</v>
      </c>
      <c r="U1270" s="14" t="s">
        <v>6540</v>
      </c>
    </row>
    <row r="1271" spans="1:21">
      <c r="A1271" s="14" t="s">
        <v>6541</v>
      </c>
      <c r="B1271" s="14">
        <v>39450.24115</v>
      </c>
      <c r="C1271" s="14">
        <v>55289.77144</v>
      </c>
      <c r="D1271" s="14">
        <v>23610.71086</v>
      </c>
      <c r="E1271" s="14">
        <v>0.427035205</v>
      </c>
      <c r="F1271" s="14">
        <v>-1.227573084</v>
      </c>
      <c r="G1271" s="51" t="s">
        <v>6542</v>
      </c>
      <c r="H1271" s="51" t="s">
        <v>6543</v>
      </c>
      <c r="I1271" s="14" t="s">
        <v>147</v>
      </c>
      <c r="J1271" s="14">
        <v>360.3139539</v>
      </c>
      <c r="K1271" s="14">
        <v>419.4473675</v>
      </c>
      <c r="L1271" s="14">
        <v>321.0758086</v>
      </c>
      <c r="M1271" s="14">
        <v>739.0898944</v>
      </c>
      <c r="N1271" s="14">
        <v>706.4880464</v>
      </c>
      <c r="O1271" s="14">
        <v>671.1424293</v>
      </c>
      <c r="P1271" s="14" t="s">
        <v>6544</v>
      </c>
      <c r="Q1271" s="14" t="s">
        <v>6545</v>
      </c>
      <c r="R1271" s="14" t="s">
        <v>6546</v>
      </c>
      <c r="S1271" s="14" t="s">
        <v>6547</v>
      </c>
      <c r="T1271" s="14" t="s">
        <v>6548</v>
      </c>
      <c r="U1271" s="14" t="s">
        <v>6549</v>
      </c>
    </row>
    <row r="1272" spans="1:15">
      <c r="A1272" s="14" t="s">
        <v>6550</v>
      </c>
      <c r="B1272" s="14">
        <v>2990.031082</v>
      </c>
      <c r="C1272" s="14">
        <v>4114.816614</v>
      </c>
      <c r="D1272" s="14">
        <v>1865.245549</v>
      </c>
      <c r="E1272" s="14">
        <v>0.453320769</v>
      </c>
      <c r="F1272" s="14">
        <v>-1.141395833</v>
      </c>
      <c r="G1272" s="14">
        <v>0.001128924</v>
      </c>
      <c r="H1272" s="14">
        <v>0.004078185</v>
      </c>
      <c r="I1272" s="14" t="s">
        <v>147</v>
      </c>
      <c r="J1272" s="14">
        <v>23.6284079</v>
      </c>
      <c r="K1272" s="14">
        <v>33.94425565</v>
      </c>
      <c r="L1272" s="14">
        <v>29.47337906</v>
      </c>
      <c r="M1272" s="14">
        <v>60.75452125</v>
      </c>
      <c r="N1272" s="14">
        <v>63.38541774</v>
      </c>
      <c r="O1272" s="14">
        <v>31.27533784</v>
      </c>
    </row>
    <row r="1273" spans="1:21">
      <c r="A1273" s="14" t="s">
        <v>6551</v>
      </c>
      <c r="B1273" s="14">
        <v>12843.94915</v>
      </c>
      <c r="C1273" s="14">
        <v>20090.30918</v>
      </c>
      <c r="D1273" s="14">
        <v>5597.589125</v>
      </c>
      <c r="E1273" s="14">
        <v>0.278633367</v>
      </c>
      <c r="F1273" s="14">
        <v>-1.843560059</v>
      </c>
      <c r="G1273" s="51" t="s">
        <v>6552</v>
      </c>
      <c r="H1273" s="51" t="s">
        <v>6553</v>
      </c>
      <c r="I1273" s="14" t="s">
        <v>147</v>
      </c>
      <c r="J1273" s="14">
        <v>68.9077541</v>
      </c>
      <c r="K1273" s="14">
        <v>63.28761308</v>
      </c>
      <c r="L1273" s="14">
        <v>87.10012832</v>
      </c>
      <c r="M1273" s="14">
        <v>231.7955763</v>
      </c>
      <c r="N1273" s="14">
        <v>214.2606296</v>
      </c>
      <c r="O1273" s="14">
        <v>197.4679387</v>
      </c>
      <c r="P1273" s="39">
        <v>45383</v>
      </c>
      <c r="Q1273" s="14" t="s">
        <v>6554</v>
      </c>
      <c r="R1273" s="14" t="s">
        <v>6555</v>
      </c>
      <c r="S1273" s="14" t="s">
        <v>6556</v>
      </c>
      <c r="T1273" s="14" t="s">
        <v>6557</v>
      </c>
      <c r="U1273" s="14" t="s">
        <v>6558</v>
      </c>
    </row>
    <row r="1274" spans="1:21">
      <c r="A1274" s="14" t="s">
        <v>6559</v>
      </c>
      <c r="B1274" s="14">
        <v>48476.79048</v>
      </c>
      <c r="C1274" s="14">
        <v>72448.48853</v>
      </c>
      <c r="D1274" s="14">
        <v>24505.09242</v>
      </c>
      <c r="E1274" s="14">
        <v>0.338241015</v>
      </c>
      <c r="F1274" s="14">
        <v>-1.563876482</v>
      </c>
      <c r="G1274" s="51" t="s">
        <v>6560</v>
      </c>
      <c r="H1274" s="51" t="s">
        <v>6561</v>
      </c>
      <c r="I1274" s="14" t="s">
        <v>147</v>
      </c>
      <c r="J1274" s="14">
        <v>601.4753169</v>
      </c>
      <c r="K1274" s="14">
        <v>713.9694362</v>
      </c>
      <c r="L1274" s="14">
        <v>500.1181958</v>
      </c>
      <c r="M1274" s="14">
        <v>1576.478266</v>
      </c>
      <c r="N1274" s="14">
        <v>1514.817082</v>
      </c>
      <c r="O1274" s="14">
        <v>1307.584769</v>
      </c>
      <c r="P1274" s="14" t="s">
        <v>6562</v>
      </c>
      <c r="Q1274" s="14" t="s">
        <v>6563</v>
      </c>
      <c r="R1274" s="14" t="s">
        <v>275</v>
      </c>
      <c r="S1274" s="14" t="s">
        <v>276</v>
      </c>
      <c r="T1274" s="14" t="s">
        <v>6564</v>
      </c>
      <c r="U1274" s="14" t="s">
        <v>6565</v>
      </c>
    </row>
    <row r="1275" spans="1:21">
      <c r="A1275" s="14" t="s">
        <v>6566</v>
      </c>
      <c r="B1275" s="14">
        <v>10903.5241</v>
      </c>
      <c r="C1275" s="14">
        <v>15646.55224</v>
      </c>
      <c r="D1275" s="14">
        <v>6160.495969</v>
      </c>
      <c r="E1275" s="14">
        <v>0.393731692</v>
      </c>
      <c r="F1275" s="14">
        <v>-1.344715253</v>
      </c>
      <c r="G1275" s="14">
        <v>0.000718619</v>
      </c>
      <c r="H1275" s="14">
        <v>0.002741064</v>
      </c>
      <c r="I1275" s="14" t="s">
        <v>147</v>
      </c>
      <c r="J1275" s="14">
        <v>69.79450602</v>
      </c>
      <c r="K1275" s="14">
        <v>98.69838585</v>
      </c>
      <c r="L1275" s="14">
        <v>70.11161511</v>
      </c>
      <c r="M1275" s="14">
        <v>198.1578743</v>
      </c>
      <c r="N1275" s="14">
        <v>205.4669416</v>
      </c>
      <c r="O1275" s="14">
        <v>85.86859191</v>
      </c>
      <c r="P1275" s="14" t="s">
        <v>6567</v>
      </c>
      <c r="Q1275" s="14" t="s">
        <v>6568</v>
      </c>
      <c r="T1275" s="14" t="s">
        <v>6569</v>
      </c>
      <c r="U1275" s="14" t="s">
        <v>6570</v>
      </c>
    </row>
    <row r="1276" spans="1:21">
      <c r="A1276" s="14" t="s">
        <v>6571</v>
      </c>
      <c r="B1276" s="14">
        <v>2697.843648</v>
      </c>
      <c r="C1276" s="14">
        <v>4171.656038</v>
      </c>
      <c r="D1276" s="14">
        <v>1224.031257</v>
      </c>
      <c r="E1276" s="14">
        <v>0.293391675</v>
      </c>
      <c r="F1276" s="14">
        <v>-1.769100158</v>
      </c>
      <c r="G1276" s="51" t="s">
        <v>6572</v>
      </c>
      <c r="H1276" s="51" t="s">
        <v>6573</v>
      </c>
      <c r="I1276" s="14" t="s">
        <v>147</v>
      </c>
      <c r="J1276" s="14">
        <v>7.596542827</v>
      </c>
      <c r="K1276" s="14">
        <v>6.738027132</v>
      </c>
      <c r="L1276" s="14">
        <v>6.300831531</v>
      </c>
      <c r="M1276" s="14">
        <v>13.70435462</v>
      </c>
      <c r="N1276" s="14">
        <v>13.62313972</v>
      </c>
      <c r="O1276" s="14">
        <v>31.98645637</v>
      </c>
      <c r="P1276" s="14" t="s">
        <v>6574</v>
      </c>
      <c r="Q1276" s="14" t="s">
        <v>6575</v>
      </c>
      <c r="T1276" s="14" t="s">
        <v>6576</v>
      </c>
      <c r="U1276" s="14" t="s">
        <v>6577</v>
      </c>
    </row>
    <row r="1277" spans="1:21">
      <c r="A1277" s="14" t="s">
        <v>6578</v>
      </c>
      <c r="B1277" s="14">
        <v>177.4046068</v>
      </c>
      <c r="C1277" s="14">
        <v>60.69587892</v>
      </c>
      <c r="D1277" s="14">
        <v>294.1133347</v>
      </c>
      <c r="E1277" s="14">
        <v>4.836845628</v>
      </c>
      <c r="F1277" s="14">
        <v>2.274066494</v>
      </c>
      <c r="G1277" s="51" t="s">
        <v>4214</v>
      </c>
      <c r="H1277" s="51" t="s">
        <v>6579</v>
      </c>
      <c r="I1277" s="14" t="s">
        <v>164</v>
      </c>
      <c r="J1277" s="14">
        <v>2.150358258</v>
      </c>
      <c r="K1277" s="14">
        <v>4.46967773</v>
      </c>
      <c r="L1277" s="14">
        <v>4.729005315</v>
      </c>
      <c r="M1277" s="14">
        <v>0.424577338</v>
      </c>
      <c r="N1277" s="14">
        <v>0.616219525</v>
      </c>
      <c r="O1277" s="14">
        <v>0.916008824</v>
      </c>
      <c r="P1277" s="14" t="s">
        <v>6580</v>
      </c>
      <c r="Q1277" s="14" t="s">
        <v>6581</v>
      </c>
      <c r="R1277" s="14" t="s">
        <v>6582</v>
      </c>
      <c r="S1277" s="14" t="s">
        <v>6583</v>
      </c>
      <c r="T1277" s="14" t="s">
        <v>6584</v>
      </c>
      <c r="U1277" s="14" t="s">
        <v>6585</v>
      </c>
    </row>
    <row r="1278" spans="1:21">
      <c r="A1278" s="14" t="s">
        <v>6586</v>
      </c>
      <c r="B1278" s="14">
        <v>1133.924918</v>
      </c>
      <c r="C1278" s="14">
        <v>1561.097582</v>
      </c>
      <c r="D1278" s="14">
        <v>706.7522545</v>
      </c>
      <c r="E1278" s="14">
        <v>0.452714794</v>
      </c>
      <c r="F1278" s="14">
        <v>-1.143325642</v>
      </c>
      <c r="G1278" s="51" t="s">
        <v>6587</v>
      </c>
      <c r="H1278" s="51" t="s">
        <v>6588</v>
      </c>
      <c r="I1278" s="14" t="s">
        <v>147</v>
      </c>
      <c r="J1278" s="14">
        <v>10.44811763</v>
      </c>
      <c r="K1278" s="14">
        <v>11.29074177</v>
      </c>
      <c r="L1278" s="14">
        <v>11.20078486</v>
      </c>
      <c r="M1278" s="14">
        <v>19.76137035</v>
      </c>
      <c r="N1278" s="14">
        <v>17.7840332</v>
      </c>
      <c r="O1278" s="14">
        <v>22.52865054</v>
      </c>
      <c r="P1278" s="14" t="s">
        <v>6589</v>
      </c>
      <c r="Q1278" s="14" t="s">
        <v>6590</v>
      </c>
      <c r="T1278" s="14" t="s">
        <v>6591</v>
      </c>
      <c r="U1278" s="14" t="s">
        <v>6592</v>
      </c>
    </row>
    <row r="1279" spans="1:21">
      <c r="A1279" s="14" t="s">
        <v>6593</v>
      </c>
      <c r="B1279" s="14">
        <v>1969.326163</v>
      </c>
      <c r="C1279" s="14">
        <v>3662.216569</v>
      </c>
      <c r="D1279" s="14">
        <v>276.4357568</v>
      </c>
      <c r="E1279" s="14">
        <v>0.075469505</v>
      </c>
      <c r="F1279" s="14">
        <v>-3.727962382</v>
      </c>
      <c r="G1279" s="51" t="s">
        <v>4170</v>
      </c>
      <c r="H1279" s="51" t="s">
        <v>4171</v>
      </c>
      <c r="I1279" s="14" t="s">
        <v>147</v>
      </c>
      <c r="J1279" s="14">
        <v>2.793531604</v>
      </c>
      <c r="K1279" s="14">
        <v>3.322190393</v>
      </c>
      <c r="L1279" s="14">
        <v>1.302044747</v>
      </c>
      <c r="M1279" s="14">
        <v>34.16212483</v>
      </c>
      <c r="N1279" s="14">
        <v>31.83245519</v>
      </c>
      <c r="O1279" s="14">
        <v>13.50202273</v>
      </c>
      <c r="P1279" s="14" t="s">
        <v>6594</v>
      </c>
      <c r="Q1279" s="14" t="s">
        <v>6595</v>
      </c>
      <c r="T1279" s="14" t="s">
        <v>6596</v>
      </c>
      <c r="U1279" s="14" t="s">
        <v>6597</v>
      </c>
    </row>
    <row r="1280" spans="1:15">
      <c r="A1280" s="14" t="s">
        <v>6598</v>
      </c>
      <c r="B1280" s="14">
        <v>2723.304486</v>
      </c>
      <c r="C1280" s="14">
        <v>4335.263689</v>
      </c>
      <c r="D1280" s="14">
        <v>1111.345284</v>
      </c>
      <c r="E1280" s="14">
        <v>0.256357721</v>
      </c>
      <c r="F1280" s="14">
        <v>-1.963769747</v>
      </c>
      <c r="G1280" s="51" t="s">
        <v>6599</v>
      </c>
      <c r="H1280" s="51" t="s">
        <v>1651</v>
      </c>
      <c r="I1280" s="14" t="s">
        <v>147</v>
      </c>
      <c r="J1280" s="14">
        <v>8.35760197</v>
      </c>
      <c r="K1280" s="14">
        <v>10.09950203</v>
      </c>
      <c r="L1280" s="14">
        <v>8.787883354</v>
      </c>
      <c r="M1280" s="14">
        <v>30.92409222</v>
      </c>
      <c r="N1280" s="14">
        <v>31.43624228</v>
      </c>
      <c r="O1280" s="14">
        <v>24.50006433</v>
      </c>
    </row>
    <row r="1281" spans="1:21">
      <c r="A1281" s="14" t="s">
        <v>6600</v>
      </c>
      <c r="B1281" s="14">
        <v>761.5147334</v>
      </c>
      <c r="C1281" s="14">
        <v>493.1968896</v>
      </c>
      <c r="D1281" s="14">
        <v>1029.832577</v>
      </c>
      <c r="E1281" s="14">
        <v>2.088605409</v>
      </c>
      <c r="F1281" s="14">
        <v>1.062539956</v>
      </c>
      <c r="G1281" s="14">
        <v>0.001965264</v>
      </c>
      <c r="H1281" s="14">
        <v>0.006612626</v>
      </c>
      <c r="I1281" s="14" t="s">
        <v>164</v>
      </c>
      <c r="J1281" s="14">
        <v>38.48470012</v>
      </c>
      <c r="K1281" s="14">
        <v>32.1650078</v>
      </c>
      <c r="L1281" s="14">
        <v>31.11486186</v>
      </c>
      <c r="M1281" s="14">
        <v>12.34424854</v>
      </c>
      <c r="N1281" s="14">
        <v>18.59486795</v>
      </c>
      <c r="O1281" s="14">
        <v>8.6618499</v>
      </c>
      <c r="P1281" s="14" t="s">
        <v>6601</v>
      </c>
      <c r="Q1281" s="14" t="s">
        <v>6602</v>
      </c>
      <c r="T1281" s="14" t="s">
        <v>2621</v>
      </c>
      <c r="U1281" s="14" t="s">
        <v>2622</v>
      </c>
    </row>
    <row r="1282" spans="1:21">
      <c r="A1282" s="14" t="s">
        <v>6603</v>
      </c>
      <c r="B1282" s="14">
        <v>2452.432304</v>
      </c>
      <c r="C1282" s="14">
        <v>803.8287897</v>
      </c>
      <c r="D1282" s="14">
        <v>4101.035819</v>
      </c>
      <c r="E1282" s="14">
        <v>5.100684568</v>
      </c>
      <c r="F1282" s="14">
        <v>2.350690886</v>
      </c>
      <c r="G1282" s="51" t="s">
        <v>6604</v>
      </c>
      <c r="H1282" s="51" t="s">
        <v>6605</v>
      </c>
      <c r="I1282" s="14" t="s">
        <v>164</v>
      </c>
      <c r="J1282" s="14">
        <v>82.68018411</v>
      </c>
      <c r="K1282" s="14">
        <v>81.1340349</v>
      </c>
      <c r="L1282" s="14">
        <v>63.69745063</v>
      </c>
      <c r="M1282" s="14">
        <v>10.63935518</v>
      </c>
      <c r="N1282" s="14">
        <v>12.4202633</v>
      </c>
      <c r="O1282" s="14">
        <v>13.8484496</v>
      </c>
      <c r="P1282" s="14" t="s">
        <v>6606</v>
      </c>
      <c r="Q1282" s="14" t="s">
        <v>6607</v>
      </c>
      <c r="T1282" s="14" t="s">
        <v>6608</v>
      </c>
      <c r="U1282" s="14" t="s">
        <v>6609</v>
      </c>
    </row>
    <row r="1283" spans="1:21">
      <c r="A1283" s="14" t="s">
        <v>6610</v>
      </c>
      <c r="B1283" s="14">
        <v>192.6227955</v>
      </c>
      <c r="C1283" s="14">
        <v>61.16415484</v>
      </c>
      <c r="D1283" s="14">
        <v>324.0814361</v>
      </c>
      <c r="E1283" s="14">
        <v>5.280372349</v>
      </c>
      <c r="F1283" s="14">
        <v>2.400639666</v>
      </c>
      <c r="G1283" s="51" t="s">
        <v>6611</v>
      </c>
      <c r="H1283" s="51" t="s">
        <v>6612</v>
      </c>
      <c r="I1283" s="14" t="s">
        <v>164</v>
      </c>
      <c r="J1283" s="14">
        <v>5.071642033</v>
      </c>
      <c r="K1283" s="14">
        <v>5.651697679</v>
      </c>
      <c r="L1283" s="14">
        <v>5.438139913</v>
      </c>
      <c r="M1283" s="14">
        <v>0.690338417</v>
      </c>
      <c r="N1283" s="14">
        <v>0.770428</v>
      </c>
      <c r="O1283" s="14">
        <v>1.07515126</v>
      </c>
      <c r="P1283" s="14" t="s">
        <v>6613</v>
      </c>
      <c r="Q1283" s="14" t="s">
        <v>6614</v>
      </c>
      <c r="R1283" s="14" t="s">
        <v>3258</v>
      </c>
      <c r="S1283" s="14" t="s">
        <v>3259</v>
      </c>
      <c r="T1283" s="14" t="s">
        <v>6615</v>
      </c>
      <c r="U1283" s="14" t="s">
        <v>6616</v>
      </c>
    </row>
    <row r="1284" spans="1:21">
      <c r="A1284" s="14" t="s">
        <v>6617</v>
      </c>
      <c r="B1284" s="14">
        <v>2371.22235</v>
      </c>
      <c r="C1284" s="14">
        <v>803.6125455</v>
      </c>
      <c r="D1284" s="14">
        <v>3938.832154</v>
      </c>
      <c r="E1284" s="14">
        <v>4.902425432</v>
      </c>
      <c r="F1284" s="14">
        <v>2.293495687</v>
      </c>
      <c r="G1284" s="51" t="s">
        <v>6618</v>
      </c>
      <c r="H1284" s="51" t="s">
        <v>6619</v>
      </c>
      <c r="I1284" s="14" t="s">
        <v>164</v>
      </c>
      <c r="J1284" s="14">
        <v>39.02155269</v>
      </c>
      <c r="K1284" s="14">
        <v>54.37803564</v>
      </c>
      <c r="L1284" s="14">
        <v>84.91330965</v>
      </c>
      <c r="M1284" s="14">
        <v>11.02689505</v>
      </c>
      <c r="N1284" s="14">
        <v>11.01927864</v>
      </c>
      <c r="O1284" s="14">
        <v>7.470900628</v>
      </c>
      <c r="P1284" s="14" t="s">
        <v>6620</v>
      </c>
      <c r="Q1284" s="14" t="s">
        <v>6621</v>
      </c>
      <c r="R1284" s="14" t="s">
        <v>2361</v>
      </c>
      <c r="S1284" s="14" t="s">
        <v>2362</v>
      </c>
      <c r="T1284" s="14" t="s">
        <v>6622</v>
      </c>
      <c r="U1284" s="14" t="s">
        <v>6623</v>
      </c>
    </row>
    <row r="1285" spans="1:21">
      <c r="A1285" s="14" t="s">
        <v>6624</v>
      </c>
      <c r="B1285" s="14">
        <v>11.34605804</v>
      </c>
      <c r="C1285" s="14">
        <v>0</v>
      </c>
      <c r="D1285" s="14">
        <v>22.69211607</v>
      </c>
      <c r="E1285" s="14">
        <v>122.4652297</v>
      </c>
      <c r="F1285" s="14">
        <v>6.936228387</v>
      </c>
      <c r="G1285" s="51" t="s">
        <v>6625</v>
      </c>
      <c r="H1285" s="51" t="s">
        <v>5050</v>
      </c>
      <c r="I1285" s="14" t="s">
        <v>164</v>
      </c>
      <c r="J1285" s="14">
        <v>0.369834089</v>
      </c>
      <c r="K1285" s="14">
        <v>0.545965285</v>
      </c>
      <c r="L1285" s="14">
        <v>0.783407999</v>
      </c>
      <c r="M1285" s="14">
        <v>0</v>
      </c>
      <c r="N1285" s="14">
        <v>0</v>
      </c>
      <c r="O1285" s="14">
        <v>0</v>
      </c>
      <c r="P1285" s="14" t="s">
        <v>6626</v>
      </c>
      <c r="Q1285" s="14" t="s">
        <v>6627</v>
      </c>
      <c r="T1285" s="14" t="s">
        <v>6628</v>
      </c>
      <c r="U1285" s="14" t="s">
        <v>6629</v>
      </c>
    </row>
    <row r="1286" spans="1:21">
      <c r="A1286" s="14" t="s">
        <v>6630</v>
      </c>
      <c r="B1286" s="14">
        <v>14.18196477</v>
      </c>
      <c r="C1286" s="14">
        <v>2.713839388</v>
      </c>
      <c r="D1286" s="14">
        <v>25.65009014</v>
      </c>
      <c r="E1286" s="14">
        <v>9.50086905</v>
      </c>
      <c r="F1286" s="14">
        <v>3.248059484</v>
      </c>
      <c r="G1286" s="14">
        <v>0.000552034</v>
      </c>
      <c r="H1286" s="14">
        <v>0.002164416</v>
      </c>
      <c r="I1286" s="14" t="s">
        <v>164</v>
      </c>
      <c r="J1286" s="14">
        <v>0.901232556</v>
      </c>
      <c r="K1286" s="14">
        <v>0.371093518</v>
      </c>
      <c r="L1286" s="14">
        <v>0.315545913</v>
      </c>
      <c r="M1286" s="14">
        <v>0.070099073</v>
      </c>
      <c r="N1286" s="14">
        <v>0.016812935</v>
      </c>
      <c r="O1286" s="14">
        <v>0.051437818</v>
      </c>
      <c r="P1286" s="14" t="s">
        <v>6631</v>
      </c>
      <c r="Q1286" s="14" t="s">
        <v>6632</v>
      </c>
      <c r="T1286" s="14" t="s">
        <v>6633</v>
      </c>
      <c r="U1286" s="14" t="s">
        <v>6634</v>
      </c>
    </row>
    <row r="1287" spans="1:21">
      <c r="A1287" s="14" t="s">
        <v>6635</v>
      </c>
      <c r="B1287" s="14">
        <v>37.08580956</v>
      </c>
      <c r="C1287" s="14">
        <v>0</v>
      </c>
      <c r="D1287" s="14">
        <v>74.17161912</v>
      </c>
      <c r="E1287" s="14">
        <v>399.9810805</v>
      </c>
      <c r="F1287" s="14">
        <v>8.64378795</v>
      </c>
      <c r="G1287" s="51" t="s">
        <v>6636</v>
      </c>
      <c r="H1287" s="51" t="s">
        <v>6637</v>
      </c>
      <c r="I1287" s="14" t="s">
        <v>164</v>
      </c>
      <c r="J1287" s="14">
        <v>0.644486072</v>
      </c>
      <c r="K1287" s="14">
        <v>4.567890312</v>
      </c>
      <c r="L1287" s="14">
        <v>0.775678815</v>
      </c>
      <c r="M1287" s="14">
        <v>0</v>
      </c>
      <c r="N1287" s="14">
        <v>0</v>
      </c>
      <c r="O1287" s="14">
        <v>0</v>
      </c>
      <c r="P1287" s="14" t="s">
        <v>6638</v>
      </c>
      <c r="Q1287" s="14" t="s">
        <v>6639</v>
      </c>
      <c r="T1287" s="14" t="s">
        <v>6640</v>
      </c>
      <c r="U1287" s="14" t="s">
        <v>6641</v>
      </c>
    </row>
    <row r="1288" spans="1:15">
      <c r="A1288" s="14" t="s">
        <v>6642</v>
      </c>
      <c r="B1288" s="14">
        <v>2036.148148</v>
      </c>
      <c r="C1288" s="14">
        <v>2971.527967</v>
      </c>
      <c r="D1288" s="14">
        <v>1100.768329</v>
      </c>
      <c r="E1288" s="14">
        <v>0.370441805</v>
      </c>
      <c r="F1288" s="14">
        <v>-1.432681175</v>
      </c>
      <c r="G1288" s="51" t="s">
        <v>6643</v>
      </c>
      <c r="H1288" s="51" t="s">
        <v>2309</v>
      </c>
      <c r="I1288" s="14" t="s">
        <v>147</v>
      </c>
      <c r="J1288" s="14">
        <v>17.95506871</v>
      </c>
      <c r="K1288" s="14">
        <v>21.24695532</v>
      </c>
      <c r="L1288" s="14">
        <v>15.48488492</v>
      </c>
      <c r="M1288" s="14">
        <v>44.0206802</v>
      </c>
      <c r="N1288" s="14">
        <v>44.84855767</v>
      </c>
      <c r="O1288" s="14">
        <v>31.61425634</v>
      </c>
    </row>
    <row r="1289" spans="1:21">
      <c r="A1289" s="14" t="s">
        <v>6644</v>
      </c>
      <c r="B1289" s="14">
        <v>5678.648222</v>
      </c>
      <c r="C1289" s="14">
        <v>2767.613172</v>
      </c>
      <c r="D1289" s="14">
        <v>8589.683272</v>
      </c>
      <c r="E1289" s="14">
        <v>3.104158194</v>
      </c>
      <c r="F1289" s="14">
        <v>1.634202082</v>
      </c>
      <c r="G1289" s="51" t="s">
        <v>6645</v>
      </c>
      <c r="H1289" s="51" t="s">
        <v>6646</v>
      </c>
      <c r="I1289" s="14" t="s">
        <v>164</v>
      </c>
      <c r="J1289" s="14">
        <v>117.5727637</v>
      </c>
      <c r="K1289" s="14">
        <v>120.3631794</v>
      </c>
      <c r="L1289" s="14">
        <v>115.2312875</v>
      </c>
      <c r="M1289" s="14">
        <v>32.26138093</v>
      </c>
      <c r="N1289" s="14">
        <v>31.87603881</v>
      </c>
      <c r="O1289" s="14">
        <v>29.1657218</v>
      </c>
      <c r="P1289" s="14" t="s">
        <v>6647</v>
      </c>
      <c r="Q1289" s="14" t="s">
        <v>6648</v>
      </c>
      <c r="T1289" s="14" t="s">
        <v>4658</v>
      </c>
      <c r="U1289" s="14" t="s">
        <v>4659</v>
      </c>
    </row>
    <row r="1290" spans="1:21">
      <c r="A1290" s="14" t="s">
        <v>33</v>
      </c>
      <c r="B1290" s="14">
        <v>3705.965434</v>
      </c>
      <c r="C1290" s="14">
        <v>5440.196302</v>
      </c>
      <c r="D1290" s="14">
        <v>1971.734565</v>
      </c>
      <c r="E1290" s="14">
        <v>0.362452557</v>
      </c>
      <c r="F1290" s="14">
        <v>-1.464135926</v>
      </c>
      <c r="G1290" s="51" t="s">
        <v>6649</v>
      </c>
      <c r="H1290" s="51" t="s">
        <v>2637</v>
      </c>
      <c r="I1290" s="14" t="s">
        <v>147</v>
      </c>
      <c r="J1290" s="14">
        <v>9.847444193</v>
      </c>
      <c r="K1290" s="14">
        <v>12.1356061</v>
      </c>
      <c r="L1290" s="14">
        <v>10.41722214</v>
      </c>
      <c r="M1290" s="14">
        <v>27.86334123</v>
      </c>
      <c r="N1290" s="14">
        <v>25.05165449</v>
      </c>
      <c r="O1290" s="14">
        <v>20.04473841</v>
      </c>
      <c r="P1290" s="14" t="s">
        <v>34</v>
      </c>
      <c r="Q1290" s="14" t="s">
        <v>6650</v>
      </c>
      <c r="R1290" s="14" t="s">
        <v>341</v>
      </c>
      <c r="S1290" s="14" t="s">
        <v>342</v>
      </c>
      <c r="T1290" s="14" t="s">
        <v>6651</v>
      </c>
      <c r="U1290" s="14" t="s">
        <v>6652</v>
      </c>
    </row>
    <row r="1291" spans="1:15">
      <c r="A1291" s="14" t="s">
        <v>6653</v>
      </c>
      <c r="B1291" s="14">
        <v>169.2879704</v>
      </c>
      <c r="C1291" s="14">
        <v>100.6132952</v>
      </c>
      <c r="D1291" s="14">
        <v>237.9626455</v>
      </c>
      <c r="E1291" s="14">
        <v>2.361245002</v>
      </c>
      <c r="F1291" s="14">
        <v>1.239547743</v>
      </c>
      <c r="G1291" s="14">
        <v>0.000167897</v>
      </c>
      <c r="H1291" s="14">
        <v>0.000753147</v>
      </c>
      <c r="I1291" s="14" t="s">
        <v>164</v>
      </c>
      <c r="J1291" s="14">
        <v>9.838455406</v>
      </c>
      <c r="K1291" s="14">
        <v>9.071174874</v>
      </c>
      <c r="L1291" s="14">
        <v>8.135168059</v>
      </c>
      <c r="M1291" s="14">
        <v>2.827329265</v>
      </c>
      <c r="N1291" s="14">
        <v>2.065188792</v>
      </c>
      <c r="O1291" s="14">
        <v>4.683699119</v>
      </c>
    </row>
    <row r="1292" spans="1:21">
      <c r="A1292" s="14" t="s">
        <v>6654</v>
      </c>
      <c r="B1292" s="14">
        <v>269.1202144</v>
      </c>
      <c r="C1292" s="14">
        <v>137.8716842</v>
      </c>
      <c r="D1292" s="14">
        <v>400.3687447</v>
      </c>
      <c r="E1292" s="14">
        <v>2.898497611</v>
      </c>
      <c r="F1292" s="14">
        <v>1.535305297</v>
      </c>
      <c r="G1292" s="51" t="s">
        <v>6655</v>
      </c>
      <c r="H1292" s="51" t="s">
        <v>6656</v>
      </c>
      <c r="I1292" s="14" t="s">
        <v>164</v>
      </c>
      <c r="J1292" s="14">
        <v>7.183372383</v>
      </c>
      <c r="K1292" s="14">
        <v>8.948951714</v>
      </c>
      <c r="L1292" s="14">
        <v>7.6535108</v>
      </c>
      <c r="M1292" s="14">
        <v>1.528117586</v>
      </c>
      <c r="N1292" s="14">
        <v>1.917138916</v>
      </c>
      <c r="O1292" s="14">
        <v>3.433765802</v>
      </c>
      <c r="P1292" s="14" t="s">
        <v>6657</v>
      </c>
      <c r="Q1292" s="14" t="s">
        <v>6658</v>
      </c>
      <c r="T1292" s="14" t="s">
        <v>6659</v>
      </c>
      <c r="U1292" s="14" t="s">
        <v>6660</v>
      </c>
    </row>
    <row r="1293" spans="1:21">
      <c r="A1293" s="14" t="s">
        <v>6661</v>
      </c>
      <c r="B1293" s="14">
        <v>784.7519426</v>
      </c>
      <c r="C1293" s="14">
        <v>484.3226686</v>
      </c>
      <c r="D1293" s="14">
        <v>1085.181217</v>
      </c>
      <c r="E1293" s="14">
        <v>2.240666262</v>
      </c>
      <c r="F1293" s="14">
        <v>1.163927782</v>
      </c>
      <c r="G1293" s="51" t="s">
        <v>6662</v>
      </c>
      <c r="H1293" s="51" t="s">
        <v>6663</v>
      </c>
      <c r="I1293" s="14" t="s">
        <v>164</v>
      </c>
      <c r="J1293" s="14">
        <v>5.906891155</v>
      </c>
      <c r="K1293" s="14">
        <v>5.431460734</v>
      </c>
      <c r="L1293" s="14">
        <v>5.971312263</v>
      </c>
      <c r="M1293" s="14">
        <v>2.031471526</v>
      </c>
      <c r="N1293" s="14">
        <v>2.00513408</v>
      </c>
      <c r="O1293" s="14">
        <v>2.33571081</v>
      </c>
      <c r="P1293" s="14" t="s">
        <v>6664</v>
      </c>
      <c r="Q1293" s="14" t="s">
        <v>6665</v>
      </c>
      <c r="R1293" s="14" t="s">
        <v>6666</v>
      </c>
      <c r="S1293" s="14" t="s">
        <v>6667</v>
      </c>
      <c r="T1293" s="14" t="s">
        <v>6668</v>
      </c>
      <c r="U1293" s="14" t="s">
        <v>6669</v>
      </c>
    </row>
    <row r="1294" spans="1:21">
      <c r="A1294" s="14" t="s">
        <v>6670</v>
      </c>
      <c r="B1294" s="14">
        <v>984.7908127</v>
      </c>
      <c r="C1294" s="14">
        <v>1660.220005</v>
      </c>
      <c r="D1294" s="14">
        <v>309.3616206</v>
      </c>
      <c r="E1294" s="14">
        <v>0.186355398</v>
      </c>
      <c r="F1294" s="14">
        <v>-2.423871489</v>
      </c>
      <c r="G1294" s="51" t="s">
        <v>6671</v>
      </c>
      <c r="H1294" s="51" t="s">
        <v>6672</v>
      </c>
      <c r="I1294" s="14" t="s">
        <v>147</v>
      </c>
      <c r="J1294" s="14">
        <v>4.751237059</v>
      </c>
      <c r="K1294" s="14">
        <v>5.342058575</v>
      </c>
      <c r="L1294" s="14">
        <v>4.788927142</v>
      </c>
      <c r="M1294" s="14">
        <v>25.62801397</v>
      </c>
      <c r="N1294" s="14">
        <v>21.6131141</v>
      </c>
      <c r="O1294" s="14">
        <v>17.91761484</v>
      </c>
      <c r="P1294" s="14" t="s">
        <v>6673</v>
      </c>
      <c r="Q1294" s="14" t="s">
        <v>6674</v>
      </c>
      <c r="R1294" s="14" t="s">
        <v>5747</v>
      </c>
      <c r="S1294" s="14" t="s">
        <v>5748</v>
      </c>
      <c r="T1294" s="14" t="s">
        <v>6675</v>
      </c>
      <c r="U1294" s="14" t="s">
        <v>6676</v>
      </c>
    </row>
    <row r="1295" spans="1:21">
      <c r="A1295" s="14" t="s">
        <v>6677</v>
      </c>
      <c r="B1295" s="14">
        <v>4223.020403</v>
      </c>
      <c r="C1295" s="14">
        <v>6545.553248</v>
      </c>
      <c r="D1295" s="14">
        <v>1900.487558</v>
      </c>
      <c r="E1295" s="14">
        <v>0.290357038</v>
      </c>
      <c r="F1295" s="14">
        <v>-1.784100092</v>
      </c>
      <c r="G1295" s="51" t="s">
        <v>6678</v>
      </c>
      <c r="H1295" s="51" t="s">
        <v>6679</v>
      </c>
      <c r="I1295" s="14" t="s">
        <v>147</v>
      </c>
      <c r="J1295" s="14">
        <v>30.12452641</v>
      </c>
      <c r="K1295" s="14">
        <v>47.39654846</v>
      </c>
      <c r="L1295" s="14">
        <v>42.13687498</v>
      </c>
      <c r="M1295" s="14">
        <v>131.575657</v>
      </c>
      <c r="N1295" s="14">
        <v>131.81154</v>
      </c>
      <c r="O1295" s="14">
        <v>70.39591499</v>
      </c>
      <c r="P1295" s="14" t="s">
        <v>6680</v>
      </c>
      <c r="Q1295" s="14" t="s">
        <v>6681</v>
      </c>
      <c r="T1295" s="14" t="s">
        <v>6682</v>
      </c>
      <c r="U1295" s="14" t="s">
        <v>6683</v>
      </c>
    </row>
    <row r="1296" spans="1:21">
      <c r="A1296" s="14" t="s">
        <v>6684</v>
      </c>
      <c r="B1296" s="14">
        <v>1394.190703</v>
      </c>
      <c r="C1296" s="14">
        <v>321.8227127</v>
      </c>
      <c r="D1296" s="14">
        <v>2466.558694</v>
      </c>
      <c r="E1296" s="14">
        <v>7.659870998</v>
      </c>
      <c r="F1296" s="14">
        <v>2.937320095</v>
      </c>
      <c r="G1296" s="51" t="s">
        <v>6685</v>
      </c>
      <c r="H1296" s="51" t="s">
        <v>6686</v>
      </c>
      <c r="I1296" s="14" t="s">
        <v>164</v>
      </c>
      <c r="J1296" s="14">
        <v>29.80314471</v>
      </c>
      <c r="K1296" s="14">
        <v>26.28384162</v>
      </c>
      <c r="L1296" s="14">
        <v>17.05504567</v>
      </c>
      <c r="M1296" s="14">
        <v>2.166232622</v>
      </c>
      <c r="N1296" s="14">
        <v>1.925194122</v>
      </c>
      <c r="O1296" s="14">
        <v>3.918436095</v>
      </c>
      <c r="P1296" s="14" t="s">
        <v>6687</v>
      </c>
      <c r="Q1296" s="14" t="s">
        <v>6688</v>
      </c>
      <c r="R1296" s="14" t="s">
        <v>1128</v>
      </c>
      <c r="S1296" s="14" t="s">
        <v>1129</v>
      </c>
      <c r="T1296" s="14" t="s">
        <v>6689</v>
      </c>
      <c r="U1296" s="14" t="s">
        <v>6690</v>
      </c>
    </row>
    <row r="1297" spans="1:21">
      <c r="A1297" s="14" t="s">
        <v>6691</v>
      </c>
      <c r="B1297" s="14">
        <v>1392.53798</v>
      </c>
      <c r="C1297" s="14">
        <v>873.1801443</v>
      </c>
      <c r="D1297" s="14">
        <v>1911.895815</v>
      </c>
      <c r="E1297" s="14">
        <v>2.190038382</v>
      </c>
      <c r="F1297" s="14">
        <v>1.130956154</v>
      </c>
      <c r="G1297" s="51" t="s">
        <v>6692</v>
      </c>
      <c r="H1297" s="51" t="s">
        <v>6693</v>
      </c>
      <c r="I1297" s="14" t="s">
        <v>164</v>
      </c>
      <c r="J1297" s="14">
        <v>25.57666804</v>
      </c>
      <c r="K1297" s="14">
        <v>30.33658695</v>
      </c>
      <c r="L1297" s="14">
        <v>28.22250626</v>
      </c>
      <c r="M1297" s="14">
        <v>10.09614116</v>
      </c>
      <c r="N1297" s="14">
        <v>11.01012695</v>
      </c>
      <c r="O1297" s="14">
        <v>10.48614007</v>
      </c>
      <c r="P1297" s="14" t="s">
        <v>6208</v>
      </c>
      <c r="Q1297" s="14" t="s">
        <v>6209</v>
      </c>
      <c r="T1297" s="14" t="s">
        <v>6210</v>
      </c>
      <c r="U1297" s="14" t="s">
        <v>6211</v>
      </c>
    </row>
    <row r="1298" spans="1:21">
      <c r="A1298" s="14" t="s">
        <v>6694</v>
      </c>
      <c r="B1298" s="14">
        <v>58.47511355</v>
      </c>
      <c r="C1298" s="14">
        <v>79.79760456</v>
      </c>
      <c r="D1298" s="14">
        <v>37.15262255</v>
      </c>
      <c r="E1298" s="14">
        <v>0.465142442</v>
      </c>
      <c r="F1298" s="14">
        <v>-1.104255511</v>
      </c>
      <c r="G1298" s="14">
        <v>0.006282422</v>
      </c>
      <c r="H1298" s="14">
        <v>0.018035259</v>
      </c>
      <c r="I1298" s="14" t="s">
        <v>147</v>
      </c>
      <c r="J1298" s="14">
        <v>0.818157256</v>
      </c>
      <c r="K1298" s="14">
        <v>0.455553035</v>
      </c>
      <c r="L1298" s="14">
        <v>0.68719686</v>
      </c>
      <c r="M1298" s="14">
        <v>0.923418783</v>
      </c>
      <c r="N1298" s="14">
        <v>0.971643988</v>
      </c>
      <c r="O1298" s="14">
        <v>1.617480289</v>
      </c>
      <c r="P1298" s="14" t="s">
        <v>6695</v>
      </c>
      <c r="Q1298" s="14" t="s">
        <v>6696</v>
      </c>
      <c r="T1298" s="14" t="s">
        <v>6697</v>
      </c>
      <c r="U1298" s="14" t="s">
        <v>6698</v>
      </c>
    </row>
    <row r="1299" spans="1:21">
      <c r="A1299" s="14" t="s">
        <v>6699</v>
      </c>
      <c r="B1299" s="14">
        <v>773.2186021</v>
      </c>
      <c r="C1299" s="14">
        <v>474.8925961</v>
      </c>
      <c r="D1299" s="14">
        <v>1071.544608</v>
      </c>
      <c r="E1299" s="14">
        <v>2.255219378</v>
      </c>
      <c r="F1299" s="14">
        <v>1.173267779</v>
      </c>
      <c r="G1299" s="14">
        <v>0.000656694</v>
      </c>
      <c r="H1299" s="14">
        <v>0.002526498</v>
      </c>
      <c r="I1299" s="14" t="s">
        <v>164</v>
      </c>
      <c r="J1299" s="14">
        <v>5.202627035</v>
      </c>
      <c r="K1299" s="14">
        <v>5.631814568</v>
      </c>
      <c r="L1299" s="14">
        <v>5.939582657</v>
      </c>
      <c r="M1299" s="14">
        <v>1.471992314</v>
      </c>
      <c r="N1299" s="14">
        <v>1.382515946</v>
      </c>
      <c r="O1299" s="14">
        <v>3.412300861</v>
      </c>
      <c r="P1299" s="14" t="s">
        <v>6700</v>
      </c>
      <c r="Q1299" s="14" t="s">
        <v>6701</v>
      </c>
      <c r="T1299" s="14" t="s">
        <v>6702</v>
      </c>
      <c r="U1299" s="14" t="s">
        <v>6703</v>
      </c>
    </row>
    <row r="1300" spans="1:15">
      <c r="A1300" s="14" t="s">
        <v>6704</v>
      </c>
      <c r="B1300" s="14">
        <v>130.06396</v>
      </c>
      <c r="C1300" s="14">
        <v>67.64802994</v>
      </c>
      <c r="D1300" s="14">
        <v>192.4798901</v>
      </c>
      <c r="E1300" s="14">
        <v>2.837378474</v>
      </c>
      <c r="F1300" s="14">
        <v>1.504558602</v>
      </c>
      <c r="G1300" s="51" t="s">
        <v>6705</v>
      </c>
      <c r="H1300" s="51" t="s">
        <v>1490</v>
      </c>
      <c r="I1300" s="14" t="s">
        <v>164</v>
      </c>
      <c r="J1300" s="14">
        <v>3.976739172</v>
      </c>
      <c r="K1300" s="14">
        <v>3.564910708</v>
      </c>
      <c r="L1300" s="14">
        <v>4.546938775</v>
      </c>
      <c r="M1300" s="14">
        <v>0.886061709</v>
      </c>
      <c r="N1300" s="14">
        <v>0.935078119</v>
      </c>
      <c r="O1300" s="14">
        <v>1.733815848</v>
      </c>
    </row>
    <row r="1301" spans="1:15">
      <c r="A1301" s="14" t="s">
        <v>6706</v>
      </c>
      <c r="B1301" s="14">
        <v>3794.525405</v>
      </c>
      <c r="C1301" s="14">
        <v>5954.084792</v>
      </c>
      <c r="D1301" s="14">
        <v>1634.966018</v>
      </c>
      <c r="E1301" s="14">
        <v>0.274597292</v>
      </c>
      <c r="F1301" s="14">
        <v>-1.864610695</v>
      </c>
      <c r="G1301" s="51" t="s">
        <v>6707</v>
      </c>
      <c r="H1301" s="51" t="s">
        <v>6708</v>
      </c>
      <c r="I1301" s="14" t="s">
        <v>147</v>
      </c>
      <c r="J1301" s="14">
        <v>20.35381605</v>
      </c>
      <c r="K1301" s="14">
        <v>40.47038667</v>
      </c>
      <c r="L1301" s="14">
        <v>24.34357976</v>
      </c>
      <c r="M1301" s="14">
        <v>105.3871878</v>
      </c>
      <c r="N1301" s="14">
        <v>99.63523797</v>
      </c>
      <c r="O1301" s="14">
        <v>45.74770156</v>
      </c>
    </row>
    <row r="1302" spans="1:21">
      <c r="A1302" s="14" t="s">
        <v>6709</v>
      </c>
      <c r="B1302" s="14">
        <v>37.57066878</v>
      </c>
      <c r="C1302" s="14">
        <v>13.36378651</v>
      </c>
      <c r="D1302" s="14">
        <v>61.77755104</v>
      </c>
      <c r="E1302" s="14">
        <v>4.649591097</v>
      </c>
      <c r="F1302" s="14">
        <v>2.217103846</v>
      </c>
      <c r="G1302" s="51" t="s">
        <v>6710</v>
      </c>
      <c r="H1302" s="14">
        <v>0.000451158</v>
      </c>
      <c r="I1302" s="14" t="s">
        <v>164</v>
      </c>
      <c r="J1302" s="14">
        <v>3.289157455</v>
      </c>
      <c r="K1302" s="14">
        <v>6.269075211</v>
      </c>
      <c r="L1302" s="14">
        <v>3.503874404</v>
      </c>
      <c r="M1302" s="14">
        <v>1.077773242</v>
      </c>
      <c r="N1302" s="14">
        <v>0.689330316</v>
      </c>
      <c r="O1302" s="14">
        <v>0.527237637</v>
      </c>
      <c r="Q1302" s="14" t="s">
        <v>6711</v>
      </c>
      <c r="R1302" s="14" t="s">
        <v>5747</v>
      </c>
      <c r="S1302" s="14" t="s">
        <v>5748</v>
      </c>
      <c r="T1302" s="14" t="s">
        <v>5749</v>
      </c>
      <c r="U1302" s="14" t="s">
        <v>5750</v>
      </c>
    </row>
    <row r="1303" spans="1:21">
      <c r="A1303" s="14" t="s">
        <v>6712</v>
      </c>
      <c r="B1303" s="14">
        <v>314797.1153</v>
      </c>
      <c r="C1303" s="14">
        <v>452193.9747</v>
      </c>
      <c r="D1303" s="14">
        <v>177400.2558</v>
      </c>
      <c r="E1303" s="14">
        <v>0.392310022</v>
      </c>
      <c r="F1303" s="14">
        <v>-1.349933904</v>
      </c>
      <c r="G1303" s="51" t="s">
        <v>6713</v>
      </c>
      <c r="H1303" s="51" t="s">
        <v>6714</v>
      </c>
      <c r="I1303" s="14" t="s">
        <v>147</v>
      </c>
      <c r="J1303" s="14">
        <v>2444.699946</v>
      </c>
      <c r="K1303" s="14">
        <v>3457.334392</v>
      </c>
      <c r="L1303" s="14">
        <v>1951.892081</v>
      </c>
      <c r="M1303" s="14">
        <v>5718.905342</v>
      </c>
      <c r="N1303" s="14">
        <v>5243.240677</v>
      </c>
      <c r="O1303" s="14">
        <v>5532.150901</v>
      </c>
      <c r="Q1303" s="14" t="s">
        <v>5746</v>
      </c>
      <c r="R1303" s="14" t="s">
        <v>5747</v>
      </c>
      <c r="S1303" s="14" t="s">
        <v>5748</v>
      </c>
      <c r="T1303" s="14" t="s">
        <v>5749</v>
      </c>
      <c r="U1303" s="14" t="s">
        <v>5750</v>
      </c>
    </row>
    <row r="1304" spans="1:21">
      <c r="A1304" s="14" t="s">
        <v>6715</v>
      </c>
      <c r="B1304" s="14">
        <v>159.512902</v>
      </c>
      <c r="C1304" s="14">
        <v>231.3010717</v>
      </c>
      <c r="D1304" s="14">
        <v>87.72473232</v>
      </c>
      <c r="E1304" s="14">
        <v>0.378919657</v>
      </c>
      <c r="F1304" s="14">
        <v>-1.400036113</v>
      </c>
      <c r="G1304" s="14">
        <v>0.003359486</v>
      </c>
      <c r="H1304" s="14">
        <v>0.010491326</v>
      </c>
      <c r="I1304" s="14" t="s">
        <v>147</v>
      </c>
      <c r="J1304" s="14">
        <v>1.069372959</v>
      </c>
      <c r="K1304" s="14">
        <v>0.822498319</v>
      </c>
      <c r="L1304" s="14">
        <v>0.786804314</v>
      </c>
      <c r="M1304" s="14">
        <v>1.208424313</v>
      </c>
      <c r="N1304" s="14">
        <v>1.233868643</v>
      </c>
      <c r="O1304" s="14">
        <v>3.55535129</v>
      </c>
      <c r="P1304" s="14" t="s">
        <v>6716</v>
      </c>
      <c r="Q1304" s="14" t="s">
        <v>6717</v>
      </c>
      <c r="T1304" s="14" t="s">
        <v>6718</v>
      </c>
      <c r="U1304" s="14" t="s">
        <v>6719</v>
      </c>
    </row>
    <row r="1305" spans="1:21">
      <c r="A1305" s="14" t="s">
        <v>6720</v>
      </c>
      <c r="B1305" s="14">
        <v>46.09165909</v>
      </c>
      <c r="C1305" s="14">
        <v>10.6561729</v>
      </c>
      <c r="D1305" s="14">
        <v>81.52714527</v>
      </c>
      <c r="E1305" s="14">
        <v>7.62384693</v>
      </c>
      <c r="F1305" s="14">
        <v>2.930519153</v>
      </c>
      <c r="G1305" s="51" t="s">
        <v>6721</v>
      </c>
      <c r="H1305" s="51" t="s">
        <v>6722</v>
      </c>
      <c r="I1305" s="14" t="s">
        <v>164</v>
      </c>
      <c r="J1305" s="14">
        <v>1.725399685</v>
      </c>
      <c r="K1305" s="14">
        <v>1.65090502</v>
      </c>
      <c r="L1305" s="14">
        <v>1.886908773</v>
      </c>
      <c r="M1305" s="14">
        <v>0.109351321</v>
      </c>
      <c r="N1305" s="14">
        <v>0.262274025</v>
      </c>
      <c r="O1305" s="14">
        <v>0.196143748</v>
      </c>
      <c r="P1305" s="14" t="s">
        <v>6723</v>
      </c>
      <c r="Q1305" s="14" t="s">
        <v>6724</v>
      </c>
      <c r="T1305" s="14" t="s">
        <v>6725</v>
      </c>
      <c r="U1305" s="14" t="s">
        <v>6726</v>
      </c>
    </row>
    <row r="1306" spans="1:21">
      <c r="A1306" s="14" t="s">
        <v>6727</v>
      </c>
      <c r="B1306" s="14">
        <v>204.0721679</v>
      </c>
      <c r="C1306" s="14">
        <v>272.3320243</v>
      </c>
      <c r="D1306" s="14">
        <v>135.8123115</v>
      </c>
      <c r="E1306" s="14">
        <v>0.498436467</v>
      </c>
      <c r="F1306" s="14">
        <v>-1.00451847</v>
      </c>
      <c r="G1306" s="51" t="s">
        <v>4086</v>
      </c>
      <c r="H1306" s="51" t="s">
        <v>6728</v>
      </c>
      <c r="I1306" s="14" t="s">
        <v>147</v>
      </c>
      <c r="J1306" s="14">
        <v>2.553816661</v>
      </c>
      <c r="K1306" s="14">
        <v>2.811476446</v>
      </c>
      <c r="L1306" s="14">
        <v>2.843150455</v>
      </c>
      <c r="M1306" s="14">
        <v>4.079864441</v>
      </c>
      <c r="N1306" s="14">
        <v>4.274443491</v>
      </c>
      <c r="O1306" s="14">
        <v>5.260988951</v>
      </c>
      <c r="P1306" s="14" t="s">
        <v>1541</v>
      </c>
      <c r="Q1306" s="14" t="s">
        <v>1542</v>
      </c>
      <c r="R1306" s="14" t="s">
        <v>4730</v>
      </c>
      <c r="S1306" s="14" t="s">
        <v>4731</v>
      </c>
      <c r="T1306" s="14" t="s">
        <v>1543</v>
      </c>
      <c r="U1306" s="14" t="s">
        <v>1544</v>
      </c>
    </row>
    <row r="1307" spans="1:21">
      <c r="A1307" s="14" t="s">
        <v>6729</v>
      </c>
      <c r="B1307" s="14">
        <v>5.809726613</v>
      </c>
      <c r="C1307" s="14">
        <v>10.32611207</v>
      </c>
      <c r="D1307" s="14">
        <v>1.293341155</v>
      </c>
      <c r="E1307" s="14">
        <v>0.125900783</v>
      </c>
      <c r="F1307" s="14">
        <v>-2.989640843</v>
      </c>
      <c r="G1307" s="14">
        <v>0.005538692</v>
      </c>
      <c r="H1307" s="14">
        <v>0.016192471</v>
      </c>
      <c r="I1307" s="14" t="s">
        <v>147</v>
      </c>
      <c r="J1307" s="14">
        <v>0.042965738</v>
      </c>
      <c r="K1307" s="14">
        <v>0.043246299</v>
      </c>
      <c r="L1307" s="14">
        <v>0.082739074</v>
      </c>
      <c r="M1307" s="14">
        <v>0.330851321</v>
      </c>
      <c r="N1307" s="14">
        <v>0.317412564</v>
      </c>
      <c r="O1307" s="14">
        <v>0.467565781</v>
      </c>
      <c r="P1307" s="14" t="s">
        <v>6730</v>
      </c>
      <c r="Q1307" s="14" t="s">
        <v>6731</v>
      </c>
      <c r="T1307" s="14" t="s">
        <v>6732</v>
      </c>
      <c r="U1307" s="14" t="s">
        <v>6733</v>
      </c>
    </row>
    <row r="1308" spans="1:21">
      <c r="A1308" s="14" t="s">
        <v>6734</v>
      </c>
      <c r="B1308" s="14">
        <v>3452.009993</v>
      </c>
      <c r="C1308" s="14">
        <v>5152.487204</v>
      </c>
      <c r="D1308" s="14">
        <v>1751.532782</v>
      </c>
      <c r="E1308" s="14">
        <v>0.33994771</v>
      </c>
      <c r="F1308" s="14">
        <v>-1.556615245</v>
      </c>
      <c r="G1308" s="14">
        <v>0.000681991</v>
      </c>
      <c r="H1308" s="14">
        <v>0.002615913</v>
      </c>
      <c r="I1308" s="14" t="s">
        <v>147</v>
      </c>
      <c r="J1308" s="14">
        <v>14.72320749</v>
      </c>
      <c r="K1308" s="14">
        <v>14.15427705</v>
      </c>
      <c r="L1308" s="14">
        <v>12.32748373</v>
      </c>
      <c r="M1308" s="14">
        <v>40.97049924</v>
      </c>
      <c r="N1308" s="14">
        <v>42.97534624</v>
      </c>
      <c r="O1308" s="14">
        <v>13.47657853</v>
      </c>
      <c r="P1308" s="14" t="s">
        <v>6735</v>
      </c>
      <c r="Q1308" s="14" t="s">
        <v>6736</v>
      </c>
      <c r="T1308" s="14" t="s">
        <v>2960</v>
      </c>
      <c r="U1308" s="14" t="s">
        <v>2961</v>
      </c>
    </row>
    <row r="1309" spans="1:21">
      <c r="A1309" s="14" t="s">
        <v>6737</v>
      </c>
      <c r="B1309" s="14">
        <v>2730.889873</v>
      </c>
      <c r="C1309" s="14">
        <v>3793.526528</v>
      </c>
      <c r="D1309" s="14">
        <v>1668.253218</v>
      </c>
      <c r="E1309" s="14">
        <v>0.439749534</v>
      </c>
      <c r="F1309" s="14">
        <v>-1.185246046</v>
      </c>
      <c r="G1309" s="51" t="s">
        <v>6738</v>
      </c>
      <c r="H1309" s="51" t="s">
        <v>6739</v>
      </c>
      <c r="I1309" s="14" t="s">
        <v>147</v>
      </c>
      <c r="J1309" s="14">
        <v>11.80154836</v>
      </c>
      <c r="K1309" s="14">
        <v>15.10443179</v>
      </c>
      <c r="L1309" s="14">
        <v>11.14529092</v>
      </c>
      <c r="M1309" s="14">
        <v>23.49809613</v>
      </c>
      <c r="N1309" s="14">
        <v>25.14958351</v>
      </c>
      <c r="O1309" s="14">
        <v>22.42833043</v>
      </c>
      <c r="P1309" s="14" t="s">
        <v>6740</v>
      </c>
      <c r="Q1309" s="14" t="s">
        <v>6741</v>
      </c>
      <c r="T1309" s="14" t="s">
        <v>6342</v>
      </c>
      <c r="U1309" s="14" t="s">
        <v>6343</v>
      </c>
    </row>
    <row r="1310" spans="1:21">
      <c r="A1310" s="14" t="s">
        <v>6742</v>
      </c>
      <c r="B1310" s="14">
        <v>183.7558084</v>
      </c>
      <c r="C1310" s="14">
        <v>119.0133718</v>
      </c>
      <c r="D1310" s="14">
        <v>248.4982449</v>
      </c>
      <c r="E1310" s="14">
        <v>2.085625842</v>
      </c>
      <c r="F1310" s="14">
        <v>1.060480364</v>
      </c>
      <c r="G1310" s="14">
        <v>0.002406204</v>
      </c>
      <c r="H1310" s="14">
        <v>0.007864534</v>
      </c>
      <c r="I1310" s="14" t="s">
        <v>164</v>
      </c>
      <c r="J1310" s="14">
        <v>6.374929508</v>
      </c>
      <c r="K1310" s="14">
        <v>5.01217846</v>
      </c>
      <c r="L1310" s="14">
        <v>6.740325702</v>
      </c>
      <c r="M1310" s="14">
        <v>2.119994937</v>
      </c>
      <c r="N1310" s="14">
        <v>1.520475983</v>
      </c>
      <c r="O1310" s="14">
        <v>3.624758756</v>
      </c>
      <c r="P1310" s="14" t="s">
        <v>6743</v>
      </c>
      <c r="Q1310" s="14" t="s">
        <v>6744</v>
      </c>
      <c r="T1310" s="14" t="s">
        <v>6745</v>
      </c>
      <c r="U1310" s="14" t="s">
        <v>6746</v>
      </c>
    </row>
    <row r="1311" spans="1:21">
      <c r="A1311" s="14" t="s">
        <v>6747</v>
      </c>
      <c r="B1311" s="14">
        <v>1084.052698</v>
      </c>
      <c r="C1311" s="14">
        <v>658.8477322</v>
      </c>
      <c r="D1311" s="14">
        <v>1509.257663</v>
      </c>
      <c r="E1311" s="14">
        <v>2.289983435</v>
      </c>
      <c r="F1311" s="14">
        <v>1.195337162</v>
      </c>
      <c r="G1311" s="51" t="s">
        <v>6748</v>
      </c>
      <c r="H1311" s="51" t="s">
        <v>6749</v>
      </c>
      <c r="I1311" s="14" t="s">
        <v>164</v>
      </c>
      <c r="J1311" s="14">
        <v>6.323177313</v>
      </c>
      <c r="K1311" s="14">
        <v>5.944171856</v>
      </c>
      <c r="L1311" s="14">
        <v>7.228792262</v>
      </c>
      <c r="M1311" s="14">
        <v>2.052475304</v>
      </c>
      <c r="N1311" s="14">
        <v>2.255903409</v>
      </c>
      <c r="O1311" s="14">
        <v>2.728600687</v>
      </c>
      <c r="P1311" s="14" t="s">
        <v>6750</v>
      </c>
      <c r="Q1311" s="14" t="s">
        <v>6751</v>
      </c>
      <c r="T1311" s="14" t="s">
        <v>2771</v>
      </c>
      <c r="U1311" s="14" t="s">
        <v>2772</v>
      </c>
    </row>
    <row r="1312" spans="1:21">
      <c r="A1312" s="14" t="s">
        <v>6752</v>
      </c>
      <c r="B1312" s="14">
        <v>77.74205796</v>
      </c>
      <c r="C1312" s="14">
        <v>14.50386077</v>
      </c>
      <c r="D1312" s="14">
        <v>140.9802551</v>
      </c>
      <c r="E1312" s="14">
        <v>9.650741665</v>
      </c>
      <c r="F1312" s="14">
        <v>3.270639819</v>
      </c>
      <c r="G1312" s="51" t="s">
        <v>6753</v>
      </c>
      <c r="H1312" s="51" t="s">
        <v>6754</v>
      </c>
      <c r="I1312" s="14" t="s">
        <v>164</v>
      </c>
      <c r="J1312" s="14">
        <v>2.288477231</v>
      </c>
      <c r="K1312" s="14">
        <v>1.657339276</v>
      </c>
      <c r="L1312" s="14">
        <v>2.015358854</v>
      </c>
      <c r="M1312" s="14">
        <v>0.107451713</v>
      </c>
      <c r="N1312" s="14">
        <v>0.045816516</v>
      </c>
      <c r="O1312" s="14">
        <v>0.37379184</v>
      </c>
      <c r="P1312" s="14" t="s">
        <v>6755</v>
      </c>
      <c r="Q1312" s="14" t="s">
        <v>6756</v>
      </c>
      <c r="T1312" s="14" t="s">
        <v>6757</v>
      </c>
      <c r="U1312" s="14" t="s">
        <v>6758</v>
      </c>
    </row>
    <row r="1313" spans="1:21">
      <c r="A1313" s="14" t="s">
        <v>6759</v>
      </c>
      <c r="B1313" s="14">
        <v>183.5566254</v>
      </c>
      <c r="C1313" s="14">
        <v>339.6970029</v>
      </c>
      <c r="D1313" s="14">
        <v>27.41624786</v>
      </c>
      <c r="E1313" s="14">
        <v>0.080726382</v>
      </c>
      <c r="F1313" s="14">
        <v>-3.630815954</v>
      </c>
      <c r="G1313" s="14">
        <v>0.000100157</v>
      </c>
      <c r="H1313" s="14">
        <v>0.000473236</v>
      </c>
      <c r="I1313" s="14" t="s">
        <v>147</v>
      </c>
      <c r="J1313" s="14">
        <v>0.336551361</v>
      </c>
      <c r="K1313" s="14">
        <v>0.243475842</v>
      </c>
      <c r="L1313" s="14">
        <v>0.293668761</v>
      </c>
      <c r="M1313" s="14">
        <v>4.265282494</v>
      </c>
      <c r="N1313" s="14">
        <v>4.10929814</v>
      </c>
      <c r="O1313" s="14">
        <v>0.193687299</v>
      </c>
      <c r="P1313" s="14" t="s">
        <v>6760</v>
      </c>
      <c r="Q1313" s="14" t="s">
        <v>6761</v>
      </c>
      <c r="T1313" s="14" t="s">
        <v>6762</v>
      </c>
      <c r="U1313" s="14" t="s">
        <v>6763</v>
      </c>
    </row>
    <row r="1314" spans="1:21">
      <c r="A1314" s="14" t="s">
        <v>6764</v>
      </c>
      <c r="B1314" s="14">
        <v>4405.752805</v>
      </c>
      <c r="C1314" s="14">
        <v>5923.534906</v>
      </c>
      <c r="D1314" s="14">
        <v>2887.970704</v>
      </c>
      <c r="E1314" s="14">
        <v>0.487514682</v>
      </c>
      <c r="F1314" s="14">
        <v>-1.036482426</v>
      </c>
      <c r="G1314" s="14">
        <v>0.000449226</v>
      </c>
      <c r="H1314" s="14">
        <v>0.001806744</v>
      </c>
      <c r="I1314" s="14" t="s">
        <v>147</v>
      </c>
      <c r="J1314" s="14">
        <v>36.17367522</v>
      </c>
      <c r="K1314" s="14">
        <v>31.24023686</v>
      </c>
      <c r="L1314" s="14">
        <v>29.14004878</v>
      </c>
      <c r="M1314" s="14">
        <v>43.28275484</v>
      </c>
      <c r="N1314" s="14">
        <v>38.24258429</v>
      </c>
      <c r="O1314" s="14">
        <v>84.8421812</v>
      </c>
      <c r="P1314" s="14" t="s">
        <v>6765</v>
      </c>
      <c r="Q1314" s="14" t="s">
        <v>6766</v>
      </c>
      <c r="T1314" s="14" t="s">
        <v>6767</v>
      </c>
      <c r="U1314" s="14" t="s">
        <v>6768</v>
      </c>
    </row>
    <row r="1315" spans="1:15">
      <c r="A1315" s="14" t="s">
        <v>6769</v>
      </c>
      <c r="B1315" s="14">
        <v>106.8627966</v>
      </c>
      <c r="C1315" s="14">
        <v>68.75657867</v>
      </c>
      <c r="D1315" s="14">
        <v>144.9690146</v>
      </c>
      <c r="E1315" s="14">
        <v>2.113104287</v>
      </c>
      <c r="F1315" s="14">
        <v>1.079363969</v>
      </c>
      <c r="G1315" s="14">
        <v>0.00034676</v>
      </c>
      <c r="H1315" s="14">
        <v>0.001438816</v>
      </c>
      <c r="I1315" s="14" t="s">
        <v>164</v>
      </c>
      <c r="J1315" s="14">
        <v>5.036000309</v>
      </c>
      <c r="K1315" s="14">
        <v>3.719181698</v>
      </c>
      <c r="L1315" s="14">
        <v>4.332458103</v>
      </c>
      <c r="M1315" s="14">
        <v>2.0651526</v>
      </c>
      <c r="N1315" s="14">
        <v>1.418686263</v>
      </c>
      <c r="O1315" s="14">
        <v>1.596452889</v>
      </c>
    </row>
    <row r="1316" spans="1:21">
      <c r="A1316" s="14" t="s">
        <v>6770</v>
      </c>
      <c r="B1316" s="14">
        <v>354.1580358</v>
      </c>
      <c r="C1316" s="14">
        <v>531.564822</v>
      </c>
      <c r="D1316" s="14">
        <v>176.7512496</v>
      </c>
      <c r="E1316" s="14">
        <v>0.332750631</v>
      </c>
      <c r="F1316" s="14">
        <v>-1.587486691</v>
      </c>
      <c r="G1316" s="51" t="s">
        <v>6771</v>
      </c>
      <c r="H1316" s="51" t="s">
        <v>6772</v>
      </c>
      <c r="I1316" s="14" t="s">
        <v>147</v>
      </c>
      <c r="J1316" s="14">
        <v>3.024126954</v>
      </c>
      <c r="K1316" s="14">
        <v>2.677943888</v>
      </c>
      <c r="L1316" s="14">
        <v>3.150449341</v>
      </c>
      <c r="M1316" s="14">
        <v>8.58233982</v>
      </c>
      <c r="N1316" s="14">
        <v>7.162129649</v>
      </c>
      <c r="O1316" s="14">
        <v>5.948322062</v>
      </c>
      <c r="P1316" s="14" t="s">
        <v>6773</v>
      </c>
      <c r="Q1316" s="14" t="s">
        <v>6774</v>
      </c>
      <c r="T1316" s="14" t="s">
        <v>6775</v>
      </c>
      <c r="U1316" s="14" t="s">
        <v>6776</v>
      </c>
    </row>
    <row r="1317" spans="1:21">
      <c r="A1317" s="14" t="s">
        <v>6777</v>
      </c>
      <c r="B1317" s="14">
        <v>7808.409618</v>
      </c>
      <c r="C1317" s="14">
        <v>12695.27853</v>
      </c>
      <c r="D1317" s="14">
        <v>2921.540708</v>
      </c>
      <c r="E1317" s="14">
        <v>0.230129593</v>
      </c>
      <c r="F1317" s="14">
        <v>-2.119481577</v>
      </c>
      <c r="G1317" s="51" t="s">
        <v>6778</v>
      </c>
      <c r="H1317" s="51" t="s">
        <v>6779</v>
      </c>
      <c r="I1317" s="14" t="s">
        <v>147</v>
      </c>
      <c r="J1317" s="14">
        <v>49.2550629</v>
      </c>
      <c r="K1317" s="14">
        <v>63.18889705</v>
      </c>
      <c r="L1317" s="14">
        <v>50.89404525</v>
      </c>
      <c r="M1317" s="14">
        <v>220.9708183</v>
      </c>
      <c r="N1317" s="14">
        <v>210.539401</v>
      </c>
      <c r="O1317" s="14">
        <v>146.6142422</v>
      </c>
      <c r="P1317" s="14" t="s">
        <v>6780</v>
      </c>
      <c r="Q1317" s="14" t="s">
        <v>6781</v>
      </c>
      <c r="T1317" s="14" t="s">
        <v>6782</v>
      </c>
      <c r="U1317" s="14" t="s">
        <v>6783</v>
      </c>
    </row>
    <row r="1318" spans="1:15">
      <c r="A1318" s="14" t="s">
        <v>6784</v>
      </c>
      <c r="B1318" s="14">
        <v>941.927077</v>
      </c>
      <c r="C1318" s="14">
        <v>1293.850514</v>
      </c>
      <c r="D1318" s="14">
        <v>590.0036398</v>
      </c>
      <c r="E1318" s="14">
        <v>0.456091476</v>
      </c>
      <c r="F1318" s="14">
        <v>-1.132604887</v>
      </c>
      <c r="G1318" s="51" t="s">
        <v>6785</v>
      </c>
      <c r="H1318" s="51" t="s">
        <v>6786</v>
      </c>
      <c r="I1318" s="14" t="s">
        <v>147</v>
      </c>
      <c r="J1318" s="14">
        <v>10.43596654</v>
      </c>
      <c r="K1318" s="14">
        <v>10.83785473</v>
      </c>
      <c r="L1318" s="14">
        <v>9.897036446</v>
      </c>
      <c r="M1318" s="14">
        <v>20.47090462</v>
      </c>
      <c r="N1318" s="14">
        <v>19.81130118</v>
      </c>
      <c r="O1318" s="14">
        <v>15.54354989</v>
      </c>
    </row>
    <row r="1319" spans="1:21">
      <c r="A1319" s="14" t="s">
        <v>6787</v>
      </c>
      <c r="B1319" s="14">
        <v>52.74248542</v>
      </c>
      <c r="C1319" s="14">
        <v>83.64055803</v>
      </c>
      <c r="D1319" s="14">
        <v>21.84441281</v>
      </c>
      <c r="E1319" s="14">
        <v>0.261761456</v>
      </c>
      <c r="F1319" s="14">
        <v>-1.933675419</v>
      </c>
      <c r="G1319" s="51" t="s">
        <v>6788</v>
      </c>
      <c r="H1319" s="51" t="s">
        <v>6789</v>
      </c>
      <c r="I1319" s="14" t="s">
        <v>147</v>
      </c>
      <c r="J1319" s="14">
        <v>0.2312161</v>
      </c>
      <c r="K1319" s="14">
        <v>0.232725911</v>
      </c>
      <c r="L1319" s="14">
        <v>0.265031299</v>
      </c>
      <c r="M1319" s="14">
        <v>0.979716003</v>
      </c>
      <c r="N1319" s="14">
        <v>0.732054006</v>
      </c>
      <c r="O1319" s="14">
        <v>0.553002528</v>
      </c>
      <c r="P1319" s="14" t="s">
        <v>6790</v>
      </c>
      <c r="Q1319" s="14" t="s">
        <v>6791</v>
      </c>
      <c r="T1319" s="14" t="s">
        <v>6792</v>
      </c>
      <c r="U1319" s="14" t="s">
        <v>6793</v>
      </c>
    </row>
    <row r="1320" spans="1:21">
      <c r="A1320" s="14" t="s">
        <v>6794</v>
      </c>
      <c r="B1320" s="14">
        <v>669.8439668</v>
      </c>
      <c r="C1320" s="14">
        <v>982.9448609</v>
      </c>
      <c r="D1320" s="14">
        <v>356.7430726</v>
      </c>
      <c r="E1320" s="14">
        <v>0.362854216</v>
      </c>
      <c r="F1320" s="14">
        <v>-1.462538064</v>
      </c>
      <c r="G1320" s="51" t="s">
        <v>347</v>
      </c>
      <c r="H1320" s="51" t="s">
        <v>6795</v>
      </c>
      <c r="I1320" s="14" t="s">
        <v>147</v>
      </c>
      <c r="J1320" s="14">
        <v>2.620883924</v>
      </c>
      <c r="K1320" s="14">
        <v>1.536478466</v>
      </c>
      <c r="L1320" s="14">
        <v>1.907497567</v>
      </c>
      <c r="M1320" s="14">
        <v>3.634920125</v>
      </c>
      <c r="N1320" s="14">
        <v>3.800530143</v>
      </c>
      <c r="O1320" s="14">
        <v>6.525446626</v>
      </c>
      <c r="P1320" s="14" t="s">
        <v>6796</v>
      </c>
      <c r="Q1320" s="14" t="s">
        <v>6797</v>
      </c>
      <c r="R1320" s="14" t="s">
        <v>6798</v>
      </c>
      <c r="S1320" s="14" t="s">
        <v>6799</v>
      </c>
      <c r="T1320" s="14" t="s">
        <v>6800</v>
      </c>
      <c r="U1320" s="14" t="s">
        <v>6801</v>
      </c>
    </row>
    <row r="1321" spans="1:15">
      <c r="A1321" s="14" t="s">
        <v>6802</v>
      </c>
      <c r="B1321" s="14">
        <v>16.88760191</v>
      </c>
      <c r="C1321" s="14">
        <v>25.57473731</v>
      </c>
      <c r="D1321" s="14">
        <v>8.200466518</v>
      </c>
      <c r="E1321" s="14">
        <v>0.319133066</v>
      </c>
      <c r="F1321" s="14">
        <v>-1.647769997</v>
      </c>
      <c r="G1321" s="14">
        <v>0.011624427</v>
      </c>
      <c r="H1321" s="14">
        <v>0.030740189</v>
      </c>
      <c r="I1321" s="14" t="s">
        <v>147</v>
      </c>
      <c r="J1321" s="14">
        <v>0.242151563</v>
      </c>
      <c r="K1321" s="14">
        <v>0.243732781</v>
      </c>
      <c r="L1321" s="14">
        <v>0.181343164</v>
      </c>
      <c r="M1321" s="14">
        <v>0.391346789</v>
      </c>
      <c r="N1321" s="14">
        <v>0.419621464</v>
      </c>
      <c r="O1321" s="14">
        <v>0.94595646</v>
      </c>
    </row>
    <row r="1322" spans="1:21">
      <c r="A1322" s="14" t="s">
        <v>6803</v>
      </c>
      <c r="B1322" s="14">
        <v>56.04086097</v>
      </c>
      <c r="C1322" s="14">
        <v>95.18130864</v>
      </c>
      <c r="D1322" s="14">
        <v>16.9004133</v>
      </c>
      <c r="E1322" s="14">
        <v>0.177379534</v>
      </c>
      <c r="F1322" s="14">
        <v>-2.495088533</v>
      </c>
      <c r="G1322" s="14">
        <v>0.007320185</v>
      </c>
      <c r="H1322" s="14">
        <v>0.020602696</v>
      </c>
      <c r="I1322" s="14" t="s">
        <v>147</v>
      </c>
      <c r="J1322" s="14">
        <v>0.044317006</v>
      </c>
      <c r="K1322" s="14">
        <v>0.565014277</v>
      </c>
      <c r="L1322" s="14">
        <v>0.142235348</v>
      </c>
      <c r="M1322" s="14">
        <v>1.124882734</v>
      </c>
      <c r="N1322" s="14">
        <v>1.721856002</v>
      </c>
      <c r="O1322" s="14">
        <v>0.593563907</v>
      </c>
      <c r="P1322" s="14" t="s">
        <v>6804</v>
      </c>
      <c r="Q1322" s="14" t="s">
        <v>6805</v>
      </c>
      <c r="T1322" s="14" t="s">
        <v>6806</v>
      </c>
      <c r="U1322" s="14" t="s">
        <v>6807</v>
      </c>
    </row>
    <row r="1323" spans="1:21">
      <c r="A1323" s="14" t="s">
        <v>6808</v>
      </c>
      <c r="B1323" s="14">
        <v>12549.83853</v>
      </c>
      <c r="C1323" s="14">
        <v>7753.268768</v>
      </c>
      <c r="D1323" s="14">
        <v>17346.4083</v>
      </c>
      <c r="E1323" s="14">
        <v>2.237361226</v>
      </c>
      <c r="F1323" s="14">
        <v>1.161798201</v>
      </c>
      <c r="G1323" s="14">
        <v>0.002609749</v>
      </c>
      <c r="H1323" s="14">
        <v>0.008429276</v>
      </c>
      <c r="I1323" s="14" t="s">
        <v>164</v>
      </c>
      <c r="J1323" s="14">
        <v>113.9684588</v>
      </c>
      <c r="K1323" s="14">
        <v>82.26798503</v>
      </c>
      <c r="L1323" s="14">
        <v>127.9840045</v>
      </c>
      <c r="M1323" s="14">
        <v>44.79215055</v>
      </c>
      <c r="N1323" s="14">
        <v>50.71381223</v>
      </c>
      <c r="O1323" s="14">
        <v>21.3112289</v>
      </c>
      <c r="P1323" s="14" t="s">
        <v>5783</v>
      </c>
      <c r="Q1323" s="14" t="s">
        <v>5784</v>
      </c>
      <c r="T1323" s="14" t="s">
        <v>5785</v>
      </c>
      <c r="U1323" s="14" t="s">
        <v>5786</v>
      </c>
    </row>
    <row r="1324" spans="1:15">
      <c r="A1324" s="14" t="s">
        <v>6809</v>
      </c>
      <c r="B1324" s="14">
        <v>19.91876712</v>
      </c>
      <c r="C1324" s="14">
        <v>37.91881056</v>
      </c>
      <c r="D1324" s="14">
        <v>1.918723679</v>
      </c>
      <c r="E1324" s="14">
        <v>0.051268901</v>
      </c>
      <c r="F1324" s="14">
        <v>-4.28577221</v>
      </c>
      <c r="G1324" s="51" t="s">
        <v>527</v>
      </c>
      <c r="H1324" s="51" t="s">
        <v>3253</v>
      </c>
      <c r="I1324" s="14" t="s">
        <v>147</v>
      </c>
      <c r="J1324" s="14">
        <v>0.045282518</v>
      </c>
      <c r="K1324" s="14">
        <v>0.045578207</v>
      </c>
      <c r="L1324" s="14">
        <v>0.174400988</v>
      </c>
      <c r="M1324" s="14">
        <v>1.975917611</v>
      </c>
      <c r="N1324" s="14">
        <v>1.523960649</v>
      </c>
      <c r="O1324" s="14">
        <v>0.682307531</v>
      </c>
    </row>
    <row r="1325" spans="1:21">
      <c r="A1325" s="14" t="s">
        <v>6810</v>
      </c>
      <c r="B1325" s="14">
        <v>3876.688469</v>
      </c>
      <c r="C1325" s="14">
        <v>6095.551405</v>
      </c>
      <c r="D1325" s="14">
        <v>1657.825532</v>
      </c>
      <c r="E1325" s="14">
        <v>0.271982373</v>
      </c>
      <c r="F1325" s="14">
        <v>-1.878414938</v>
      </c>
      <c r="G1325" s="51" t="s">
        <v>6811</v>
      </c>
      <c r="H1325" s="51" t="s">
        <v>2491</v>
      </c>
      <c r="I1325" s="14" t="s">
        <v>147</v>
      </c>
      <c r="J1325" s="14">
        <v>9.151338189</v>
      </c>
      <c r="K1325" s="14">
        <v>11.12603345</v>
      </c>
      <c r="L1325" s="14">
        <v>9.941765667</v>
      </c>
      <c r="M1325" s="14">
        <v>35.11578628</v>
      </c>
      <c r="N1325" s="14">
        <v>34.24787093</v>
      </c>
      <c r="O1325" s="14">
        <v>20.85996297</v>
      </c>
      <c r="P1325" s="14" t="s">
        <v>6812</v>
      </c>
      <c r="Q1325" s="14" t="s">
        <v>6813</v>
      </c>
      <c r="R1325" s="14" t="s">
        <v>6814</v>
      </c>
      <c r="S1325" s="14" t="s">
        <v>6815</v>
      </c>
      <c r="T1325" s="14" t="s">
        <v>6816</v>
      </c>
      <c r="U1325" s="14" t="s">
        <v>6817</v>
      </c>
    </row>
    <row r="1326" spans="1:15">
      <c r="A1326" s="14" t="s">
        <v>6818</v>
      </c>
      <c r="B1326" s="14">
        <v>31.87274602</v>
      </c>
      <c r="C1326" s="14">
        <v>10.04615738</v>
      </c>
      <c r="D1326" s="14">
        <v>53.69933466</v>
      </c>
      <c r="E1326" s="14">
        <v>5.31966814</v>
      </c>
      <c r="F1326" s="14">
        <v>2.411336248</v>
      </c>
      <c r="G1326" s="14">
        <v>0.010352189</v>
      </c>
      <c r="H1326" s="14">
        <v>0.02780931</v>
      </c>
      <c r="I1326" s="14" t="s">
        <v>164</v>
      </c>
      <c r="J1326" s="14">
        <v>3.78349891</v>
      </c>
      <c r="K1326" s="14">
        <v>0.692400848</v>
      </c>
      <c r="L1326" s="14">
        <v>3.548317983</v>
      </c>
      <c r="M1326" s="14">
        <v>0.0840816</v>
      </c>
      <c r="N1326" s="14">
        <v>0.483997881</v>
      </c>
      <c r="O1326" s="14">
        <v>0.699244242</v>
      </c>
    </row>
    <row r="1327" spans="1:21">
      <c r="A1327" s="14" t="s">
        <v>6819</v>
      </c>
      <c r="B1327" s="14">
        <v>161.1629558</v>
      </c>
      <c r="C1327" s="14">
        <v>100.2696796</v>
      </c>
      <c r="D1327" s="14">
        <v>222.0562319</v>
      </c>
      <c r="E1327" s="14">
        <v>2.209759201</v>
      </c>
      <c r="F1327" s="14">
        <v>1.143889167</v>
      </c>
      <c r="G1327" s="51" t="s">
        <v>5170</v>
      </c>
      <c r="H1327" s="14">
        <v>0.000402304</v>
      </c>
      <c r="I1327" s="14" t="s">
        <v>164</v>
      </c>
      <c r="J1327" s="14">
        <v>4.504128397</v>
      </c>
      <c r="K1327" s="14">
        <v>5.016277798</v>
      </c>
      <c r="L1327" s="14">
        <v>4.497419621</v>
      </c>
      <c r="M1327" s="14">
        <v>1.12399828</v>
      </c>
      <c r="N1327" s="14">
        <v>1.882820953</v>
      </c>
      <c r="O1327" s="14">
        <v>2.269224443</v>
      </c>
      <c r="P1327" s="14" t="s">
        <v>6820</v>
      </c>
      <c r="Q1327" s="14" t="s">
        <v>6821</v>
      </c>
      <c r="T1327" s="14" t="s">
        <v>1429</v>
      </c>
      <c r="U1327" s="14" t="s">
        <v>1430</v>
      </c>
    </row>
    <row r="1328" spans="1:21">
      <c r="A1328" s="14" t="s">
        <v>6822</v>
      </c>
      <c r="B1328" s="14">
        <v>68.46053855</v>
      </c>
      <c r="C1328" s="14">
        <v>121.7975728</v>
      </c>
      <c r="D1328" s="14">
        <v>15.12350429</v>
      </c>
      <c r="E1328" s="14">
        <v>0.124318068</v>
      </c>
      <c r="F1328" s="14">
        <v>-3.007892109</v>
      </c>
      <c r="G1328" s="14">
        <v>0.000433577</v>
      </c>
      <c r="H1328" s="14">
        <v>0.001753306</v>
      </c>
      <c r="I1328" s="14" t="s">
        <v>147</v>
      </c>
      <c r="J1328" s="14">
        <v>0.249665776</v>
      </c>
      <c r="K1328" s="14">
        <v>0.025129606</v>
      </c>
      <c r="L1328" s="14">
        <v>0.30048819</v>
      </c>
      <c r="M1328" s="14">
        <v>0.640838144</v>
      </c>
      <c r="N1328" s="14">
        <v>0.932458981</v>
      </c>
      <c r="O1328" s="14">
        <v>2.340745114</v>
      </c>
      <c r="P1328" s="14" t="s">
        <v>6823</v>
      </c>
      <c r="Q1328" s="14" t="s">
        <v>6824</v>
      </c>
      <c r="T1328" s="14" t="s">
        <v>6825</v>
      </c>
      <c r="U1328" s="14" t="s">
        <v>6826</v>
      </c>
    </row>
    <row r="1329" spans="1:21">
      <c r="A1329" s="14" t="s">
        <v>6827</v>
      </c>
      <c r="B1329" s="14">
        <v>292.7271817</v>
      </c>
      <c r="C1329" s="14">
        <v>194.301957</v>
      </c>
      <c r="D1329" s="14">
        <v>391.1524064</v>
      </c>
      <c r="E1329" s="14">
        <v>2.014252575</v>
      </c>
      <c r="F1329" s="14">
        <v>1.0102446</v>
      </c>
      <c r="G1329" s="51" t="s">
        <v>4086</v>
      </c>
      <c r="H1329" s="51" t="s">
        <v>6728</v>
      </c>
      <c r="I1329" s="14" t="s">
        <v>164</v>
      </c>
      <c r="J1329" s="14">
        <v>4.945610112</v>
      </c>
      <c r="K1329" s="14">
        <v>4.311669634</v>
      </c>
      <c r="L1329" s="14">
        <v>5.555524231</v>
      </c>
      <c r="M1329" s="14">
        <v>2.008864412</v>
      </c>
      <c r="N1329" s="14">
        <v>1.855506974</v>
      </c>
      <c r="O1329" s="14">
        <v>2.19543748</v>
      </c>
      <c r="P1329" s="14" t="s">
        <v>6828</v>
      </c>
      <c r="Q1329" s="14" t="s">
        <v>6829</v>
      </c>
      <c r="R1329" s="14" t="s">
        <v>1313</v>
      </c>
      <c r="S1329" s="14" t="s">
        <v>1314</v>
      </c>
      <c r="T1329" s="14" t="s">
        <v>6830</v>
      </c>
      <c r="U1329" s="14" t="s">
        <v>6831</v>
      </c>
    </row>
    <row r="1330" spans="1:21">
      <c r="A1330" s="14" t="s">
        <v>6832</v>
      </c>
      <c r="B1330" s="14">
        <v>5693.963336</v>
      </c>
      <c r="C1330" s="14">
        <v>11118.24179</v>
      </c>
      <c r="D1330" s="14">
        <v>269.6848878</v>
      </c>
      <c r="E1330" s="14">
        <v>0.024251404</v>
      </c>
      <c r="F1330" s="14">
        <v>-5.365787933</v>
      </c>
      <c r="G1330" s="51" t="s">
        <v>6833</v>
      </c>
      <c r="H1330" s="51" t="s">
        <v>6834</v>
      </c>
      <c r="I1330" s="14" t="s">
        <v>147</v>
      </c>
      <c r="J1330" s="14">
        <v>2.193373231</v>
      </c>
      <c r="K1330" s="14">
        <v>6.68510094</v>
      </c>
      <c r="L1330" s="14">
        <v>1.115266792</v>
      </c>
      <c r="M1330" s="14">
        <v>136.7626674</v>
      </c>
      <c r="N1330" s="14">
        <v>141.8684088</v>
      </c>
      <c r="O1330" s="14">
        <v>55.70105052</v>
      </c>
      <c r="P1330" s="14" t="s">
        <v>6413</v>
      </c>
      <c r="Q1330" s="14" t="s">
        <v>6835</v>
      </c>
      <c r="R1330" s="14" t="s">
        <v>771</v>
      </c>
      <c r="S1330" s="14" t="s">
        <v>772</v>
      </c>
      <c r="T1330" s="14" t="s">
        <v>6836</v>
      </c>
      <c r="U1330" s="14" t="s">
        <v>6837</v>
      </c>
    </row>
    <row r="1331" spans="1:21">
      <c r="A1331" s="14" t="s">
        <v>6838</v>
      </c>
      <c r="B1331" s="14">
        <v>2406.042435</v>
      </c>
      <c r="C1331" s="14">
        <v>3864.194307</v>
      </c>
      <c r="D1331" s="14">
        <v>947.8905633</v>
      </c>
      <c r="E1331" s="14">
        <v>0.245316076</v>
      </c>
      <c r="F1331" s="14">
        <v>-2.027286316</v>
      </c>
      <c r="G1331" s="51" t="s">
        <v>6839</v>
      </c>
      <c r="H1331" s="51" t="s">
        <v>6840</v>
      </c>
      <c r="I1331" s="14" t="s">
        <v>147</v>
      </c>
      <c r="J1331" s="14">
        <v>11.1839276</v>
      </c>
      <c r="K1331" s="14">
        <v>15.62816523</v>
      </c>
      <c r="L1331" s="14">
        <v>14.89400894</v>
      </c>
      <c r="M1331" s="14">
        <v>50.81463592</v>
      </c>
      <c r="N1331" s="14">
        <v>56.23786493</v>
      </c>
      <c r="O1331" s="14">
        <v>30.89479916</v>
      </c>
      <c r="P1331" s="14" t="s">
        <v>159</v>
      </c>
      <c r="Q1331" s="14" t="s">
        <v>160</v>
      </c>
      <c r="T1331" s="14" t="s">
        <v>161</v>
      </c>
      <c r="U1331" s="14" t="s">
        <v>162</v>
      </c>
    </row>
    <row r="1332" spans="1:21">
      <c r="A1332" s="14" t="s">
        <v>6841</v>
      </c>
      <c r="B1332" s="14">
        <v>1891.398605</v>
      </c>
      <c r="C1332" s="14">
        <v>2669.265996</v>
      </c>
      <c r="D1332" s="14">
        <v>1113.531214</v>
      </c>
      <c r="E1332" s="14">
        <v>0.417141948</v>
      </c>
      <c r="F1332" s="14">
        <v>-1.261389698</v>
      </c>
      <c r="G1332" s="51" t="s">
        <v>6842</v>
      </c>
      <c r="H1332" s="51" t="s">
        <v>6843</v>
      </c>
      <c r="I1332" s="14" t="s">
        <v>147</v>
      </c>
      <c r="J1332" s="14">
        <v>13.65142909</v>
      </c>
      <c r="K1332" s="14">
        <v>10.43880753</v>
      </c>
      <c r="L1332" s="14">
        <v>9.610243425</v>
      </c>
      <c r="M1332" s="14">
        <v>21.16962903</v>
      </c>
      <c r="N1332" s="14">
        <v>23.01880649</v>
      </c>
      <c r="O1332" s="14">
        <v>22.30266579</v>
      </c>
      <c r="P1332" s="14" t="s">
        <v>6844</v>
      </c>
      <c r="Q1332" s="14" t="s">
        <v>6845</v>
      </c>
      <c r="T1332" s="14" t="s">
        <v>6846</v>
      </c>
      <c r="U1332" s="14" t="s">
        <v>6847</v>
      </c>
    </row>
    <row r="1333" spans="1:15">
      <c r="A1333" s="14" t="s">
        <v>6848</v>
      </c>
      <c r="B1333" s="14">
        <v>23608.58427</v>
      </c>
      <c r="C1333" s="14">
        <v>998.3312563</v>
      </c>
      <c r="D1333" s="14">
        <v>46218.83729</v>
      </c>
      <c r="E1333" s="14">
        <v>46.28788884</v>
      </c>
      <c r="F1333" s="14">
        <v>5.532562859</v>
      </c>
      <c r="G1333" s="51" t="s">
        <v>6849</v>
      </c>
      <c r="H1333" s="51" t="s">
        <v>6850</v>
      </c>
      <c r="I1333" s="14" t="s">
        <v>164</v>
      </c>
      <c r="J1333" s="14">
        <v>939.0362579</v>
      </c>
      <c r="K1333" s="14">
        <v>506.3200984</v>
      </c>
      <c r="L1333" s="14">
        <v>711.2002549</v>
      </c>
      <c r="M1333" s="14">
        <v>10.60409118</v>
      </c>
      <c r="N1333" s="14">
        <v>10.89371676</v>
      </c>
      <c r="O1333" s="14">
        <v>17.29573778</v>
      </c>
    </row>
    <row r="1334" spans="1:15">
      <c r="A1334" s="14" t="s">
        <v>6851</v>
      </c>
      <c r="B1334" s="14">
        <v>228.3246179</v>
      </c>
      <c r="C1334" s="14">
        <v>1.355951503</v>
      </c>
      <c r="D1334" s="14">
        <v>455.2932843</v>
      </c>
      <c r="E1334" s="14">
        <v>338.8504161</v>
      </c>
      <c r="F1334" s="14">
        <v>8.404504733</v>
      </c>
      <c r="G1334" s="51" t="s">
        <v>6852</v>
      </c>
      <c r="H1334" s="51" t="s">
        <v>6853</v>
      </c>
      <c r="I1334" s="14" t="s">
        <v>164</v>
      </c>
      <c r="J1334" s="14">
        <v>28.17478279</v>
      </c>
      <c r="K1334" s="14">
        <v>15.54824571</v>
      </c>
      <c r="L1334" s="14">
        <v>27.17748737</v>
      </c>
      <c r="M1334" s="14">
        <v>0</v>
      </c>
      <c r="N1334" s="14">
        <v>0.168502966</v>
      </c>
      <c r="O1334" s="14">
        <v>0</v>
      </c>
    </row>
    <row r="1335" spans="1:21">
      <c r="A1335" s="14" t="s">
        <v>6854</v>
      </c>
      <c r="B1335" s="14">
        <v>1834.637576</v>
      </c>
      <c r="C1335" s="14">
        <v>2482.691089</v>
      </c>
      <c r="D1335" s="14">
        <v>1186.584064</v>
      </c>
      <c r="E1335" s="14">
        <v>0.477987547</v>
      </c>
      <c r="F1335" s="14">
        <v>-1.064955063</v>
      </c>
      <c r="G1335" s="14">
        <v>0.003753924</v>
      </c>
      <c r="H1335" s="14">
        <v>0.011564968</v>
      </c>
      <c r="I1335" s="14" t="s">
        <v>147</v>
      </c>
      <c r="J1335" s="14">
        <v>5.895832641</v>
      </c>
      <c r="K1335" s="14">
        <v>5.894268661</v>
      </c>
      <c r="L1335" s="14">
        <v>6.093576799</v>
      </c>
      <c r="M1335" s="14">
        <v>12.79628367</v>
      </c>
      <c r="N1335" s="14">
        <v>11.85177864</v>
      </c>
      <c r="O1335" s="14">
        <v>5.539308175</v>
      </c>
      <c r="P1335" s="14" t="s">
        <v>6855</v>
      </c>
      <c r="Q1335" s="14" t="s">
        <v>6856</v>
      </c>
      <c r="T1335" s="14" t="s">
        <v>6857</v>
      </c>
      <c r="U1335" s="14" t="s">
        <v>6858</v>
      </c>
    </row>
    <row r="1336" spans="1:21">
      <c r="A1336" s="14" t="s">
        <v>6859</v>
      </c>
      <c r="B1336" s="14">
        <v>82.32484969</v>
      </c>
      <c r="C1336" s="14">
        <v>12.63223848</v>
      </c>
      <c r="D1336" s="14">
        <v>152.0174609</v>
      </c>
      <c r="E1336" s="14">
        <v>12.01030972</v>
      </c>
      <c r="F1336" s="14">
        <v>3.58620145</v>
      </c>
      <c r="G1336" s="51" t="s">
        <v>6860</v>
      </c>
      <c r="H1336" s="51" t="s">
        <v>6861</v>
      </c>
      <c r="I1336" s="14" t="s">
        <v>164</v>
      </c>
      <c r="J1336" s="14">
        <v>6.298386615</v>
      </c>
      <c r="K1336" s="14">
        <v>2.063028369</v>
      </c>
      <c r="L1336" s="14">
        <v>1.439009697</v>
      </c>
      <c r="M1336" s="14">
        <v>0.182673431</v>
      </c>
      <c r="N1336" s="14">
        <v>0.210304164</v>
      </c>
      <c r="O1336" s="14">
        <v>0.285959396</v>
      </c>
      <c r="Q1336" s="14" t="s">
        <v>6862</v>
      </c>
      <c r="T1336" s="14" t="s">
        <v>6863</v>
      </c>
      <c r="U1336" s="14" t="s">
        <v>6864</v>
      </c>
    </row>
    <row r="1337" spans="1:21">
      <c r="A1337" s="14" t="s">
        <v>6865</v>
      </c>
      <c r="B1337" s="14">
        <v>30.13805998</v>
      </c>
      <c r="C1337" s="14">
        <v>7.944269897</v>
      </c>
      <c r="D1337" s="14">
        <v>52.33185006</v>
      </c>
      <c r="E1337" s="14">
        <v>6.551565473</v>
      </c>
      <c r="F1337" s="14">
        <v>2.711839675</v>
      </c>
      <c r="G1337" s="51" t="s">
        <v>6866</v>
      </c>
      <c r="H1337" s="51" t="s">
        <v>5134</v>
      </c>
      <c r="I1337" s="14" t="s">
        <v>164</v>
      </c>
      <c r="J1337" s="14">
        <v>1.801488696</v>
      </c>
      <c r="K1337" s="14">
        <v>1.087951309</v>
      </c>
      <c r="L1337" s="14">
        <v>1.879109242</v>
      </c>
      <c r="M1337" s="14">
        <v>0.154134418</v>
      </c>
      <c r="N1337" s="14">
        <v>0.172519288</v>
      </c>
      <c r="O1337" s="14">
        <v>0.276471307</v>
      </c>
      <c r="P1337" s="14" t="s">
        <v>6867</v>
      </c>
      <c r="Q1337" s="14" t="s">
        <v>6868</v>
      </c>
      <c r="T1337" s="14" t="s">
        <v>6869</v>
      </c>
      <c r="U1337" s="14" t="s">
        <v>6870</v>
      </c>
    </row>
    <row r="1338" spans="1:21">
      <c r="A1338" s="14" t="s">
        <v>6871</v>
      </c>
      <c r="B1338" s="14">
        <v>454.1720104</v>
      </c>
      <c r="C1338" s="14">
        <v>243.9265143</v>
      </c>
      <c r="D1338" s="14">
        <v>664.4175065</v>
      </c>
      <c r="E1338" s="14">
        <v>2.727117011</v>
      </c>
      <c r="F1338" s="14">
        <v>1.447376603</v>
      </c>
      <c r="G1338" s="51" t="s">
        <v>6872</v>
      </c>
      <c r="H1338" s="51" t="s">
        <v>6873</v>
      </c>
      <c r="I1338" s="14" t="s">
        <v>164</v>
      </c>
      <c r="J1338" s="14">
        <v>6.433352043</v>
      </c>
      <c r="K1338" s="14">
        <v>5.405358321</v>
      </c>
      <c r="L1338" s="14">
        <v>6.617894651</v>
      </c>
      <c r="M1338" s="14">
        <v>1.928871954</v>
      </c>
      <c r="N1338" s="14">
        <v>1.955837999</v>
      </c>
      <c r="O1338" s="14">
        <v>1.657032574</v>
      </c>
      <c r="P1338" s="14" t="s">
        <v>6874</v>
      </c>
      <c r="Q1338" s="14" t="s">
        <v>6875</v>
      </c>
      <c r="T1338" s="14" t="s">
        <v>6876</v>
      </c>
      <c r="U1338" s="14" t="s">
        <v>6877</v>
      </c>
    </row>
    <row r="1339" spans="1:21">
      <c r="A1339" s="14" t="s">
        <v>6878</v>
      </c>
      <c r="B1339" s="14">
        <v>1227.097321</v>
      </c>
      <c r="C1339" s="14">
        <v>1965.827885</v>
      </c>
      <c r="D1339" s="14">
        <v>488.366758</v>
      </c>
      <c r="E1339" s="14">
        <v>0.248539476</v>
      </c>
      <c r="F1339" s="14">
        <v>-2.008453079</v>
      </c>
      <c r="G1339" s="51" t="s">
        <v>6879</v>
      </c>
      <c r="H1339" s="51" t="s">
        <v>6880</v>
      </c>
      <c r="I1339" s="14" t="s">
        <v>147</v>
      </c>
      <c r="J1339" s="14">
        <v>9.857188638</v>
      </c>
      <c r="K1339" s="14">
        <v>8.681360445</v>
      </c>
      <c r="L1339" s="14">
        <v>12.40665238</v>
      </c>
      <c r="M1339" s="14">
        <v>34.96793457</v>
      </c>
      <c r="N1339" s="14">
        <v>34.50755354</v>
      </c>
      <c r="O1339" s="14">
        <v>32.53378048</v>
      </c>
      <c r="P1339" s="14" t="s">
        <v>6881</v>
      </c>
      <c r="Q1339" s="14" t="s">
        <v>6882</v>
      </c>
      <c r="T1339" s="14" t="s">
        <v>6883</v>
      </c>
      <c r="U1339" s="14" t="s">
        <v>6884</v>
      </c>
    </row>
    <row r="1340" spans="1:21">
      <c r="A1340" s="14" t="s">
        <v>6885</v>
      </c>
      <c r="B1340" s="14">
        <v>4.816109307</v>
      </c>
      <c r="C1340" s="14">
        <v>9.632218614</v>
      </c>
      <c r="D1340" s="14">
        <v>0</v>
      </c>
      <c r="E1340" s="14">
        <v>0.018702064</v>
      </c>
      <c r="F1340" s="14">
        <v>-5.740658695</v>
      </c>
      <c r="G1340" s="14">
        <v>0.000807976</v>
      </c>
      <c r="H1340" s="14">
        <v>0.003035108</v>
      </c>
      <c r="I1340" s="14" t="s">
        <v>147</v>
      </c>
      <c r="J1340" s="14">
        <v>0</v>
      </c>
      <c r="K1340" s="14">
        <v>0</v>
      </c>
      <c r="L1340" s="14">
        <v>0</v>
      </c>
      <c r="M1340" s="14">
        <v>0.120710603</v>
      </c>
      <c r="N1340" s="14">
        <v>0.165439276</v>
      </c>
      <c r="O1340" s="14">
        <v>0.202459253</v>
      </c>
      <c r="P1340" s="14" t="s">
        <v>6886</v>
      </c>
      <c r="Q1340" s="14" t="s">
        <v>6887</v>
      </c>
      <c r="T1340" s="14" t="s">
        <v>6888</v>
      </c>
      <c r="U1340" s="14" t="s">
        <v>6889</v>
      </c>
    </row>
    <row r="1341" spans="1:21">
      <c r="A1341" s="14" t="s">
        <v>6890</v>
      </c>
      <c r="B1341" s="14">
        <v>505.4773468</v>
      </c>
      <c r="C1341" s="14">
        <v>975.2672281</v>
      </c>
      <c r="D1341" s="14">
        <v>35.68746557</v>
      </c>
      <c r="E1341" s="14">
        <v>0.036590878</v>
      </c>
      <c r="F1341" s="14">
        <v>-4.772372139</v>
      </c>
      <c r="G1341" s="51" t="s">
        <v>6056</v>
      </c>
      <c r="H1341" s="51" t="s">
        <v>3850</v>
      </c>
      <c r="I1341" s="14" t="s">
        <v>147</v>
      </c>
      <c r="J1341" s="14">
        <v>0.588414783</v>
      </c>
      <c r="K1341" s="14">
        <v>0.50558529</v>
      </c>
      <c r="L1341" s="14">
        <v>0.456007556</v>
      </c>
      <c r="M1341" s="14">
        <v>17.3995355</v>
      </c>
      <c r="N1341" s="14">
        <v>15.12599904</v>
      </c>
      <c r="O1341" s="14">
        <v>1.057205661</v>
      </c>
      <c r="P1341" s="14" t="s">
        <v>6886</v>
      </c>
      <c r="Q1341" s="14" t="s">
        <v>6887</v>
      </c>
      <c r="T1341" s="14" t="s">
        <v>6888</v>
      </c>
      <c r="U1341" s="14" t="s">
        <v>6889</v>
      </c>
    </row>
    <row r="1342" spans="1:15">
      <c r="A1342" s="14" t="s">
        <v>6891</v>
      </c>
      <c r="B1342" s="14">
        <v>844.3503446</v>
      </c>
      <c r="C1342" s="14">
        <v>550.2469265</v>
      </c>
      <c r="D1342" s="14">
        <v>1138.453763</v>
      </c>
      <c r="E1342" s="14">
        <v>2.069990949</v>
      </c>
      <c r="F1342" s="14">
        <v>1.04962446</v>
      </c>
      <c r="G1342" s="51" t="s">
        <v>3579</v>
      </c>
      <c r="H1342" s="51" t="s">
        <v>3580</v>
      </c>
      <c r="I1342" s="14" t="s">
        <v>164</v>
      </c>
      <c r="J1342" s="14">
        <v>11.80071467</v>
      </c>
      <c r="K1342" s="14">
        <v>11.25105519</v>
      </c>
      <c r="L1342" s="14">
        <v>11.01972922</v>
      </c>
      <c r="M1342" s="14">
        <v>4.557858455</v>
      </c>
      <c r="N1342" s="14">
        <v>5.127201521</v>
      </c>
      <c r="O1342" s="14">
        <v>3.772644777</v>
      </c>
    </row>
    <row r="1343" spans="1:15">
      <c r="A1343" s="14" t="s">
        <v>6892</v>
      </c>
      <c r="B1343" s="14">
        <v>261.5819399</v>
      </c>
      <c r="C1343" s="14">
        <v>128.8490077</v>
      </c>
      <c r="D1343" s="14">
        <v>394.314872</v>
      </c>
      <c r="E1343" s="14">
        <v>3.06247788</v>
      </c>
      <c r="F1343" s="14">
        <v>1.614699424</v>
      </c>
      <c r="G1343" s="14">
        <v>0.003574258</v>
      </c>
      <c r="H1343" s="14">
        <v>0.011084306</v>
      </c>
      <c r="I1343" s="14" t="s">
        <v>164</v>
      </c>
      <c r="J1343" s="14">
        <v>4.811473383</v>
      </c>
      <c r="K1343" s="14">
        <v>3.092688524</v>
      </c>
      <c r="L1343" s="14">
        <v>3.900240287</v>
      </c>
      <c r="M1343" s="14">
        <v>1.031281063</v>
      </c>
      <c r="N1343" s="14">
        <v>1.678722063</v>
      </c>
      <c r="O1343" s="14">
        <v>0.388708533</v>
      </c>
    </row>
    <row r="1344" spans="1:21">
      <c r="A1344" s="14" t="s">
        <v>6893</v>
      </c>
      <c r="B1344" s="14">
        <v>6025.426269</v>
      </c>
      <c r="C1344" s="14">
        <v>8632.136812</v>
      </c>
      <c r="D1344" s="14">
        <v>3418.715727</v>
      </c>
      <c r="E1344" s="14">
        <v>0.396061256</v>
      </c>
      <c r="F1344" s="14">
        <v>-1.336204516</v>
      </c>
      <c r="G1344" s="51" t="s">
        <v>6894</v>
      </c>
      <c r="H1344" s="51" t="s">
        <v>6895</v>
      </c>
      <c r="I1344" s="14" t="s">
        <v>147</v>
      </c>
      <c r="J1344" s="14">
        <v>19.12519279</v>
      </c>
      <c r="K1344" s="14">
        <v>22.2188398</v>
      </c>
      <c r="L1344" s="14">
        <v>22.97649984</v>
      </c>
      <c r="M1344" s="14">
        <v>46.61979037</v>
      </c>
      <c r="N1344" s="14">
        <v>50.71512641</v>
      </c>
      <c r="O1344" s="14">
        <v>35.03938879</v>
      </c>
      <c r="P1344" s="14" t="s">
        <v>6896</v>
      </c>
      <c r="Q1344" s="14" t="s">
        <v>6897</v>
      </c>
      <c r="R1344" s="14" t="s">
        <v>6898</v>
      </c>
      <c r="S1344" s="14" t="s">
        <v>6899</v>
      </c>
      <c r="T1344" s="14" t="s">
        <v>6900</v>
      </c>
      <c r="U1344" s="14" t="s">
        <v>6901</v>
      </c>
    </row>
    <row r="1345" spans="1:21">
      <c r="A1345" s="14" t="s">
        <v>6902</v>
      </c>
      <c r="B1345" s="14">
        <v>108.0483293</v>
      </c>
      <c r="C1345" s="14">
        <v>184.7073062</v>
      </c>
      <c r="D1345" s="14">
        <v>31.38935235</v>
      </c>
      <c r="E1345" s="14">
        <v>0.170039321</v>
      </c>
      <c r="F1345" s="14">
        <v>-2.556059691</v>
      </c>
      <c r="G1345" s="51" t="s">
        <v>346</v>
      </c>
      <c r="H1345" s="51" t="s">
        <v>347</v>
      </c>
      <c r="I1345" s="14" t="s">
        <v>147</v>
      </c>
      <c r="J1345" s="14">
        <v>0.426352325</v>
      </c>
      <c r="K1345" s="14">
        <v>0.652287252</v>
      </c>
      <c r="L1345" s="14">
        <v>0.541877287</v>
      </c>
      <c r="M1345" s="14">
        <v>3.370611457</v>
      </c>
      <c r="N1345" s="14">
        <v>2.911731254</v>
      </c>
      <c r="O1345" s="14">
        <v>1.413321322</v>
      </c>
      <c r="P1345" s="14" t="s">
        <v>6903</v>
      </c>
      <c r="Q1345" s="14" t="s">
        <v>6904</v>
      </c>
      <c r="R1345" s="14" t="s">
        <v>6905</v>
      </c>
      <c r="S1345" s="14" t="s">
        <v>6906</v>
      </c>
      <c r="T1345" s="14" t="s">
        <v>6907</v>
      </c>
      <c r="U1345" s="14" t="s">
        <v>6908</v>
      </c>
    </row>
    <row r="1346" spans="1:21">
      <c r="A1346" s="14" t="s">
        <v>6909</v>
      </c>
      <c r="B1346" s="14">
        <v>2816.530161</v>
      </c>
      <c r="C1346" s="14">
        <v>4363.278209</v>
      </c>
      <c r="D1346" s="14">
        <v>1269.782114</v>
      </c>
      <c r="E1346" s="14">
        <v>0.29102544</v>
      </c>
      <c r="F1346" s="14">
        <v>-1.780782825</v>
      </c>
      <c r="G1346" s="51" t="s">
        <v>2071</v>
      </c>
      <c r="H1346" s="51" t="s">
        <v>2072</v>
      </c>
      <c r="I1346" s="14" t="s">
        <v>147</v>
      </c>
      <c r="J1346" s="14">
        <v>9.84310292</v>
      </c>
      <c r="K1346" s="14">
        <v>16.37270669</v>
      </c>
      <c r="L1346" s="14">
        <v>12.77986943</v>
      </c>
      <c r="M1346" s="14">
        <v>46.04155734</v>
      </c>
      <c r="N1346" s="14">
        <v>40.60637662</v>
      </c>
      <c r="O1346" s="14">
        <v>21.7543925</v>
      </c>
      <c r="P1346" s="14" t="s">
        <v>6910</v>
      </c>
      <c r="Q1346" s="14" t="s">
        <v>6911</v>
      </c>
      <c r="T1346" s="14" t="s">
        <v>6912</v>
      </c>
      <c r="U1346" s="14" t="s">
        <v>6913</v>
      </c>
    </row>
    <row r="1347" spans="1:15">
      <c r="A1347" s="14" t="s">
        <v>6914</v>
      </c>
      <c r="B1347" s="14">
        <v>7.671435287</v>
      </c>
      <c r="C1347" s="14">
        <v>14.38580441</v>
      </c>
      <c r="D1347" s="14">
        <v>0.957066161</v>
      </c>
      <c r="E1347" s="14">
        <v>0.067499234</v>
      </c>
      <c r="F1347" s="14">
        <v>-3.888985059</v>
      </c>
      <c r="G1347" s="14">
        <v>0.004580905</v>
      </c>
      <c r="H1347" s="14">
        <v>0.013722185</v>
      </c>
      <c r="I1347" s="14" t="s">
        <v>147</v>
      </c>
      <c r="J1347" s="14">
        <v>0.121547812</v>
      </c>
      <c r="K1347" s="14">
        <v>0</v>
      </c>
      <c r="L1347" s="14">
        <v>0.234064484</v>
      </c>
      <c r="M1347" s="14">
        <v>1.351943629</v>
      </c>
      <c r="N1347" s="14">
        <v>2.394515834</v>
      </c>
      <c r="O1347" s="14">
        <v>0.508738071</v>
      </c>
    </row>
    <row r="1348" spans="1:21">
      <c r="A1348" s="14" t="s">
        <v>6915</v>
      </c>
      <c r="B1348" s="14">
        <v>49.56363916</v>
      </c>
      <c r="C1348" s="14">
        <v>84.72625677</v>
      </c>
      <c r="D1348" s="14">
        <v>14.40102154</v>
      </c>
      <c r="E1348" s="14">
        <v>0.170061628</v>
      </c>
      <c r="F1348" s="14">
        <v>-2.555870444</v>
      </c>
      <c r="G1348" s="51" t="s">
        <v>6916</v>
      </c>
      <c r="H1348" s="14">
        <v>0.00020158</v>
      </c>
      <c r="I1348" s="14" t="s">
        <v>147</v>
      </c>
      <c r="J1348" s="14">
        <v>0.675924417</v>
      </c>
      <c r="K1348" s="14">
        <v>1.511862479</v>
      </c>
      <c r="L1348" s="14">
        <v>1.084689074</v>
      </c>
      <c r="M1348" s="14">
        <v>6.232975879</v>
      </c>
      <c r="N1348" s="14">
        <v>6.719569501</v>
      </c>
      <c r="O1348" s="14">
        <v>2.577606227</v>
      </c>
      <c r="P1348" s="14" t="s">
        <v>6917</v>
      </c>
      <c r="Q1348" s="14" t="s">
        <v>6918</v>
      </c>
      <c r="T1348" s="14" t="s">
        <v>6919</v>
      </c>
      <c r="U1348" s="14" t="s">
        <v>6920</v>
      </c>
    </row>
    <row r="1349" spans="1:15">
      <c r="A1349" s="14" t="s">
        <v>6921</v>
      </c>
      <c r="B1349" s="14">
        <v>16.44023183</v>
      </c>
      <c r="C1349" s="14">
        <v>5.758911112</v>
      </c>
      <c r="D1349" s="14">
        <v>27.12155256</v>
      </c>
      <c r="E1349" s="14">
        <v>4.658586869</v>
      </c>
      <c r="F1349" s="14">
        <v>2.219892396</v>
      </c>
      <c r="G1349" s="14">
        <v>0.017376705</v>
      </c>
      <c r="H1349" s="14">
        <v>0.043194424</v>
      </c>
      <c r="I1349" s="14" t="s">
        <v>164</v>
      </c>
      <c r="J1349" s="14">
        <v>0.367405886</v>
      </c>
      <c r="K1349" s="14">
        <v>0.660366069</v>
      </c>
      <c r="L1349" s="14">
        <v>1.137074626</v>
      </c>
      <c r="M1349" s="14">
        <v>0.044907218</v>
      </c>
      <c r="N1349" s="14">
        <v>0.064624717</v>
      </c>
      <c r="O1349" s="14">
        <v>0.285587054</v>
      </c>
    </row>
    <row r="1350" spans="1:15">
      <c r="A1350" s="14" t="s">
        <v>6922</v>
      </c>
      <c r="B1350" s="14">
        <v>533.3246708</v>
      </c>
      <c r="C1350" s="14">
        <v>293.5941559</v>
      </c>
      <c r="D1350" s="14">
        <v>773.0551857</v>
      </c>
      <c r="E1350" s="14">
        <v>2.631519308</v>
      </c>
      <c r="F1350" s="14">
        <v>1.39589598</v>
      </c>
      <c r="G1350" s="14">
        <v>0.019624857</v>
      </c>
      <c r="H1350" s="14">
        <v>0.047800518</v>
      </c>
      <c r="I1350" s="14" t="s">
        <v>164</v>
      </c>
      <c r="J1350" s="14">
        <v>18.07448813</v>
      </c>
      <c r="K1350" s="14">
        <v>14.87937201</v>
      </c>
      <c r="L1350" s="14">
        <v>13.1518936</v>
      </c>
      <c r="M1350" s="14">
        <v>2.057427726</v>
      </c>
      <c r="N1350" s="14">
        <v>2.345978351</v>
      </c>
      <c r="O1350" s="14">
        <v>10.6917493</v>
      </c>
    </row>
    <row r="1351" spans="1:19">
      <c r="A1351" s="14" t="s">
        <v>6923</v>
      </c>
      <c r="B1351" s="14">
        <v>191.5266399</v>
      </c>
      <c r="C1351" s="14">
        <v>272.2838745</v>
      </c>
      <c r="D1351" s="14">
        <v>110.7694053</v>
      </c>
      <c r="E1351" s="14">
        <v>0.40677385</v>
      </c>
      <c r="F1351" s="14">
        <v>-1.297701157</v>
      </c>
      <c r="G1351" s="51" t="s">
        <v>6924</v>
      </c>
      <c r="H1351" s="51" t="s">
        <v>6925</v>
      </c>
      <c r="I1351" s="14" t="s">
        <v>147</v>
      </c>
      <c r="J1351" s="14">
        <v>2.578813454</v>
      </c>
      <c r="K1351" s="14">
        <v>1.711626102</v>
      </c>
      <c r="L1351" s="14">
        <v>1.979210139</v>
      </c>
      <c r="M1351" s="14">
        <v>3.725330843</v>
      </c>
      <c r="N1351" s="14">
        <v>4.617072169</v>
      </c>
      <c r="O1351" s="14">
        <v>4.348732825</v>
      </c>
      <c r="R1351" s="14" t="s">
        <v>6926</v>
      </c>
      <c r="S1351" s="14" t="s">
        <v>6927</v>
      </c>
    </row>
    <row r="1352" spans="1:21">
      <c r="A1352" s="14" t="s">
        <v>6928</v>
      </c>
      <c r="B1352" s="14">
        <v>165.8679854</v>
      </c>
      <c r="C1352" s="14">
        <v>48.30282267</v>
      </c>
      <c r="D1352" s="14">
        <v>283.4331481</v>
      </c>
      <c r="E1352" s="14">
        <v>5.85624742</v>
      </c>
      <c r="F1352" s="14">
        <v>2.549976507</v>
      </c>
      <c r="G1352" s="51" t="s">
        <v>2694</v>
      </c>
      <c r="H1352" s="51" t="s">
        <v>6753</v>
      </c>
      <c r="I1352" s="14" t="s">
        <v>164</v>
      </c>
      <c r="J1352" s="14">
        <v>3.290638748</v>
      </c>
      <c r="K1352" s="14">
        <v>2.952112473</v>
      </c>
      <c r="L1352" s="14">
        <v>6.088818402</v>
      </c>
      <c r="M1352" s="14">
        <v>0.477402913</v>
      </c>
      <c r="N1352" s="14">
        <v>0.317084828</v>
      </c>
      <c r="O1352" s="14">
        <v>0.970095477</v>
      </c>
      <c r="P1352" s="14" t="s">
        <v>6929</v>
      </c>
      <c r="Q1352" s="14" t="s">
        <v>6930</v>
      </c>
      <c r="T1352" s="14" t="s">
        <v>6931</v>
      </c>
      <c r="U1352" s="14" t="s">
        <v>6932</v>
      </c>
    </row>
    <row r="1353" spans="1:21">
      <c r="A1353" s="14" t="s">
        <v>6933</v>
      </c>
      <c r="B1353" s="14">
        <v>203.1752923</v>
      </c>
      <c r="C1353" s="14">
        <v>115.9656088</v>
      </c>
      <c r="D1353" s="14">
        <v>290.3849757</v>
      </c>
      <c r="E1353" s="14">
        <v>2.501125226</v>
      </c>
      <c r="F1353" s="14">
        <v>1.322577292</v>
      </c>
      <c r="G1353" s="51" t="s">
        <v>6934</v>
      </c>
      <c r="H1353" s="14">
        <v>0.000392391</v>
      </c>
      <c r="I1353" s="14" t="s">
        <v>164</v>
      </c>
      <c r="J1353" s="14">
        <v>13.15071829</v>
      </c>
      <c r="K1353" s="14">
        <v>7.103406038</v>
      </c>
      <c r="L1353" s="14">
        <v>10.04354711</v>
      </c>
      <c r="M1353" s="14">
        <v>2.474192487</v>
      </c>
      <c r="N1353" s="14">
        <v>3.164925276</v>
      </c>
      <c r="O1353" s="14">
        <v>4.437965503</v>
      </c>
      <c r="P1353" s="14" t="s">
        <v>6935</v>
      </c>
      <c r="Q1353" s="14" t="s">
        <v>6936</v>
      </c>
      <c r="T1353" s="14" t="s">
        <v>6937</v>
      </c>
      <c r="U1353" s="14" t="s">
        <v>6938</v>
      </c>
    </row>
    <row r="1354" spans="1:21">
      <c r="A1354" s="14" t="s">
        <v>6939</v>
      </c>
      <c r="B1354" s="14">
        <v>2261.52537</v>
      </c>
      <c r="C1354" s="14">
        <v>1358.822431</v>
      </c>
      <c r="D1354" s="14">
        <v>3164.228309</v>
      </c>
      <c r="E1354" s="14">
        <v>2.328981504</v>
      </c>
      <c r="F1354" s="14">
        <v>1.219699182</v>
      </c>
      <c r="G1354" s="51" t="s">
        <v>6940</v>
      </c>
      <c r="H1354" s="14">
        <v>0.000289758</v>
      </c>
      <c r="I1354" s="14" t="s">
        <v>164</v>
      </c>
      <c r="J1354" s="14">
        <v>46.92812182</v>
      </c>
      <c r="K1354" s="14">
        <v>45.42714789</v>
      </c>
      <c r="L1354" s="14">
        <v>43.10178061</v>
      </c>
      <c r="M1354" s="14">
        <v>16.08961483</v>
      </c>
      <c r="N1354" s="14">
        <v>20.63559538</v>
      </c>
      <c r="O1354" s="14">
        <v>10.52215685</v>
      </c>
      <c r="P1354" s="14" t="s">
        <v>226</v>
      </c>
      <c r="Q1354" s="14" t="s">
        <v>227</v>
      </c>
      <c r="T1354" s="14" t="s">
        <v>228</v>
      </c>
      <c r="U1354" s="14" t="s">
        <v>229</v>
      </c>
    </row>
    <row r="1355" spans="1:15">
      <c r="A1355" s="14" t="s">
        <v>6941</v>
      </c>
      <c r="B1355" s="14">
        <v>242.2561141</v>
      </c>
      <c r="C1355" s="14">
        <v>365.8098731</v>
      </c>
      <c r="D1355" s="14">
        <v>118.7023551</v>
      </c>
      <c r="E1355" s="14">
        <v>0.324804155</v>
      </c>
      <c r="F1355" s="14">
        <v>-1.622358008</v>
      </c>
      <c r="G1355" s="51" t="s">
        <v>5392</v>
      </c>
      <c r="H1355" s="51" t="s">
        <v>5393</v>
      </c>
      <c r="I1355" s="14" t="s">
        <v>147</v>
      </c>
      <c r="J1355" s="14">
        <v>4.840875354</v>
      </c>
      <c r="K1355" s="14">
        <v>4.738380529</v>
      </c>
      <c r="L1355" s="14">
        <v>6.414267123</v>
      </c>
      <c r="M1355" s="14">
        <v>11.96950091</v>
      </c>
      <c r="N1355" s="14">
        <v>14.58198745</v>
      </c>
      <c r="O1355" s="14">
        <v>13.97855685</v>
      </c>
    </row>
    <row r="1356" spans="1:15">
      <c r="A1356" s="14" t="s">
        <v>6942</v>
      </c>
      <c r="B1356" s="14">
        <v>1828.202799</v>
      </c>
      <c r="C1356" s="14">
        <v>1058.015592</v>
      </c>
      <c r="D1356" s="14">
        <v>2598.390005</v>
      </c>
      <c r="E1356" s="14">
        <v>2.455448601</v>
      </c>
      <c r="F1356" s="14">
        <v>1.295986623</v>
      </c>
      <c r="G1356" s="51" t="s">
        <v>6943</v>
      </c>
      <c r="H1356" s="14">
        <v>0.000209502</v>
      </c>
      <c r="I1356" s="14" t="s">
        <v>164</v>
      </c>
      <c r="J1356" s="14">
        <v>57.51296631</v>
      </c>
      <c r="K1356" s="14">
        <v>40.64867744</v>
      </c>
      <c r="L1356" s="14">
        <v>31.97855303</v>
      </c>
      <c r="M1356" s="14">
        <v>12.31612005</v>
      </c>
      <c r="N1356" s="14">
        <v>11.04082196</v>
      </c>
      <c r="O1356" s="14">
        <v>21.00756778</v>
      </c>
    </row>
    <row r="1357" spans="1:15">
      <c r="A1357" s="14" t="s">
        <v>6944</v>
      </c>
      <c r="B1357" s="14">
        <v>7.159119597</v>
      </c>
      <c r="C1357" s="14">
        <v>13.9819642</v>
      </c>
      <c r="D1357" s="14">
        <v>0.336274994</v>
      </c>
      <c r="E1357" s="14">
        <v>0.025161098</v>
      </c>
      <c r="F1357" s="14">
        <v>-5.312661328</v>
      </c>
      <c r="G1357" s="14">
        <v>0.000432293</v>
      </c>
      <c r="H1357" s="14">
        <v>0.001749702</v>
      </c>
      <c r="I1357" s="14" t="s">
        <v>147</v>
      </c>
      <c r="J1357" s="14">
        <v>0</v>
      </c>
      <c r="K1357" s="14">
        <v>0.080851776</v>
      </c>
      <c r="L1357" s="14">
        <v>0</v>
      </c>
      <c r="M1357" s="14">
        <v>1.237096243</v>
      </c>
      <c r="N1357" s="14">
        <v>0.791231319</v>
      </c>
      <c r="O1357" s="14">
        <v>0.739660917</v>
      </c>
    </row>
    <row r="1358" spans="1:21">
      <c r="A1358" s="14" t="s">
        <v>6945</v>
      </c>
      <c r="B1358" s="14">
        <v>104.9916198</v>
      </c>
      <c r="C1358" s="14">
        <v>158.029926</v>
      </c>
      <c r="D1358" s="14">
        <v>51.95331364</v>
      </c>
      <c r="E1358" s="14">
        <v>0.328198991</v>
      </c>
      <c r="F1358" s="14">
        <v>-1.607357292</v>
      </c>
      <c r="G1358" s="51" t="s">
        <v>6946</v>
      </c>
      <c r="H1358" s="51" t="s">
        <v>6947</v>
      </c>
      <c r="I1358" s="14" t="s">
        <v>147</v>
      </c>
      <c r="J1358" s="14">
        <v>1.967273844</v>
      </c>
      <c r="K1358" s="14">
        <v>3.056271997</v>
      </c>
      <c r="L1358" s="14">
        <v>1.688298458</v>
      </c>
      <c r="M1358" s="14">
        <v>5.159340429</v>
      </c>
      <c r="N1358" s="14">
        <v>5.511451182</v>
      </c>
      <c r="O1358" s="14">
        <v>6.229215048</v>
      </c>
      <c r="P1358" s="14" t="s">
        <v>6948</v>
      </c>
      <c r="Q1358" s="14" t="s">
        <v>6949</v>
      </c>
      <c r="R1358" s="14" t="s">
        <v>1313</v>
      </c>
      <c r="S1358" s="14" t="s">
        <v>1314</v>
      </c>
      <c r="T1358" s="14" t="s">
        <v>6950</v>
      </c>
      <c r="U1358" s="14" t="s">
        <v>6951</v>
      </c>
    </row>
    <row r="1359" spans="1:21">
      <c r="A1359" s="14" t="s">
        <v>6952</v>
      </c>
      <c r="B1359" s="14">
        <v>6379.749654</v>
      </c>
      <c r="C1359" s="14">
        <v>9339.45114</v>
      </c>
      <c r="D1359" s="14">
        <v>3420.048168</v>
      </c>
      <c r="E1359" s="14">
        <v>0.366171559</v>
      </c>
      <c r="F1359" s="14">
        <v>-1.449408357</v>
      </c>
      <c r="G1359" s="51" t="s">
        <v>6953</v>
      </c>
      <c r="H1359" s="51" t="s">
        <v>6954</v>
      </c>
      <c r="I1359" s="14" t="s">
        <v>147</v>
      </c>
      <c r="J1359" s="14">
        <v>54.03295276</v>
      </c>
      <c r="K1359" s="14">
        <v>56.07778297</v>
      </c>
      <c r="L1359" s="14">
        <v>55.72519625</v>
      </c>
      <c r="M1359" s="14">
        <v>115.0347043</v>
      </c>
      <c r="N1359" s="14">
        <v>113.8840584</v>
      </c>
      <c r="O1359" s="14">
        <v>145.7978066</v>
      </c>
      <c r="P1359" s="14" t="s">
        <v>6955</v>
      </c>
      <c r="Q1359" s="14" t="s">
        <v>6956</v>
      </c>
      <c r="R1359" s="14" t="s">
        <v>6957</v>
      </c>
      <c r="S1359" s="14" t="s">
        <v>6958</v>
      </c>
      <c r="T1359" s="14" t="s">
        <v>6959</v>
      </c>
      <c r="U1359" s="14" t="s">
        <v>6960</v>
      </c>
    </row>
    <row r="1360" spans="1:21">
      <c r="A1360" s="14" t="s">
        <v>6961</v>
      </c>
      <c r="B1360" s="14">
        <v>3.113739296</v>
      </c>
      <c r="C1360" s="14">
        <v>0.338987876</v>
      </c>
      <c r="D1360" s="14">
        <v>5.888490717</v>
      </c>
      <c r="E1360" s="14">
        <v>16.30354309</v>
      </c>
      <c r="F1360" s="14">
        <v>4.02711362</v>
      </c>
      <c r="G1360" s="14">
        <v>0.018930892</v>
      </c>
      <c r="H1360" s="14">
        <v>0.04643092</v>
      </c>
      <c r="I1360" s="14" t="s">
        <v>164</v>
      </c>
      <c r="J1360" s="14">
        <v>0.188266991</v>
      </c>
      <c r="K1360" s="14">
        <v>0.26529489</v>
      </c>
      <c r="L1360" s="14">
        <v>0.21752732</v>
      </c>
      <c r="M1360" s="14">
        <v>0</v>
      </c>
      <c r="N1360" s="14">
        <v>0.030907473</v>
      </c>
      <c r="O1360" s="14">
        <v>0</v>
      </c>
      <c r="P1360" s="14" t="s">
        <v>6962</v>
      </c>
      <c r="Q1360" s="14" t="s">
        <v>6963</v>
      </c>
      <c r="T1360" s="14" t="s">
        <v>6964</v>
      </c>
      <c r="U1360" s="14" t="s">
        <v>6965</v>
      </c>
    </row>
    <row r="1361" spans="1:21">
      <c r="A1361" s="14" t="s">
        <v>6966</v>
      </c>
      <c r="B1361" s="14">
        <v>932.3020557</v>
      </c>
      <c r="C1361" s="14">
        <v>1412.633776</v>
      </c>
      <c r="D1361" s="14">
        <v>451.9703359</v>
      </c>
      <c r="E1361" s="14">
        <v>0.319929024</v>
      </c>
      <c r="F1361" s="14">
        <v>-1.644176216</v>
      </c>
      <c r="G1361" s="51" t="s">
        <v>6967</v>
      </c>
      <c r="H1361" s="14">
        <v>0.000270054</v>
      </c>
      <c r="I1361" s="14" t="s">
        <v>147</v>
      </c>
      <c r="J1361" s="14">
        <v>4.347686303</v>
      </c>
      <c r="K1361" s="14">
        <v>10.38955822</v>
      </c>
      <c r="L1361" s="14">
        <v>4.906964331</v>
      </c>
      <c r="M1361" s="14">
        <v>19.85566248</v>
      </c>
      <c r="N1361" s="14">
        <v>16.96934286</v>
      </c>
      <c r="O1361" s="14">
        <v>13.35266976</v>
      </c>
      <c r="P1361" s="14" t="s">
        <v>6968</v>
      </c>
      <c r="Q1361" s="14" t="s">
        <v>6969</v>
      </c>
      <c r="T1361" s="14" t="s">
        <v>6970</v>
      </c>
      <c r="U1361" s="14" t="s">
        <v>6971</v>
      </c>
    </row>
    <row r="1362" spans="1:15">
      <c r="A1362" s="14" t="s">
        <v>6972</v>
      </c>
      <c r="B1362" s="14">
        <v>901.454169</v>
      </c>
      <c r="C1362" s="14">
        <v>1233.180582</v>
      </c>
      <c r="D1362" s="14">
        <v>569.7277561</v>
      </c>
      <c r="E1362" s="14">
        <v>0.461852039</v>
      </c>
      <c r="F1362" s="14">
        <v>-1.114497358</v>
      </c>
      <c r="G1362" s="51" t="s">
        <v>6973</v>
      </c>
      <c r="H1362" s="51" t="s">
        <v>6974</v>
      </c>
      <c r="I1362" s="14" t="s">
        <v>147</v>
      </c>
      <c r="J1362" s="14">
        <v>10.16029209</v>
      </c>
      <c r="K1362" s="14">
        <v>10.12653988</v>
      </c>
      <c r="L1362" s="14">
        <v>8.282690963</v>
      </c>
      <c r="M1362" s="14">
        <v>16.70548526</v>
      </c>
      <c r="N1362" s="14">
        <v>15.53714251</v>
      </c>
      <c r="O1362" s="14">
        <v>18.8418082</v>
      </c>
    </row>
    <row r="1363" spans="1:21">
      <c r="A1363" s="14" t="s">
        <v>6975</v>
      </c>
      <c r="B1363" s="14">
        <v>489.767654</v>
      </c>
      <c r="C1363" s="14">
        <v>133.3006005</v>
      </c>
      <c r="D1363" s="14">
        <v>846.2347075</v>
      </c>
      <c r="E1363" s="14">
        <v>6.3415074</v>
      </c>
      <c r="F1363" s="14">
        <v>2.664825815</v>
      </c>
      <c r="G1363" s="51" t="s">
        <v>6976</v>
      </c>
      <c r="H1363" s="51" t="s">
        <v>6977</v>
      </c>
      <c r="I1363" s="14" t="s">
        <v>164</v>
      </c>
      <c r="J1363" s="14">
        <v>11.85076977</v>
      </c>
      <c r="K1363" s="14">
        <v>4.970968534</v>
      </c>
      <c r="L1363" s="14">
        <v>10.88099303</v>
      </c>
      <c r="M1363" s="14">
        <v>0.793442403</v>
      </c>
      <c r="N1363" s="14">
        <v>0.876280989</v>
      </c>
      <c r="O1363" s="14">
        <v>2.003913323</v>
      </c>
      <c r="P1363" s="14" t="s">
        <v>6978</v>
      </c>
      <c r="Q1363" s="14" t="s">
        <v>6979</v>
      </c>
      <c r="T1363" s="14" t="s">
        <v>6980</v>
      </c>
      <c r="U1363" s="14" t="s">
        <v>6981</v>
      </c>
    </row>
    <row r="1364" spans="1:21">
      <c r="A1364" s="14" t="s">
        <v>6982</v>
      </c>
      <c r="B1364" s="14">
        <v>30669.30046</v>
      </c>
      <c r="C1364" s="14">
        <v>44745.14409</v>
      </c>
      <c r="D1364" s="14">
        <v>16593.45682</v>
      </c>
      <c r="E1364" s="14">
        <v>0.37084113</v>
      </c>
      <c r="F1364" s="14">
        <v>-1.431126833</v>
      </c>
      <c r="G1364" s="51" t="s">
        <v>6983</v>
      </c>
      <c r="H1364" s="51" t="s">
        <v>6984</v>
      </c>
      <c r="I1364" s="14" t="s">
        <v>147</v>
      </c>
      <c r="J1364" s="14">
        <v>523.4728061</v>
      </c>
      <c r="K1364" s="14">
        <v>560.7822147</v>
      </c>
      <c r="L1364" s="14">
        <v>474.1150437</v>
      </c>
      <c r="M1364" s="14">
        <v>1160.88368</v>
      </c>
      <c r="N1364" s="14">
        <v>1114.188596</v>
      </c>
      <c r="O1364" s="14">
        <v>1184.705923</v>
      </c>
      <c r="P1364" s="14" t="s">
        <v>6985</v>
      </c>
      <c r="Q1364" s="14" t="s">
        <v>6986</v>
      </c>
      <c r="R1364" s="14" t="s">
        <v>3922</v>
      </c>
      <c r="S1364" s="14" t="s">
        <v>3923</v>
      </c>
      <c r="T1364" s="14" t="s">
        <v>6987</v>
      </c>
      <c r="U1364" s="14" t="s">
        <v>6988</v>
      </c>
    </row>
    <row r="1365" spans="1:21">
      <c r="A1365" s="14" t="s">
        <v>6989</v>
      </c>
      <c r="B1365" s="14">
        <v>104.0545898</v>
      </c>
      <c r="C1365" s="14">
        <v>204.1623693</v>
      </c>
      <c r="D1365" s="14">
        <v>3.946810258</v>
      </c>
      <c r="E1365" s="14">
        <v>0.01928756</v>
      </c>
      <c r="F1365" s="14">
        <v>-5.696185524</v>
      </c>
      <c r="G1365" s="51" t="s">
        <v>6990</v>
      </c>
      <c r="H1365" s="51" t="s">
        <v>6991</v>
      </c>
      <c r="I1365" s="14" t="s">
        <v>147</v>
      </c>
      <c r="J1365" s="14">
        <v>0.103880096</v>
      </c>
      <c r="K1365" s="14">
        <v>0.011617602</v>
      </c>
      <c r="L1365" s="14">
        <v>0.022226865</v>
      </c>
      <c r="M1365" s="14">
        <v>2.557747578</v>
      </c>
      <c r="N1365" s="14">
        <v>2.378060394</v>
      </c>
      <c r="O1365" s="14">
        <v>0.792283796</v>
      </c>
      <c r="P1365" s="14" t="s">
        <v>148</v>
      </c>
      <c r="Q1365" s="14" t="s">
        <v>149</v>
      </c>
      <c r="T1365" s="14" t="s">
        <v>150</v>
      </c>
      <c r="U1365" s="14" t="s">
        <v>151</v>
      </c>
    </row>
    <row r="1366" spans="1:21">
      <c r="A1366" s="14" t="s">
        <v>6992</v>
      </c>
      <c r="B1366" s="14">
        <v>3071.794703</v>
      </c>
      <c r="C1366" s="14">
        <v>4138.736945</v>
      </c>
      <c r="D1366" s="14">
        <v>2004.85246</v>
      </c>
      <c r="E1366" s="14">
        <v>0.484437938</v>
      </c>
      <c r="F1366" s="14">
        <v>-1.045616244</v>
      </c>
      <c r="G1366" s="51" t="s">
        <v>6993</v>
      </c>
      <c r="H1366" s="51" t="s">
        <v>6994</v>
      </c>
      <c r="I1366" s="14" t="s">
        <v>147</v>
      </c>
      <c r="J1366" s="14">
        <v>22.21622717</v>
      </c>
      <c r="K1366" s="14">
        <v>27.55339711</v>
      </c>
      <c r="L1366" s="14">
        <v>23.54276499</v>
      </c>
      <c r="M1366" s="14">
        <v>45.57186093</v>
      </c>
      <c r="N1366" s="14">
        <v>43.85961794</v>
      </c>
      <c r="O1366" s="14">
        <v>34.15047343</v>
      </c>
      <c r="Q1366" s="14" t="s">
        <v>6995</v>
      </c>
      <c r="R1366" s="14" t="s">
        <v>5283</v>
      </c>
      <c r="S1366" s="14" t="s">
        <v>5284</v>
      </c>
      <c r="T1366" s="14" t="s">
        <v>6996</v>
      </c>
      <c r="U1366" s="14" t="s">
        <v>6997</v>
      </c>
    </row>
    <row r="1367" spans="1:21">
      <c r="A1367" s="14" t="s">
        <v>6998</v>
      </c>
      <c r="B1367" s="14">
        <v>1852.826712</v>
      </c>
      <c r="C1367" s="14">
        <v>2619.410612</v>
      </c>
      <c r="D1367" s="14">
        <v>1086.242812</v>
      </c>
      <c r="E1367" s="14">
        <v>0.414753182</v>
      </c>
      <c r="F1367" s="14">
        <v>-1.269675045</v>
      </c>
      <c r="G1367" s="51" t="s">
        <v>6999</v>
      </c>
      <c r="H1367" s="51" t="s">
        <v>7000</v>
      </c>
      <c r="I1367" s="14" t="s">
        <v>147</v>
      </c>
      <c r="J1367" s="14">
        <v>10.21886945</v>
      </c>
      <c r="K1367" s="14">
        <v>11.61891551</v>
      </c>
      <c r="L1367" s="14">
        <v>12.77480624</v>
      </c>
      <c r="M1367" s="14">
        <v>26.52646905</v>
      </c>
      <c r="N1367" s="14">
        <v>24.06824517</v>
      </c>
      <c r="O1367" s="14">
        <v>17.27563324</v>
      </c>
      <c r="P1367" s="14" t="s">
        <v>1775</v>
      </c>
      <c r="Q1367" s="14" t="s">
        <v>1776</v>
      </c>
      <c r="T1367" s="14" t="s">
        <v>1777</v>
      </c>
      <c r="U1367" s="14" t="s">
        <v>1778</v>
      </c>
    </row>
    <row r="1368" spans="1:21">
      <c r="A1368" s="14" t="s">
        <v>7001</v>
      </c>
      <c r="B1368" s="14">
        <v>48.94115326</v>
      </c>
      <c r="C1368" s="14">
        <v>95.92559809</v>
      </c>
      <c r="D1368" s="14">
        <v>1.956708431</v>
      </c>
      <c r="E1368" s="14">
        <v>0.020432951</v>
      </c>
      <c r="F1368" s="14">
        <v>-5.612958579</v>
      </c>
      <c r="G1368" s="51" t="s">
        <v>7002</v>
      </c>
      <c r="H1368" s="51" t="s">
        <v>7003</v>
      </c>
      <c r="I1368" s="14" t="s">
        <v>147</v>
      </c>
      <c r="J1368" s="14">
        <v>0.061997542</v>
      </c>
      <c r="K1368" s="14">
        <v>0.020800792</v>
      </c>
      <c r="L1368" s="14">
        <v>0.039796199</v>
      </c>
      <c r="M1368" s="14">
        <v>2.563830457</v>
      </c>
      <c r="N1368" s="14">
        <v>1.679375199</v>
      </c>
      <c r="O1368" s="14">
        <v>0.553579861</v>
      </c>
      <c r="P1368" s="14" t="s">
        <v>7004</v>
      </c>
      <c r="Q1368" s="14" t="s">
        <v>7005</v>
      </c>
      <c r="T1368" s="14" t="s">
        <v>7006</v>
      </c>
      <c r="U1368" s="14" t="s">
        <v>7007</v>
      </c>
    </row>
    <row r="1369" spans="1:15">
      <c r="A1369" s="14" t="s">
        <v>7008</v>
      </c>
      <c r="B1369" s="14">
        <v>156.0364954</v>
      </c>
      <c r="C1369" s="14">
        <v>54.26912897</v>
      </c>
      <c r="D1369" s="14">
        <v>257.8038618</v>
      </c>
      <c r="E1369" s="14">
        <v>4.741772362</v>
      </c>
      <c r="F1369" s="14">
        <v>2.245426405</v>
      </c>
      <c r="G1369" s="14">
        <v>0.009064793</v>
      </c>
      <c r="H1369" s="14">
        <v>0.024818807</v>
      </c>
      <c r="I1369" s="14" t="s">
        <v>164</v>
      </c>
      <c r="J1369" s="14">
        <v>3.510164357</v>
      </c>
      <c r="K1369" s="14">
        <v>1.452376162</v>
      </c>
      <c r="L1369" s="14">
        <v>3.044739856</v>
      </c>
      <c r="M1369" s="14">
        <v>0.175118252</v>
      </c>
      <c r="N1369" s="14">
        <v>0.100803104</v>
      </c>
      <c r="O1369" s="14">
        <v>1.190762699</v>
      </c>
    </row>
    <row r="1370" spans="1:21">
      <c r="A1370" s="14" t="s">
        <v>7009</v>
      </c>
      <c r="B1370" s="14">
        <v>3896.567629</v>
      </c>
      <c r="C1370" s="14">
        <v>5336.767241</v>
      </c>
      <c r="D1370" s="14">
        <v>2456.368017</v>
      </c>
      <c r="E1370" s="14">
        <v>0.46028761</v>
      </c>
      <c r="F1370" s="14">
        <v>-1.119392485</v>
      </c>
      <c r="G1370" s="14">
        <v>0.001817107</v>
      </c>
      <c r="H1370" s="14">
        <v>0.006172413</v>
      </c>
      <c r="I1370" s="14" t="s">
        <v>147</v>
      </c>
      <c r="J1370" s="14">
        <v>18.03779043</v>
      </c>
      <c r="K1370" s="14">
        <v>33.95299926</v>
      </c>
      <c r="L1370" s="14">
        <v>28.68851892</v>
      </c>
      <c r="M1370" s="14">
        <v>54.80909312</v>
      </c>
      <c r="N1370" s="14">
        <v>55.87703446</v>
      </c>
      <c r="O1370" s="14">
        <v>31.48815873</v>
      </c>
      <c r="P1370" s="14" t="s">
        <v>7010</v>
      </c>
      <c r="Q1370" s="14" t="s">
        <v>7011</v>
      </c>
      <c r="R1370" s="14" t="s">
        <v>7012</v>
      </c>
      <c r="S1370" s="14" t="s">
        <v>7013</v>
      </c>
      <c r="T1370" s="14" t="s">
        <v>7014</v>
      </c>
      <c r="U1370" s="14" t="s">
        <v>7015</v>
      </c>
    </row>
    <row r="1371" spans="1:21">
      <c r="A1371" s="14" t="s">
        <v>7016</v>
      </c>
      <c r="B1371" s="14">
        <v>575.3316601</v>
      </c>
      <c r="C1371" s="14">
        <v>831.7168585</v>
      </c>
      <c r="D1371" s="14">
        <v>318.9464617</v>
      </c>
      <c r="E1371" s="14">
        <v>0.383553462</v>
      </c>
      <c r="F1371" s="14">
        <v>-1.382500412</v>
      </c>
      <c r="G1371" s="14">
        <v>0.000908927</v>
      </c>
      <c r="H1371" s="14">
        <v>0.003366053</v>
      </c>
      <c r="I1371" s="14" t="s">
        <v>147</v>
      </c>
      <c r="J1371" s="14">
        <v>1.027053985</v>
      </c>
      <c r="K1371" s="14">
        <v>1.745023089</v>
      </c>
      <c r="L1371" s="14">
        <v>1.466443281</v>
      </c>
      <c r="M1371" s="14">
        <v>3.740286235</v>
      </c>
      <c r="N1371" s="14">
        <v>3.52711348</v>
      </c>
      <c r="O1371" s="14">
        <v>1.657032574</v>
      </c>
      <c r="P1371" s="14" t="s">
        <v>7017</v>
      </c>
      <c r="Q1371" s="14" t="s">
        <v>7018</v>
      </c>
      <c r="R1371" s="14" t="s">
        <v>480</v>
      </c>
      <c r="S1371" s="14" t="s">
        <v>481</v>
      </c>
      <c r="T1371" s="14" t="s">
        <v>7019</v>
      </c>
      <c r="U1371" s="14" t="s">
        <v>7020</v>
      </c>
    </row>
    <row r="1372" spans="1:15">
      <c r="A1372" s="14" t="s">
        <v>7021</v>
      </c>
      <c r="B1372" s="14">
        <v>7.552364588</v>
      </c>
      <c r="C1372" s="14">
        <v>1.763664482</v>
      </c>
      <c r="D1372" s="14">
        <v>13.34106469</v>
      </c>
      <c r="E1372" s="14">
        <v>7.763329927</v>
      </c>
      <c r="F1372" s="14">
        <v>2.956675601</v>
      </c>
      <c r="G1372" s="14">
        <v>0.007717395</v>
      </c>
      <c r="H1372" s="14">
        <v>0.021553773</v>
      </c>
      <c r="I1372" s="14" t="s">
        <v>164</v>
      </c>
      <c r="J1372" s="14">
        <v>1.404369989</v>
      </c>
      <c r="K1372" s="14">
        <v>0.942360228</v>
      </c>
      <c r="L1372" s="14">
        <v>1.44234331</v>
      </c>
      <c r="M1372" s="14">
        <v>0.240314304</v>
      </c>
      <c r="N1372" s="14">
        <v>0.15370203</v>
      </c>
      <c r="O1372" s="14">
        <v>0</v>
      </c>
    </row>
    <row r="1373" spans="1:15">
      <c r="A1373" s="14" t="s">
        <v>7022</v>
      </c>
      <c r="B1373" s="14">
        <v>8839.808173</v>
      </c>
      <c r="C1373" s="14">
        <v>12063.29423</v>
      </c>
      <c r="D1373" s="14">
        <v>5616.322117</v>
      </c>
      <c r="E1373" s="14">
        <v>0.46557607</v>
      </c>
      <c r="F1373" s="14">
        <v>-1.102911187</v>
      </c>
      <c r="G1373" s="51" t="s">
        <v>7023</v>
      </c>
      <c r="H1373" s="14">
        <v>0.000147425</v>
      </c>
      <c r="I1373" s="14" t="s">
        <v>147</v>
      </c>
      <c r="J1373" s="14">
        <v>187.8318853</v>
      </c>
      <c r="K1373" s="14">
        <v>242.8406874</v>
      </c>
      <c r="L1373" s="14">
        <v>184.8301676</v>
      </c>
      <c r="M1373" s="14">
        <v>394.2846734</v>
      </c>
      <c r="N1373" s="14">
        <v>412.2871102</v>
      </c>
      <c r="O1373" s="14">
        <v>270.7396281</v>
      </c>
    </row>
    <row r="1374" spans="1:21">
      <c r="A1374" s="14" t="s">
        <v>7024</v>
      </c>
      <c r="B1374" s="14">
        <v>1237.395769</v>
      </c>
      <c r="C1374" s="14">
        <v>1734.6278</v>
      </c>
      <c r="D1374" s="14">
        <v>740.1637386</v>
      </c>
      <c r="E1374" s="14">
        <v>0.426749431</v>
      </c>
      <c r="F1374" s="14">
        <v>-1.228538865</v>
      </c>
      <c r="G1374" s="51" t="s">
        <v>7025</v>
      </c>
      <c r="H1374" s="51" t="s">
        <v>7026</v>
      </c>
      <c r="I1374" s="14" t="s">
        <v>147</v>
      </c>
      <c r="J1374" s="14">
        <v>7.472236318</v>
      </c>
      <c r="K1374" s="14">
        <v>9.780814354</v>
      </c>
      <c r="L1374" s="14">
        <v>8.547097549</v>
      </c>
      <c r="M1374" s="14">
        <v>17.67243636</v>
      </c>
      <c r="N1374" s="14">
        <v>18.03198754</v>
      </c>
      <c r="O1374" s="14">
        <v>13.67619822</v>
      </c>
      <c r="P1374" s="14" t="s">
        <v>7027</v>
      </c>
      <c r="Q1374" s="14" t="s">
        <v>7028</v>
      </c>
      <c r="T1374" s="14" t="s">
        <v>7029</v>
      </c>
      <c r="U1374" s="14" t="s">
        <v>7030</v>
      </c>
    </row>
    <row r="1375" spans="1:21">
      <c r="A1375" s="14" t="s">
        <v>7031</v>
      </c>
      <c r="B1375" s="14">
        <v>363.7532412</v>
      </c>
      <c r="C1375" s="14">
        <v>673.7867535</v>
      </c>
      <c r="D1375" s="14">
        <v>53.71972884</v>
      </c>
      <c r="E1375" s="14">
        <v>0.079741425</v>
      </c>
      <c r="F1375" s="14">
        <v>-3.648526798</v>
      </c>
      <c r="G1375" s="51" t="s">
        <v>7032</v>
      </c>
      <c r="H1375" s="14">
        <v>0.000111298</v>
      </c>
      <c r="I1375" s="14" t="s">
        <v>147</v>
      </c>
      <c r="J1375" s="14">
        <v>0.580739755</v>
      </c>
      <c r="K1375" s="14">
        <v>1.636689347</v>
      </c>
      <c r="L1375" s="14">
        <v>1.565661849</v>
      </c>
      <c r="M1375" s="14">
        <v>10.73256171</v>
      </c>
      <c r="N1375" s="14">
        <v>25.36019074</v>
      </c>
      <c r="O1375" s="14">
        <v>1.730647601</v>
      </c>
      <c r="P1375" s="14" t="s">
        <v>7033</v>
      </c>
      <c r="Q1375" s="14" t="s">
        <v>7034</v>
      </c>
      <c r="T1375" s="14" t="s">
        <v>7035</v>
      </c>
      <c r="U1375" s="14" t="s">
        <v>7036</v>
      </c>
    </row>
    <row r="1376" spans="1:21">
      <c r="A1376" s="14" t="s">
        <v>7037</v>
      </c>
      <c r="B1376" s="14">
        <v>41.40940223</v>
      </c>
      <c r="C1376" s="14">
        <v>77.60286373</v>
      </c>
      <c r="D1376" s="14">
        <v>5.215940729</v>
      </c>
      <c r="E1376" s="14">
        <v>0.067379246</v>
      </c>
      <c r="F1376" s="14">
        <v>-3.8915519</v>
      </c>
      <c r="G1376" s="51" t="s">
        <v>7038</v>
      </c>
      <c r="H1376" s="51" t="s">
        <v>3483</v>
      </c>
      <c r="I1376" s="14" t="s">
        <v>147</v>
      </c>
      <c r="J1376" s="14">
        <v>0.124050587</v>
      </c>
      <c r="K1376" s="14">
        <v>0.124860621</v>
      </c>
      <c r="L1376" s="14">
        <v>0.143330445</v>
      </c>
      <c r="M1376" s="14">
        <v>1.952921256</v>
      </c>
      <c r="N1376" s="14">
        <v>1.547753296</v>
      </c>
      <c r="O1376" s="14">
        <v>1.246112231</v>
      </c>
      <c r="P1376" s="14" t="s">
        <v>7039</v>
      </c>
      <c r="Q1376" s="14" t="s">
        <v>7040</v>
      </c>
      <c r="T1376" s="14" t="s">
        <v>7041</v>
      </c>
      <c r="U1376" s="14" t="s">
        <v>7042</v>
      </c>
    </row>
    <row r="1377" spans="1:21">
      <c r="A1377" s="14" t="s">
        <v>7043</v>
      </c>
      <c r="B1377" s="14">
        <v>7520.146067</v>
      </c>
      <c r="C1377" s="14">
        <v>10713.01576</v>
      </c>
      <c r="D1377" s="14">
        <v>4327.276375</v>
      </c>
      <c r="E1377" s="14">
        <v>0.403925983</v>
      </c>
      <c r="F1377" s="14">
        <v>-1.307837143</v>
      </c>
      <c r="G1377" s="51" t="s">
        <v>7044</v>
      </c>
      <c r="H1377" s="14">
        <v>0.000152746</v>
      </c>
      <c r="I1377" s="14" t="s">
        <v>147</v>
      </c>
      <c r="J1377" s="14">
        <v>50.83846707</v>
      </c>
      <c r="K1377" s="14">
        <v>79.75689185</v>
      </c>
      <c r="L1377" s="14">
        <v>45.80598659</v>
      </c>
      <c r="M1377" s="14">
        <v>133.4696753</v>
      </c>
      <c r="N1377" s="14">
        <v>131.7362588</v>
      </c>
      <c r="O1377" s="14">
        <v>91.22391891</v>
      </c>
      <c r="P1377" s="14" t="s">
        <v>7045</v>
      </c>
      <c r="Q1377" s="14" t="s">
        <v>7046</v>
      </c>
      <c r="T1377" s="14" t="s">
        <v>7047</v>
      </c>
      <c r="U1377" s="14" t="s">
        <v>7048</v>
      </c>
    </row>
    <row r="1378" spans="1:21">
      <c r="A1378" s="14" t="s">
        <v>7049</v>
      </c>
      <c r="B1378" s="14">
        <v>91844.42997</v>
      </c>
      <c r="C1378" s="14">
        <v>144940.0508</v>
      </c>
      <c r="D1378" s="14">
        <v>38748.80913</v>
      </c>
      <c r="E1378" s="14">
        <v>0.267343875</v>
      </c>
      <c r="F1378" s="14">
        <v>-1.903231472</v>
      </c>
      <c r="G1378" s="51" t="s">
        <v>7050</v>
      </c>
      <c r="H1378" s="51" t="s">
        <v>7051</v>
      </c>
      <c r="I1378" s="14" t="s">
        <v>147</v>
      </c>
      <c r="J1378" s="14">
        <v>500.4047788</v>
      </c>
      <c r="K1378" s="14">
        <v>630.3263218</v>
      </c>
      <c r="L1378" s="14">
        <v>486.3701537</v>
      </c>
      <c r="M1378" s="14">
        <v>1847.936375</v>
      </c>
      <c r="N1378" s="14">
        <v>1800.945275</v>
      </c>
      <c r="O1378" s="14">
        <v>1283.663297</v>
      </c>
      <c r="Q1378" s="14" t="s">
        <v>7052</v>
      </c>
      <c r="R1378" s="14" t="s">
        <v>3487</v>
      </c>
      <c r="S1378" s="14" t="s">
        <v>3488</v>
      </c>
      <c r="T1378" s="14" t="s">
        <v>7053</v>
      </c>
      <c r="U1378" s="14" t="s">
        <v>7054</v>
      </c>
    </row>
    <row r="1379" spans="1:15">
      <c r="A1379" s="14" t="s">
        <v>7055</v>
      </c>
      <c r="B1379" s="14">
        <v>116.4039413</v>
      </c>
      <c r="C1379" s="14">
        <v>39.58506077</v>
      </c>
      <c r="D1379" s="14">
        <v>193.2228218</v>
      </c>
      <c r="E1379" s="14">
        <v>4.871223682</v>
      </c>
      <c r="F1379" s="14">
        <v>2.284284232</v>
      </c>
      <c r="G1379" s="14">
        <v>0.001449715</v>
      </c>
      <c r="H1379" s="14">
        <v>0.005075426</v>
      </c>
      <c r="I1379" s="14" t="s">
        <v>164</v>
      </c>
      <c r="J1379" s="14">
        <v>9.413924422</v>
      </c>
      <c r="K1379" s="14">
        <v>9.262465871</v>
      </c>
      <c r="L1379" s="14">
        <v>12.3232271</v>
      </c>
      <c r="M1379" s="14">
        <v>1.40275067</v>
      </c>
      <c r="N1379" s="14">
        <v>0.34729619</v>
      </c>
      <c r="O1379" s="14">
        <v>3.674564602</v>
      </c>
    </row>
    <row r="1380" spans="1:21">
      <c r="A1380" s="14" t="s">
        <v>7056</v>
      </c>
      <c r="B1380" s="14">
        <v>4646.69521</v>
      </c>
      <c r="C1380" s="14">
        <v>6261.594081</v>
      </c>
      <c r="D1380" s="14">
        <v>3031.796339</v>
      </c>
      <c r="E1380" s="14">
        <v>0.48420469</v>
      </c>
      <c r="F1380" s="14">
        <v>-1.046311041</v>
      </c>
      <c r="G1380" s="51" t="s">
        <v>4630</v>
      </c>
      <c r="H1380" s="51" t="s">
        <v>7057</v>
      </c>
      <c r="I1380" s="14" t="s">
        <v>147</v>
      </c>
      <c r="J1380" s="14">
        <v>19.0259851</v>
      </c>
      <c r="K1380" s="14">
        <v>21.92179134</v>
      </c>
      <c r="L1380" s="14">
        <v>19.22186054</v>
      </c>
      <c r="M1380" s="14">
        <v>35.15422475</v>
      </c>
      <c r="N1380" s="14">
        <v>36.52472206</v>
      </c>
      <c r="O1380" s="14">
        <v>30.05865714</v>
      </c>
      <c r="P1380" s="14" t="s">
        <v>7058</v>
      </c>
      <c r="Q1380" s="14" t="s">
        <v>7059</v>
      </c>
      <c r="R1380" s="14" t="s">
        <v>362</v>
      </c>
      <c r="S1380" s="14" t="s">
        <v>363</v>
      </c>
      <c r="T1380" s="14" t="s">
        <v>7060</v>
      </c>
      <c r="U1380" s="14" t="s">
        <v>7061</v>
      </c>
    </row>
    <row r="1381" spans="1:15">
      <c r="A1381" s="14" t="s">
        <v>7062</v>
      </c>
      <c r="B1381" s="14">
        <v>211.7801877</v>
      </c>
      <c r="C1381" s="14">
        <v>117.305681</v>
      </c>
      <c r="D1381" s="14">
        <v>306.2546944</v>
      </c>
      <c r="E1381" s="14">
        <v>2.606354061</v>
      </c>
      <c r="F1381" s="14">
        <v>1.38203308</v>
      </c>
      <c r="G1381" s="14">
        <v>0.00161962</v>
      </c>
      <c r="H1381" s="14">
        <v>0.005585728</v>
      </c>
      <c r="I1381" s="14" t="s">
        <v>164</v>
      </c>
      <c r="J1381" s="14">
        <v>2.778434657</v>
      </c>
      <c r="K1381" s="14">
        <v>2.029516223</v>
      </c>
      <c r="L1381" s="14">
        <v>2.560562207</v>
      </c>
      <c r="M1381" s="14">
        <v>0.441482594</v>
      </c>
      <c r="N1381" s="14">
        <v>0.566905568</v>
      </c>
      <c r="O1381" s="14">
        <v>1.382205344</v>
      </c>
    </row>
    <row r="1382" spans="1:21">
      <c r="A1382" s="14" t="s">
        <v>7063</v>
      </c>
      <c r="B1382" s="14">
        <v>37.59062693</v>
      </c>
      <c r="C1382" s="14">
        <v>10.8157666</v>
      </c>
      <c r="D1382" s="14">
        <v>64.36548726</v>
      </c>
      <c r="E1382" s="14">
        <v>5.896752211</v>
      </c>
      <c r="F1382" s="14">
        <v>2.559920571</v>
      </c>
      <c r="G1382" s="51" t="s">
        <v>7064</v>
      </c>
      <c r="H1382" s="51" t="s">
        <v>7065</v>
      </c>
      <c r="I1382" s="14" t="s">
        <v>164</v>
      </c>
      <c r="J1382" s="14">
        <v>1.215658859</v>
      </c>
      <c r="K1382" s="14">
        <v>1.721331306</v>
      </c>
      <c r="L1382" s="14">
        <v>1.071301834</v>
      </c>
      <c r="M1382" s="14">
        <v>0.105774028</v>
      </c>
      <c r="N1382" s="14">
        <v>0.169129371</v>
      </c>
      <c r="O1382" s="14">
        <v>0.293214686</v>
      </c>
      <c r="P1382" s="14" t="s">
        <v>7066</v>
      </c>
      <c r="Q1382" s="14" t="s">
        <v>7067</v>
      </c>
      <c r="T1382" s="14" t="s">
        <v>7068</v>
      </c>
      <c r="U1382" s="14" t="s">
        <v>7069</v>
      </c>
    </row>
    <row r="1383" spans="1:21">
      <c r="A1383" s="14" t="s">
        <v>7070</v>
      </c>
      <c r="B1383" s="14">
        <v>5708.907629</v>
      </c>
      <c r="C1383" s="14">
        <v>7906.992563</v>
      </c>
      <c r="D1383" s="14">
        <v>3510.822694</v>
      </c>
      <c r="E1383" s="14">
        <v>0.444023983</v>
      </c>
      <c r="F1383" s="14">
        <v>-1.171290492</v>
      </c>
      <c r="G1383" s="51" t="s">
        <v>6263</v>
      </c>
      <c r="H1383" s="51" t="s">
        <v>7071</v>
      </c>
      <c r="I1383" s="14" t="s">
        <v>147</v>
      </c>
      <c r="J1383" s="14">
        <v>30.30922178</v>
      </c>
      <c r="K1383" s="14">
        <v>38.42270706</v>
      </c>
      <c r="L1383" s="14">
        <v>31.2120938</v>
      </c>
      <c r="M1383" s="14">
        <v>66.81096574</v>
      </c>
      <c r="N1383" s="14">
        <v>69.23979059</v>
      </c>
      <c r="O1383" s="14">
        <v>47.46785235</v>
      </c>
      <c r="P1383" s="14" t="s">
        <v>7072</v>
      </c>
      <c r="Q1383" s="14" t="s">
        <v>7073</v>
      </c>
      <c r="R1383" s="14" t="s">
        <v>378</v>
      </c>
      <c r="S1383" s="14" t="s">
        <v>379</v>
      </c>
      <c r="T1383" s="14" t="s">
        <v>7074</v>
      </c>
      <c r="U1383" s="14" t="s">
        <v>7075</v>
      </c>
    </row>
    <row r="1384" spans="1:21">
      <c r="A1384" s="14" t="s">
        <v>7076</v>
      </c>
      <c r="B1384" s="14">
        <v>2175.929813</v>
      </c>
      <c r="C1384" s="14">
        <v>2959.178054</v>
      </c>
      <c r="D1384" s="14">
        <v>1392.681571</v>
      </c>
      <c r="E1384" s="14">
        <v>0.470683124</v>
      </c>
      <c r="F1384" s="14">
        <v>-1.087171967</v>
      </c>
      <c r="G1384" s="14">
        <v>0.00426736</v>
      </c>
      <c r="H1384" s="14">
        <v>0.012894739</v>
      </c>
      <c r="I1384" s="14" t="s">
        <v>147</v>
      </c>
      <c r="J1384" s="14">
        <v>14.21051317</v>
      </c>
      <c r="K1384" s="14">
        <v>9.761039884</v>
      </c>
      <c r="L1384" s="14">
        <v>26.91447597</v>
      </c>
      <c r="M1384" s="14">
        <v>29.67727274</v>
      </c>
      <c r="N1384" s="14">
        <v>32.19581575</v>
      </c>
      <c r="O1384" s="14">
        <v>26.18240643</v>
      </c>
      <c r="P1384" s="14" t="s">
        <v>7077</v>
      </c>
      <c r="Q1384" s="14" t="s">
        <v>7078</v>
      </c>
      <c r="T1384" s="14" t="s">
        <v>7079</v>
      </c>
      <c r="U1384" s="14" t="s">
        <v>7080</v>
      </c>
    </row>
    <row r="1385" spans="1:21">
      <c r="A1385" s="14" t="s">
        <v>7081</v>
      </c>
      <c r="B1385" s="14">
        <v>1233.90864</v>
      </c>
      <c r="C1385" s="14">
        <v>1883.340366</v>
      </c>
      <c r="D1385" s="14">
        <v>584.4769147</v>
      </c>
      <c r="E1385" s="14">
        <v>0.310297367</v>
      </c>
      <c r="F1385" s="14">
        <v>-1.688276641</v>
      </c>
      <c r="G1385" s="51" t="s">
        <v>7082</v>
      </c>
      <c r="H1385" s="51" t="s">
        <v>4442</v>
      </c>
      <c r="I1385" s="14" t="s">
        <v>147</v>
      </c>
      <c r="J1385" s="14">
        <v>4.102711432</v>
      </c>
      <c r="K1385" s="14">
        <v>4.885700145</v>
      </c>
      <c r="L1385" s="14">
        <v>2.541271546</v>
      </c>
      <c r="M1385" s="14">
        <v>11.06737445</v>
      </c>
      <c r="N1385" s="14">
        <v>10.30680448</v>
      </c>
      <c r="O1385" s="14">
        <v>9.116413536</v>
      </c>
      <c r="P1385" s="14" t="s">
        <v>7083</v>
      </c>
      <c r="Q1385" s="14" t="s">
        <v>7084</v>
      </c>
      <c r="T1385" s="14" t="s">
        <v>7085</v>
      </c>
      <c r="U1385" s="14" t="s">
        <v>7086</v>
      </c>
    </row>
    <row r="1386" spans="1:21">
      <c r="A1386" s="14" t="s">
        <v>7087</v>
      </c>
      <c r="B1386" s="14">
        <v>916.0847133</v>
      </c>
      <c r="C1386" s="14">
        <v>37.72043916</v>
      </c>
      <c r="D1386" s="14">
        <v>1794.448987</v>
      </c>
      <c r="E1386" s="14">
        <v>47.36914119</v>
      </c>
      <c r="F1386" s="14">
        <v>5.565875611</v>
      </c>
      <c r="G1386" s="51" t="s">
        <v>7088</v>
      </c>
      <c r="H1386" s="51" t="s">
        <v>7089</v>
      </c>
      <c r="I1386" s="14" t="s">
        <v>164</v>
      </c>
      <c r="J1386" s="14">
        <v>24.74233556</v>
      </c>
      <c r="K1386" s="14">
        <v>17.22966153</v>
      </c>
      <c r="L1386" s="14">
        <v>25.39625792</v>
      </c>
      <c r="M1386" s="14">
        <v>0.222390012</v>
      </c>
      <c r="N1386" s="14">
        <v>0.467353023</v>
      </c>
      <c r="O1386" s="14">
        <v>0.486970716</v>
      </c>
      <c r="P1386" s="14" t="s">
        <v>7090</v>
      </c>
      <c r="Q1386" s="14" t="s">
        <v>7091</v>
      </c>
      <c r="T1386" s="14" t="s">
        <v>7092</v>
      </c>
      <c r="U1386" s="14" t="s">
        <v>7093</v>
      </c>
    </row>
    <row r="1387" spans="1:21">
      <c r="A1387" s="14" t="s">
        <v>7094</v>
      </c>
      <c r="B1387" s="14">
        <v>996.2250978</v>
      </c>
      <c r="C1387" s="14">
        <v>643.0180975</v>
      </c>
      <c r="D1387" s="14">
        <v>1349.432098</v>
      </c>
      <c r="E1387" s="14">
        <v>2.098078481</v>
      </c>
      <c r="F1387" s="14">
        <v>1.069068644</v>
      </c>
      <c r="G1387" s="14">
        <v>0.013078321</v>
      </c>
      <c r="H1387" s="14">
        <v>0.03391529</v>
      </c>
      <c r="I1387" s="14" t="s">
        <v>164</v>
      </c>
      <c r="J1387" s="14">
        <v>8.368539181</v>
      </c>
      <c r="K1387" s="14">
        <v>4.338575008</v>
      </c>
      <c r="L1387" s="14">
        <v>8.832027295</v>
      </c>
      <c r="M1387" s="14">
        <v>1.911452924</v>
      </c>
      <c r="N1387" s="14">
        <v>1.907164641</v>
      </c>
      <c r="O1387" s="14">
        <v>4.831544904</v>
      </c>
      <c r="P1387" s="14" t="s">
        <v>7095</v>
      </c>
      <c r="Q1387" s="14" t="s">
        <v>7096</v>
      </c>
      <c r="T1387" s="14" t="s">
        <v>7097</v>
      </c>
      <c r="U1387" s="14" t="s">
        <v>7098</v>
      </c>
    </row>
    <row r="1388" spans="1:21">
      <c r="A1388" s="14" t="s">
        <v>7099</v>
      </c>
      <c r="B1388" s="14">
        <v>22717.08954</v>
      </c>
      <c r="C1388" s="14">
        <v>36461.86257</v>
      </c>
      <c r="D1388" s="14">
        <v>8972.316515</v>
      </c>
      <c r="E1388" s="14">
        <v>0.24607633</v>
      </c>
      <c r="F1388" s="14">
        <v>-2.022822203</v>
      </c>
      <c r="G1388" s="51" t="s">
        <v>7100</v>
      </c>
      <c r="H1388" s="51" t="s">
        <v>7101</v>
      </c>
      <c r="I1388" s="14" t="s">
        <v>147</v>
      </c>
      <c r="J1388" s="14">
        <v>75.36439941</v>
      </c>
      <c r="K1388" s="14">
        <v>77.88980478</v>
      </c>
      <c r="L1388" s="14">
        <v>84.50429567</v>
      </c>
      <c r="M1388" s="14">
        <v>311.1088202</v>
      </c>
      <c r="N1388" s="14">
        <v>305.937367</v>
      </c>
      <c r="O1388" s="14">
        <v>164.9952669</v>
      </c>
      <c r="P1388" s="14" t="s">
        <v>7102</v>
      </c>
      <c r="Q1388" s="14" t="s">
        <v>7103</v>
      </c>
      <c r="R1388" s="14" t="s">
        <v>771</v>
      </c>
      <c r="S1388" s="14" t="s">
        <v>772</v>
      </c>
      <c r="T1388" s="14" t="s">
        <v>7104</v>
      </c>
      <c r="U1388" s="14" t="s">
        <v>7105</v>
      </c>
    </row>
    <row r="1389" spans="1:21">
      <c r="A1389" s="14" t="s">
        <v>7106</v>
      </c>
      <c r="B1389" s="14">
        <v>5.652998543</v>
      </c>
      <c r="C1389" s="14">
        <v>10.32534719</v>
      </c>
      <c r="D1389" s="14">
        <v>0.980649893</v>
      </c>
      <c r="E1389" s="14">
        <v>0.094540227</v>
      </c>
      <c r="F1389" s="14">
        <v>-3.402927856</v>
      </c>
      <c r="G1389" s="14">
        <v>0.013994594</v>
      </c>
      <c r="H1389" s="14">
        <v>0.035977155</v>
      </c>
      <c r="I1389" s="14" t="s">
        <v>147</v>
      </c>
      <c r="J1389" s="14">
        <v>0.014314515</v>
      </c>
      <c r="K1389" s="14">
        <v>0.014407987</v>
      </c>
      <c r="L1389" s="14">
        <v>0.013782723</v>
      </c>
      <c r="M1389" s="14">
        <v>0.024494846</v>
      </c>
      <c r="N1389" s="14">
        <v>0.129249434</v>
      </c>
      <c r="O1389" s="14">
        <v>0.227670798</v>
      </c>
      <c r="P1389" s="14" t="s">
        <v>1297</v>
      </c>
      <c r="Q1389" s="14" t="s">
        <v>1298</v>
      </c>
      <c r="T1389" s="14" t="s">
        <v>1299</v>
      </c>
      <c r="U1389" s="14" t="s">
        <v>1300</v>
      </c>
    </row>
    <row r="1390" spans="1:21">
      <c r="A1390" s="14" t="s">
        <v>7107</v>
      </c>
      <c r="B1390" s="14">
        <v>310.7768492</v>
      </c>
      <c r="C1390" s="14">
        <v>428.5053457</v>
      </c>
      <c r="D1390" s="14">
        <v>193.0483527</v>
      </c>
      <c r="E1390" s="14">
        <v>0.450679661</v>
      </c>
      <c r="F1390" s="14">
        <v>-1.149825753</v>
      </c>
      <c r="G1390" s="51" t="s">
        <v>4100</v>
      </c>
      <c r="H1390" s="51" t="s">
        <v>7108</v>
      </c>
      <c r="I1390" s="14" t="s">
        <v>147</v>
      </c>
      <c r="J1390" s="14">
        <v>2.972108235</v>
      </c>
      <c r="K1390" s="14">
        <v>3.460456015</v>
      </c>
      <c r="L1390" s="14">
        <v>2.954504397</v>
      </c>
      <c r="M1390" s="14">
        <v>6.144244676</v>
      </c>
      <c r="N1390" s="14">
        <v>6.132042722</v>
      </c>
      <c r="O1390" s="14">
        <v>4.747278251</v>
      </c>
      <c r="P1390" s="14" t="s">
        <v>7109</v>
      </c>
      <c r="Q1390" s="14" t="s">
        <v>7110</v>
      </c>
      <c r="T1390" s="14" t="s">
        <v>7111</v>
      </c>
      <c r="U1390" s="14" t="s">
        <v>7112</v>
      </c>
    </row>
    <row r="1391" spans="1:21">
      <c r="A1391" s="14" t="s">
        <v>7113</v>
      </c>
      <c r="B1391" s="14">
        <v>6194.891494</v>
      </c>
      <c r="C1391" s="14">
        <v>10443.03961</v>
      </c>
      <c r="D1391" s="14">
        <v>1946.743379</v>
      </c>
      <c r="E1391" s="14">
        <v>0.186418426</v>
      </c>
      <c r="F1391" s="14">
        <v>-2.423383631</v>
      </c>
      <c r="G1391" s="51" t="s">
        <v>7114</v>
      </c>
      <c r="H1391" s="51" t="s">
        <v>7115</v>
      </c>
      <c r="I1391" s="14" t="s">
        <v>147</v>
      </c>
      <c r="J1391" s="14">
        <v>26.64173843</v>
      </c>
      <c r="K1391" s="14">
        <v>28.21178089</v>
      </c>
      <c r="L1391" s="14">
        <v>26.08833101</v>
      </c>
      <c r="M1391" s="14">
        <v>146.8954726</v>
      </c>
      <c r="N1391" s="14">
        <v>140.4891392</v>
      </c>
      <c r="O1391" s="14">
        <v>62.99679837</v>
      </c>
      <c r="P1391" s="14" t="s">
        <v>796</v>
      </c>
      <c r="Q1391" s="14" t="s">
        <v>797</v>
      </c>
      <c r="T1391" s="14" t="s">
        <v>800</v>
      </c>
      <c r="U1391" s="14" t="s">
        <v>801</v>
      </c>
    </row>
    <row r="1392" spans="1:21">
      <c r="A1392" s="14" t="s">
        <v>7116</v>
      </c>
      <c r="B1392" s="14">
        <v>55.67104744</v>
      </c>
      <c r="C1392" s="14">
        <v>1.884432105</v>
      </c>
      <c r="D1392" s="14">
        <v>109.4576628</v>
      </c>
      <c r="E1392" s="14">
        <v>56.48635907</v>
      </c>
      <c r="F1392" s="14">
        <v>5.819830607</v>
      </c>
      <c r="G1392" s="51" t="s">
        <v>6714</v>
      </c>
      <c r="H1392" s="51" t="s">
        <v>7117</v>
      </c>
      <c r="I1392" s="14" t="s">
        <v>164</v>
      </c>
      <c r="J1392" s="14">
        <v>4.368630938</v>
      </c>
      <c r="K1392" s="14">
        <v>0.58112214</v>
      </c>
      <c r="L1392" s="14">
        <v>1.426818087</v>
      </c>
      <c r="M1392" s="14">
        <v>0</v>
      </c>
      <c r="N1392" s="14">
        <v>0.015797153</v>
      </c>
      <c r="O1392" s="14">
        <v>0.080550195</v>
      </c>
      <c r="P1392" s="14" t="s">
        <v>7118</v>
      </c>
      <c r="Q1392" s="14" t="s">
        <v>7119</v>
      </c>
      <c r="T1392" s="14" t="s">
        <v>7120</v>
      </c>
      <c r="U1392" s="14" t="s">
        <v>7121</v>
      </c>
    </row>
    <row r="1393" spans="1:21">
      <c r="A1393" s="14" t="s">
        <v>7122</v>
      </c>
      <c r="B1393" s="14">
        <v>1160.27548</v>
      </c>
      <c r="C1393" s="14">
        <v>145.4590154</v>
      </c>
      <c r="D1393" s="14">
        <v>2175.091944</v>
      </c>
      <c r="E1393" s="14">
        <v>14.96022351</v>
      </c>
      <c r="F1393" s="14">
        <v>3.903059825</v>
      </c>
      <c r="G1393" s="51" t="s">
        <v>7123</v>
      </c>
      <c r="H1393" s="51" t="s">
        <v>7124</v>
      </c>
      <c r="I1393" s="14" t="s">
        <v>164</v>
      </c>
      <c r="J1393" s="14">
        <v>46.82895886</v>
      </c>
      <c r="K1393" s="14">
        <v>25.26236625</v>
      </c>
      <c r="L1393" s="14">
        <v>29.18584089</v>
      </c>
      <c r="M1393" s="14">
        <v>1.907933764</v>
      </c>
      <c r="N1393" s="14">
        <v>1.805188546</v>
      </c>
      <c r="O1393" s="14">
        <v>1.853816687</v>
      </c>
      <c r="P1393" s="14" t="s">
        <v>7125</v>
      </c>
      <c r="Q1393" s="14" t="s">
        <v>7126</v>
      </c>
      <c r="R1393" s="14" t="s">
        <v>7127</v>
      </c>
      <c r="S1393" s="14" t="s">
        <v>7128</v>
      </c>
      <c r="T1393" s="14" t="s">
        <v>7129</v>
      </c>
      <c r="U1393" s="14" t="s">
        <v>7130</v>
      </c>
    </row>
    <row r="1394" spans="1:15">
      <c r="A1394" s="14" t="s">
        <v>7131</v>
      </c>
      <c r="B1394" s="14">
        <v>673.8042165</v>
      </c>
      <c r="C1394" s="14">
        <v>915.2662781</v>
      </c>
      <c r="D1394" s="14">
        <v>432.342155</v>
      </c>
      <c r="E1394" s="14">
        <v>0.47248071</v>
      </c>
      <c r="F1394" s="14">
        <v>-1.081672667</v>
      </c>
      <c r="G1394" s="14">
        <v>0.004875055</v>
      </c>
      <c r="H1394" s="14">
        <v>0.014504651</v>
      </c>
      <c r="I1394" s="14" t="s">
        <v>147</v>
      </c>
      <c r="J1394" s="14">
        <v>7.208364742</v>
      </c>
      <c r="K1394" s="14">
        <v>6.80091765</v>
      </c>
      <c r="L1394" s="14">
        <v>7.906774566</v>
      </c>
      <c r="M1394" s="14">
        <v>14.58148494</v>
      </c>
      <c r="N1394" s="14">
        <v>16.04845841</v>
      </c>
      <c r="O1394" s="14">
        <v>6.804133757</v>
      </c>
    </row>
    <row r="1395" spans="1:21">
      <c r="A1395" s="14" t="s">
        <v>7132</v>
      </c>
      <c r="B1395" s="14">
        <v>4050.469298</v>
      </c>
      <c r="C1395" s="14">
        <v>5628.072714</v>
      </c>
      <c r="D1395" s="14">
        <v>2472.865882</v>
      </c>
      <c r="E1395" s="14">
        <v>0.439409235</v>
      </c>
      <c r="F1395" s="14">
        <v>-1.186362903</v>
      </c>
      <c r="G1395" s="51" t="s">
        <v>7133</v>
      </c>
      <c r="H1395" s="51" t="s">
        <v>2032</v>
      </c>
      <c r="I1395" s="14" t="s">
        <v>147</v>
      </c>
      <c r="J1395" s="14">
        <v>17.83185013</v>
      </c>
      <c r="K1395" s="14">
        <v>19.31291491</v>
      </c>
      <c r="L1395" s="14">
        <v>20.24483116</v>
      </c>
      <c r="M1395" s="14">
        <v>41.38613504</v>
      </c>
      <c r="N1395" s="14">
        <v>38.32813736</v>
      </c>
      <c r="O1395" s="14">
        <v>26.47496545</v>
      </c>
      <c r="P1395" s="14" t="s">
        <v>7134</v>
      </c>
      <c r="Q1395" s="14" t="s">
        <v>7135</v>
      </c>
      <c r="T1395" s="14" t="s">
        <v>7136</v>
      </c>
      <c r="U1395" s="14" t="s">
        <v>7137</v>
      </c>
    </row>
    <row r="1396" spans="1:15">
      <c r="A1396" s="14" t="s">
        <v>7138</v>
      </c>
      <c r="B1396" s="14">
        <v>32.01727838</v>
      </c>
      <c r="C1396" s="14">
        <v>7.855337687</v>
      </c>
      <c r="D1396" s="14">
        <v>56.17921907</v>
      </c>
      <c r="E1396" s="14">
        <v>7.185752137</v>
      </c>
      <c r="F1396" s="14">
        <v>2.845139172</v>
      </c>
      <c r="G1396" s="14">
        <v>0.000295268</v>
      </c>
      <c r="H1396" s="14">
        <v>0.001243995</v>
      </c>
      <c r="I1396" s="14" t="s">
        <v>164</v>
      </c>
      <c r="J1396" s="14">
        <v>3.187889278</v>
      </c>
      <c r="K1396" s="14">
        <v>1.604352889</v>
      </c>
      <c r="L1396" s="14">
        <v>1.36032771</v>
      </c>
      <c r="M1396" s="14">
        <v>0.402932219</v>
      </c>
      <c r="N1396" s="14">
        <v>0.059471635</v>
      </c>
      <c r="O1396" s="14">
        <v>0.242598233</v>
      </c>
    </row>
    <row r="1397" spans="1:15">
      <c r="A1397" s="14" t="s">
        <v>7139</v>
      </c>
      <c r="B1397" s="14">
        <v>2706.032405</v>
      </c>
      <c r="C1397" s="14">
        <v>3627.295719</v>
      </c>
      <c r="D1397" s="14">
        <v>1784.769092</v>
      </c>
      <c r="E1397" s="14">
        <v>0.492057325</v>
      </c>
      <c r="F1397" s="14">
        <v>-1.023101696</v>
      </c>
      <c r="G1397" s="51" t="s">
        <v>7140</v>
      </c>
      <c r="H1397" s="51" t="s">
        <v>7141</v>
      </c>
      <c r="I1397" s="14" t="s">
        <v>147</v>
      </c>
      <c r="J1397" s="14">
        <v>23.71980238</v>
      </c>
      <c r="K1397" s="14">
        <v>25.8775998</v>
      </c>
      <c r="L1397" s="14">
        <v>22.05942919</v>
      </c>
      <c r="M1397" s="14">
        <v>42.23488423</v>
      </c>
      <c r="N1397" s="14">
        <v>39.93133118</v>
      </c>
      <c r="O1397" s="14">
        <v>37.27966344</v>
      </c>
    </row>
    <row r="1398" spans="1:21">
      <c r="A1398" s="14" t="s">
        <v>7142</v>
      </c>
      <c r="B1398" s="14">
        <v>150.3417254</v>
      </c>
      <c r="C1398" s="14">
        <v>84.20677994</v>
      </c>
      <c r="D1398" s="14">
        <v>216.4766708</v>
      </c>
      <c r="E1398" s="14">
        <v>2.566547845</v>
      </c>
      <c r="F1398" s="14">
        <v>1.359829155</v>
      </c>
      <c r="G1398" s="14">
        <v>0.004011245</v>
      </c>
      <c r="H1398" s="14">
        <v>0.012237078</v>
      </c>
      <c r="I1398" s="14" t="s">
        <v>164</v>
      </c>
      <c r="J1398" s="14">
        <v>1.103638086</v>
      </c>
      <c r="K1398" s="14">
        <v>1.571139463</v>
      </c>
      <c r="L1398" s="14">
        <v>1.320957982</v>
      </c>
      <c r="M1398" s="14">
        <v>0.344318316</v>
      </c>
      <c r="N1398" s="14">
        <v>0.21521666</v>
      </c>
      <c r="O1398" s="14">
        <v>0.75541727</v>
      </c>
      <c r="P1398" s="14" t="s">
        <v>7143</v>
      </c>
      <c r="Q1398" s="14" t="s">
        <v>7144</v>
      </c>
      <c r="T1398" s="14" t="s">
        <v>7145</v>
      </c>
      <c r="U1398" s="14" t="s">
        <v>7146</v>
      </c>
    </row>
    <row r="1399" spans="1:21">
      <c r="A1399" s="14" t="s">
        <v>7147</v>
      </c>
      <c r="B1399" s="14">
        <v>290.8238963</v>
      </c>
      <c r="C1399" s="14">
        <v>413.1456548</v>
      </c>
      <c r="D1399" s="14">
        <v>168.5021377</v>
      </c>
      <c r="E1399" s="14">
        <v>0.408172941</v>
      </c>
      <c r="F1399" s="14">
        <v>-1.29274755</v>
      </c>
      <c r="G1399" s="14">
        <v>0.001042144</v>
      </c>
      <c r="H1399" s="14">
        <v>0.00380404</v>
      </c>
      <c r="I1399" s="14" t="s">
        <v>147</v>
      </c>
      <c r="J1399" s="14">
        <v>1.16167756</v>
      </c>
      <c r="K1399" s="14">
        <v>1.407079399</v>
      </c>
      <c r="L1399" s="14">
        <v>2.474015869</v>
      </c>
      <c r="M1399" s="14">
        <v>3.723007818</v>
      </c>
      <c r="N1399" s="14">
        <v>3.854617584</v>
      </c>
      <c r="O1399" s="14">
        <v>2.439340315</v>
      </c>
      <c r="P1399" s="14" t="s">
        <v>7148</v>
      </c>
      <c r="Q1399" s="14" t="s">
        <v>7149</v>
      </c>
      <c r="T1399" s="14" t="s">
        <v>7150</v>
      </c>
      <c r="U1399" s="14" t="s">
        <v>7151</v>
      </c>
    </row>
    <row r="1400" spans="1:21">
      <c r="A1400" s="14" t="s">
        <v>7152</v>
      </c>
      <c r="B1400" s="14">
        <v>440.1816525</v>
      </c>
      <c r="C1400" s="14">
        <v>265.7094224</v>
      </c>
      <c r="D1400" s="14">
        <v>614.6538826</v>
      </c>
      <c r="E1400" s="14">
        <v>2.314295062</v>
      </c>
      <c r="F1400" s="14">
        <v>1.210572813</v>
      </c>
      <c r="G1400" s="14">
        <v>0.017978464</v>
      </c>
      <c r="H1400" s="14">
        <v>0.044443738</v>
      </c>
      <c r="I1400" s="14" t="s">
        <v>164</v>
      </c>
      <c r="J1400" s="14">
        <v>6.548469613</v>
      </c>
      <c r="K1400" s="14">
        <v>4.91312355</v>
      </c>
      <c r="L1400" s="14">
        <v>5.787932804</v>
      </c>
      <c r="M1400" s="14">
        <v>2.187245698</v>
      </c>
      <c r="N1400" s="14">
        <v>3.025957342</v>
      </c>
      <c r="O1400" s="14">
        <v>0.775349467</v>
      </c>
      <c r="P1400" s="14" t="s">
        <v>7153</v>
      </c>
      <c r="Q1400" s="14" t="s">
        <v>7154</v>
      </c>
      <c r="R1400" s="14" t="s">
        <v>1219</v>
      </c>
      <c r="S1400" s="14" t="s">
        <v>1220</v>
      </c>
      <c r="T1400" s="14" t="s">
        <v>7155</v>
      </c>
      <c r="U1400" s="14" t="s">
        <v>7156</v>
      </c>
    </row>
    <row r="1401" spans="1:15">
      <c r="A1401" s="14" t="s">
        <v>7157</v>
      </c>
      <c r="B1401" s="14">
        <v>981.2903467</v>
      </c>
      <c r="C1401" s="14">
        <v>1823.627934</v>
      </c>
      <c r="D1401" s="14">
        <v>138.9527596</v>
      </c>
      <c r="E1401" s="14">
        <v>0.076195028</v>
      </c>
      <c r="F1401" s="14">
        <v>-3.714159333</v>
      </c>
      <c r="G1401" s="51" t="s">
        <v>7158</v>
      </c>
      <c r="H1401" s="51" t="s">
        <v>7159</v>
      </c>
      <c r="I1401" s="14" t="s">
        <v>147</v>
      </c>
      <c r="J1401" s="14">
        <v>7.950158622</v>
      </c>
      <c r="K1401" s="14">
        <v>1.879029081</v>
      </c>
      <c r="L1401" s="14">
        <v>3.71893397</v>
      </c>
      <c r="M1401" s="14">
        <v>47.97280109</v>
      </c>
      <c r="N1401" s="14">
        <v>57.46420838</v>
      </c>
      <c r="O1401" s="14">
        <v>39.74183816</v>
      </c>
    </row>
    <row r="1402" spans="1:21">
      <c r="A1402" s="14" t="s">
        <v>7160</v>
      </c>
      <c r="B1402" s="14">
        <v>7122.09547</v>
      </c>
      <c r="C1402" s="14">
        <v>10076.84076</v>
      </c>
      <c r="D1402" s="14">
        <v>4167.350185</v>
      </c>
      <c r="E1402" s="14">
        <v>0.413537459</v>
      </c>
      <c r="F1402" s="14">
        <v>-1.273910079</v>
      </c>
      <c r="G1402" s="51" t="s">
        <v>7161</v>
      </c>
      <c r="H1402" s="51" t="s">
        <v>7162</v>
      </c>
      <c r="I1402" s="14" t="s">
        <v>147</v>
      </c>
      <c r="J1402" s="14">
        <v>103.2994591</v>
      </c>
      <c r="K1402" s="14">
        <v>89.27346672</v>
      </c>
      <c r="L1402" s="14">
        <v>81.13661146</v>
      </c>
      <c r="M1402" s="14">
        <v>157.4359163</v>
      </c>
      <c r="N1402" s="14">
        <v>149.740682</v>
      </c>
      <c r="O1402" s="14">
        <v>244.4285247</v>
      </c>
      <c r="P1402" s="14" t="s">
        <v>7163</v>
      </c>
      <c r="Q1402" s="14" t="s">
        <v>7164</v>
      </c>
      <c r="R1402" s="14" t="s">
        <v>1536</v>
      </c>
      <c r="S1402" s="14" t="s">
        <v>1537</v>
      </c>
      <c r="T1402" s="14" t="s">
        <v>7165</v>
      </c>
      <c r="U1402" s="14" t="s">
        <v>7166</v>
      </c>
    </row>
    <row r="1403" spans="1:21">
      <c r="A1403" s="14" t="s">
        <v>7167</v>
      </c>
      <c r="B1403" s="14">
        <v>5096.23219</v>
      </c>
      <c r="C1403" s="14">
        <v>9006.167257</v>
      </c>
      <c r="D1403" s="14">
        <v>1186.297123</v>
      </c>
      <c r="E1403" s="14">
        <v>0.131728866</v>
      </c>
      <c r="F1403" s="14">
        <v>-2.924356575</v>
      </c>
      <c r="G1403" s="51" t="s">
        <v>7168</v>
      </c>
      <c r="H1403" s="51" t="s">
        <v>7169</v>
      </c>
      <c r="I1403" s="14" t="s">
        <v>147</v>
      </c>
      <c r="J1403" s="14">
        <v>5.046368069</v>
      </c>
      <c r="K1403" s="14">
        <v>4.163516219</v>
      </c>
      <c r="L1403" s="14">
        <v>5.949912792</v>
      </c>
      <c r="M1403" s="14">
        <v>35.97557609</v>
      </c>
      <c r="N1403" s="14">
        <v>38.00998166</v>
      </c>
      <c r="O1403" s="14">
        <v>19.01998357</v>
      </c>
      <c r="P1403" s="14" t="s">
        <v>7170</v>
      </c>
      <c r="Q1403" s="14" t="s">
        <v>7171</v>
      </c>
      <c r="T1403" s="14" t="s">
        <v>7172</v>
      </c>
      <c r="U1403" s="14" t="s">
        <v>7173</v>
      </c>
    </row>
    <row r="1404" spans="1:17">
      <c r="A1404" s="14" t="s">
        <v>7174</v>
      </c>
      <c r="B1404" s="14">
        <v>3644.501076</v>
      </c>
      <c r="C1404" s="14">
        <v>5187.986426</v>
      </c>
      <c r="D1404" s="14">
        <v>2101.015725</v>
      </c>
      <c r="E1404" s="14">
        <v>0.404991156</v>
      </c>
      <c r="F1404" s="14">
        <v>-1.304037693</v>
      </c>
      <c r="G1404" s="14">
        <v>0.00029125</v>
      </c>
      <c r="H1404" s="14">
        <v>0.001229391</v>
      </c>
      <c r="I1404" s="14" t="s">
        <v>147</v>
      </c>
      <c r="J1404" s="14">
        <v>46.58021663</v>
      </c>
      <c r="K1404" s="14">
        <v>58.42666739</v>
      </c>
      <c r="L1404" s="14">
        <v>50.84228285</v>
      </c>
      <c r="M1404" s="14">
        <v>122.9157024</v>
      </c>
      <c r="N1404" s="14">
        <v>129.3472569</v>
      </c>
      <c r="O1404" s="14">
        <v>58.80634259</v>
      </c>
      <c r="P1404" s="14" t="s">
        <v>7175</v>
      </c>
      <c r="Q1404" s="14" t="s">
        <v>7176</v>
      </c>
    </row>
    <row r="1405" spans="1:21">
      <c r="A1405" s="14" t="s">
        <v>7177</v>
      </c>
      <c r="B1405" s="14">
        <v>531.2874922</v>
      </c>
      <c r="C1405" s="14">
        <v>844.0554542</v>
      </c>
      <c r="D1405" s="14">
        <v>218.5195302</v>
      </c>
      <c r="E1405" s="14">
        <v>0.258889754</v>
      </c>
      <c r="F1405" s="14">
        <v>-1.949590226</v>
      </c>
      <c r="G1405" s="14">
        <v>0.004406193</v>
      </c>
      <c r="H1405" s="14">
        <v>0.013253548</v>
      </c>
      <c r="I1405" s="14" t="s">
        <v>147</v>
      </c>
      <c r="J1405" s="14">
        <v>1.443725986</v>
      </c>
      <c r="K1405" s="14">
        <v>2.79773773</v>
      </c>
      <c r="L1405" s="14">
        <v>1.230310207</v>
      </c>
      <c r="M1405" s="14">
        <v>7.233988188</v>
      </c>
      <c r="N1405" s="14">
        <v>8.356788567</v>
      </c>
      <c r="O1405" s="14">
        <v>1.33356394</v>
      </c>
      <c r="P1405" s="14" t="s">
        <v>7178</v>
      </c>
      <c r="Q1405" s="14" t="s">
        <v>7179</v>
      </c>
      <c r="T1405" s="14" t="s">
        <v>7180</v>
      </c>
      <c r="U1405" s="14" t="s">
        <v>7181</v>
      </c>
    </row>
    <row r="1406" spans="1:15">
      <c r="A1406" s="14" t="s">
        <v>7182</v>
      </c>
      <c r="B1406" s="14">
        <v>489.454962</v>
      </c>
      <c r="C1406" s="14">
        <v>252.001514</v>
      </c>
      <c r="D1406" s="14">
        <v>726.90841</v>
      </c>
      <c r="E1406" s="14">
        <v>2.882393559</v>
      </c>
      <c r="F1406" s="14">
        <v>1.527267333</v>
      </c>
      <c r="G1406" s="14">
        <v>0.001981535</v>
      </c>
      <c r="H1406" s="14">
        <v>0.006657313</v>
      </c>
      <c r="I1406" s="14" t="s">
        <v>164</v>
      </c>
      <c r="J1406" s="14">
        <v>36.77116328</v>
      </c>
      <c r="K1406" s="14">
        <v>24.46354952</v>
      </c>
      <c r="L1406" s="14">
        <v>37.65029494</v>
      </c>
      <c r="M1406" s="14">
        <v>4.488977874</v>
      </c>
      <c r="N1406" s="14">
        <v>6.588793164</v>
      </c>
      <c r="O1406" s="14">
        <v>18.09329419</v>
      </c>
    </row>
    <row r="1407" spans="1:21">
      <c r="A1407" s="14" t="s">
        <v>7183</v>
      </c>
      <c r="B1407" s="14">
        <v>275.0695815</v>
      </c>
      <c r="C1407" s="14">
        <v>179.5752767</v>
      </c>
      <c r="D1407" s="14">
        <v>370.5638863</v>
      </c>
      <c r="E1407" s="14">
        <v>2.061392099</v>
      </c>
      <c r="F1407" s="14">
        <v>1.043618947</v>
      </c>
      <c r="G1407" s="51" t="s">
        <v>7184</v>
      </c>
      <c r="H1407" s="14">
        <v>0.000247383</v>
      </c>
      <c r="I1407" s="14" t="s">
        <v>164</v>
      </c>
      <c r="J1407" s="14">
        <v>6.096559862</v>
      </c>
      <c r="K1407" s="14">
        <v>4.174972926</v>
      </c>
      <c r="L1407" s="14">
        <v>5.360793819</v>
      </c>
      <c r="M1407" s="14">
        <v>1.714909911</v>
      </c>
      <c r="N1407" s="14">
        <v>1.816632932</v>
      </c>
      <c r="O1407" s="14">
        <v>2.773095197</v>
      </c>
      <c r="P1407" s="14" t="s">
        <v>7185</v>
      </c>
      <c r="Q1407" s="14" t="s">
        <v>7186</v>
      </c>
      <c r="T1407" s="14" t="s">
        <v>7187</v>
      </c>
      <c r="U1407" s="14" t="s">
        <v>7188</v>
      </c>
    </row>
    <row r="1408" spans="1:21">
      <c r="A1408" s="14" t="s">
        <v>7189</v>
      </c>
      <c r="B1408" s="14">
        <v>6906.074479</v>
      </c>
      <c r="C1408" s="14">
        <v>9503.4167</v>
      </c>
      <c r="D1408" s="14">
        <v>4308.732257</v>
      </c>
      <c r="E1408" s="14">
        <v>0.453384088</v>
      </c>
      <c r="F1408" s="14">
        <v>-1.141194335</v>
      </c>
      <c r="G1408" s="51" t="s">
        <v>7190</v>
      </c>
      <c r="H1408" s="51" t="s">
        <v>7191</v>
      </c>
      <c r="I1408" s="14" t="s">
        <v>147</v>
      </c>
      <c r="J1408" s="14">
        <v>160.7502869</v>
      </c>
      <c r="K1408" s="14">
        <v>182.0298239</v>
      </c>
      <c r="L1408" s="14">
        <v>161.3654267</v>
      </c>
      <c r="M1408" s="14">
        <v>310.2273324</v>
      </c>
      <c r="N1408" s="14">
        <v>284.3011655</v>
      </c>
      <c r="O1408" s="14">
        <v>321.4458309</v>
      </c>
      <c r="P1408" s="14" t="s">
        <v>7185</v>
      </c>
      <c r="Q1408" s="14" t="s">
        <v>7186</v>
      </c>
      <c r="T1408" s="14" t="s">
        <v>7187</v>
      </c>
      <c r="U1408" s="14" t="s">
        <v>7188</v>
      </c>
    </row>
    <row r="1409" spans="1:21">
      <c r="A1409" s="14" t="s">
        <v>7192</v>
      </c>
      <c r="B1409" s="14">
        <v>141.7254767</v>
      </c>
      <c r="C1409" s="14">
        <v>60.2787839</v>
      </c>
      <c r="D1409" s="14">
        <v>223.1721695</v>
      </c>
      <c r="E1409" s="14">
        <v>3.712247768</v>
      </c>
      <c r="F1409" s="14">
        <v>1.892293004</v>
      </c>
      <c r="G1409" s="51" t="s">
        <v>7193</v>
      </c>
      <c r="H1409" s="51" t="s">
        <v>7194</v>
      </c>
      <c r="I1409" s="14" t="s">
        <v>164</v>
      </c>
      <c r="J1409" s="14">
        <v>2.386286203</v>
      </c>
      <c r="K1409" s="14">
        <v>3.107571925</v>
      </c>
      <c r="L1409" s="14">
        <v>2.818747267</v>
      </c>
      <c r="M1409" s="14">
        <v>0.73669365</v>
      </c>
      <c r="N1409" s="14">
        <v>0.737060244</v>
      </c>
      <c r="O1409" s="14">
        <v>0.339790967</v>
      </c>
      <c r="P1409" s="14" t="s">
        <v>5242</v>
      </c>
      <c r="Q1409" s="14" t="s">
        <v>5243</v>
      </c>
      <c r="T1409" s="14" t="s">
        <v>5244</v>
      </c>
      <c r="U1409" s="14" t="s">
        <v>5245</v>
      </c>
    </row>
    <row r="1410" spans="1:21">
      <c r="A1410" s="14" t="s">
        <v>7195</v>
      </c>
      <c r="B1410" s="14">
        <v>10524.97089</v>
      </c>
      <c r="C1410" s="14">
        <v>3576.588566</v>
      </c>
      <c r="D1410" s="14">
        <v>17473.35321</v>
      </c>
      <c r="E1410" s="14">
        <v>4.885133005</v>
      </c>
      <c r="F1410" s="14">
        <v>2.288397842</v>
      </c>
      <c r="G1410" s="51" t="s">
        <v>7196</v>
      </c>
      <c r="H1410" s="51" t="s">
        <v>7197</v>
      </c>
      <c r="I1410" s="14" t="s">
        <v>164</v>
      </c>
      <c r="J1410" s="14">
        <v>132.5215008</v>
      </c>
      <c r="K1410" s="14">
        <v>126.9838528</v>
      </c>
      <c r="L1410" s="14">
        <v>141.9729498</v>
      </c>
      <c r="M1410" s="14">
        <v>14.97913137</v>
      </c>
      <c r="N1410" s="14">
        <v>14.47027865</v>
      </c>
      <c r="O1410" s="14">
        <v>40.10064166</v>
      </c>
      <c r="P1410" s="14" t="s">
        <v>7198</v>
      </c>
      <c r="Q1410" s="14" t="s">
        <v>7199</v>
      </c>
      <c r="R1410" s="14" t="s">
        <v>1043</v>
      </c>
      <c r="S1410" s="14" t="s">
        <v>1044</v>
      </c>
      <c r="T1410" s="14" t="s">
        <v>7200</v>
      </c>
      <c r="U1410" s="14" t="s">
        <v>7201</v>
      </c>
    </row>
    <row r="1411" spans="1:21">
      <c r="A1411" s="14" t="s">
        <v>7202</v>
      </c>
      <c r="B1411" s="14">
        <v>622.1463983</v>
      </c>
      <c r="C1411" s="14">
        <v>401.1656657</v>
      </c>
      <c r="D1411" s="14">
        <v>843.127131</v>
      </c>
      <c r="E1411" s="14">
        <v>2.102772156</v>
      </c>
      <c r="F1411" s="14">
        <v>1.072292537</v>
      </c>
      <c r="G1411" s="14">
        <v>0.002637796</v>
      </c>
      <c r="H1411" s="14">
        <v>0.008510608</v>
      </c>
      <c r="I1411" s="14" t="s">
        <v>164</v>
      </c>
      <c r="J1411" s="14">
        <v>21.42780223</v>
      </c>
      <c r="K1411" s="14">
        <v>30.36547083</v>
      </c>
      <c r="L1411" s="14">
        <v>22.77091893</v>
      </c>
      <c r="M1411" s="14">
        <v>12.35573797</v>
      </c>
      <c r="N1411" s="14">
        <v>10.29414481</v>
      </c>
      <c r="O1411" s="14">
        <v>6.093265352</v>
      </c>
      <c r="P1411" s="14" t="s">
        <v>7203</v>
      </c>
      <c r="Q1411" s="14" t="s">
        <v>7204</v>
      </c>
      <c r="T1411" s="14" t="s">
        <v>1440</v>
      </c>
      <c r="U1411" s="14" t="s">
        <v>1441</v>
      </c>
    </row>
    <row r="1412" spans="1:21">
      <c r="A1412" s="14" t="s">
        <v>7205</v>
      </c>
      <c r="B1412" s="14">
        <v>3209.7484</v>
      </c>
      <c r="C1412" s="14">
        <v>1418.454457</v>
      </c>
      <c r="D1412" s="14">
        <v>5001.042343</v>
      </c>
      <c r="E1412" s="14">
        <v>3.526101494</v>
      </c>
      <c r="F1412" s="14">
        <v>1.818074001</v>
      </c>
      <c r="G1412" s="51" t="s">
        <v>4208</v>
      </c>
      <c r="H1412" s="51" t="s">
        <v>1170</v>
      </c>
      <c r="I1412" s="14" t="s">
        <v>164</v>
      </c>
      <c r="J1412" s="14">
        <v>65.26462237</v>
      </c>
      <c r="K1412" s="14">
        <v>59.45904009</v>
      </c>
      <c r="L1412" s="14">
        <v>79.44096312</v>
      </c>
      <c r="M1412" s="14">
        <v>14.8899163</v>
      </c>
      <c r="N1412" s="14">
        <v>21.8419617</v>
      </c>
      <c r="O1412" s="14">
        <v>10.21903819</v>
      </c>
      <c r="P1412" s="14" t="s">
        <v>1195</v>
      </c>
      <c r="Q1412" s="14" t="s">
        <v>1196</v>
      </c>
      <c r="T1412" s="14" t="s">
        <v>1197</v>
      </c>
      <c r="U1412" s="14" t="s">
        <v>1198</v>
      </c>
    </row>
    <row r="1413" spans="1:21">
      <c r="A1413" s="14" t="s">
        <v>7206</v>
      </c>
      <c r="B1413" s="14">
        <v>134.3446399</v>
      </c>
      <c r="C1413" s="14">
        <v>29.78513467</v>
      </c>
      <c r="D1413" s="14">
        <v>238.9041451</v>
      </c>
      <c r="E1413" s="14">
        <v>8.003564675</v>
      </c>
      <c r="F1413" s="14">
        <v>3.000642699</v>
      </c>
      <c r="G1413" s="14">
        <v>0.019606928</v>
      </c>
      <c r="H1413" s="14">
        <v>0.047765072</v>
      </c>
      <c r="I1413" s="14" t="s">
        <v>164</v>
      </c>
      <c r="J1413" s="14">
        <v>6.912725891</v>
      </c>
      <c r="K1413" s="14">
        <v>5.990628239</v>
      </c>
      <c r="L1413" s="14">
        <v>9.580934839</v>
      </c>
      <c r="M1413" s="14">
        <v>0.026522384</v>
      </c>
      <c r="N1413" s="14">
        <v>0.050890158</v>
      </c>
      <c r="O1413" s="14">
        <v>2.413262206</v>
      </c>
      <c r="P1413" s="14" t="s">
        <v>7207</v>
      </c>
      <c r="Q1413" s="14" t="s">
        <v>7208</v>
      </c>
      <c r="T1413" s="14" t="s">
        <v>7209</v>
      </c>
      <c r="U1413" s="14" t="s">
        <v>7210</v>
      </c>
    </row>
    <row r="1414" spans="1:15">
      <c r="A1414" s="14" t="s">
        <v>7211</v>
      </c>
      <c r="B1414" s="14">
        <v>20464.52355</v>
      </c>
      <c r="C1414" s="14">
        <v>38720.43321</v>
      </c>
      <c r="D1414" s="14">
        <v>2208.61388</v>
      </c>
      <c r="E1414" s="14">
        <v>0.057039422</v>
      </c>
      <c r="F1414" s="14">
        <v>-4.131896822</v>
      </c>
      <c r="G1414" s="51" t="s">
        <v>7212</v>
      </c>
      <c r="H1414" s="51" t="s">
        <v>7213</v>
      </c>
      <c r="I1414" s="14" t="s">
        <v>147</v>
      </c>
      <c r="J1414" s="14">
        <v>124.1307029</v>
      </c>
      <c r="K1414" s="14">
        <v>200.9391223</v>
      </c>
      <c r="L1414" s="14">
        <v>102.7803159</v>
      </c>
      <c r="M1414" s="14">
        <v>2616.71867</v>
      </c>
      <c r="N1414" s="14">
        <v>2700.891917</v>
      </c>
      <c r="O1414" s="14">
        <v>708.7880122</v>
      </c>
    </row>
    <row r="1415" spans="1:21">
      <c r="A1415" s="14" t="s">
        <v>7214</v>
      </c>
      <c r="B1415" s="14">
        <v>1917.490849</v>
      </c>
      <c r="C1415" s="14">
        <v>2655.922095</v>
      </c>
      <c r="D1415" s="14">
        <v>1179.059604</v>
      </c>
      <c r="E1415" s="14">
        <v>0.443911461</v>
      </c>
      <c r="F1415" s="14">
        <v>-1.171656139</v>
      </c>
      <c r="G1415" s="51" t="s">
        <v>7215</v>
      </c>
      <c r="H1415" s="51" t="s">
        <v>7216</v>
      </c>
      <c r="I1415" s="14" t="s">
        <v>147</v>
      </c>
      <c r="J1415" s="14">
        <v>9.447579923</v>
      </c>
      <c r="K1415" s="14">
        <v>12.34034214</v>
      </c>
      <c r="L1415" s="14">
        <v>8.980293488</v>
      </c>
      <c r="M1415" s="14">
        <v>19.64352464</v>
      </c>
      <c r="N1415" s="14">
        <v>18.38528938</v>
      </c>
      <c r="O1415" s="14">
        <v>18.99499981</v>
      </c>
      <c r="P1415" s="14" t="s">
        <v>4073</v>
      </c>
      <c r="Q1415" s="14" t="s">
        <v>4074</v>
      </c>
      <c r="T1415" s="14" t="s">
        <v>4075</v>
      </c>
      <c r="U1415" s="14" t="s">
        <v>4076</v>
      </c>
    </row>
    <row r="1416" spans="1:21">
      <c r="A1416" s="14" t="s">
        <v>7217</v>
      </c>
      <c r="B1416" s="14">
        <v>4246.634769</v>
      </c>
      <c r="C1416" s="14">
        <v>6755.062112</v>
      </c>
      <c r="D1416" s="14">
        <v>1738.207426</v>
      </c>
      <c r="E1416" s="14">
        <v>0.257309825</v>
      </c>
      <c r="F1416" s="14">
        <v>-1.958421551</v>
      </c>
      <c r="G1416" s="14">
        <v>0.000261158</v>
      </c>
      <c r="H1416" s="14">
        <v>0.001112441</v>
      </c>
      <c r="I1416" s="14" t="s">
        <v>147</v>
      </c>
      <c r="J1416" s="14">
        <v>15.29226253</v>
      </c>
      <c r="K1416" s="14">
        <v>59.60093143</v>
      </c>
      <c r="L1416" s="14">
        <v>15.65689773</v>
      </c>
      <c r="M1416" s="14">
        <v>94.14840392</v>
      </c>
      <c r="N1416" s="14">
        <v>91.74418515</v>
      </c>
      <c r="O1416" s="14">
        <v>106.0149168</v>
      </c>
      <c r="Q1416" s="14" t="s">
        <v>7218</v>
      </c>
      <c r="T1416" s="14" t="s">
        <v>7219</v>
      </c>
      <c r="U1416" s="14" t="s">
        <v>7220</v>
      </c>
    </row>
    <row r="1417" spans="1:21">
      <c r="A1417" s="14" t="s">
        <v>7221</v>
      </c>
      <c r="B1417" s="14">
        <v>4096.510357</v>
      </c>
      <c r="C1417" s="14">
        <v>5789.495792</v>
      </c>
      <c r="D1417" s="14">
        <v>2403.524923</v>
      </c>
      <c r="E1417" s="14">
        <v>0.415135384</v>
      </c>
      <c r="F1417" s="14">
        <v>-1.268346191</v>
      </c>
      <c r="G1417" s="14">
        <v>0.001017297</v>
      </c>
      <c r="H1417" s="14">
        <v>0.003726325</v>
      </c>
      <c r="I1417" s="14" t="s">
        <v>147</v>
      </c>
      <c r="J1417" s="14">
        <v>69.08550803</v>
      </c>
      <c r="K1417" s="14">
        <v>65.74577789</v>
      </c>
      <c r="L1417" s="14">
        <v>69.82053365</v>
      </c>
      <c r="M1417" s="14">
        <v>87.65378936</v>
      </c>
      <c r="N1417" s="14">
        <v>86.12364327</v>
      </c>
      <c r="O1417" s="14">
        <v>243.960234</v>
      </c>
      <c r="P1417" s="14" t="s">
        <v>7222</v>
      </c>
      <c r="Q1417" s="14" t="s">
        <v>7223</v>
      </c>
      <c r="T1417" s="14" t="s">
        <v>1429</v>
      </c>
      <c r="U1417" s="14" t="s">
        <v>1430</v>
      </c>
    </row>
    <row r="1418" spans="1:21">
      <c r="A1418" s="14" t="s">
        <v>7224</v>
      </c>
      <c r="B1418" s="14">
        <v>777.2706456</v>
      </c>
      <c r="C1418" s="14">
        <v>484.5068739</v>
      </c>
      <c r="D1418" s="14">
        <v>1070.034417</v>
      </c>
      <c r="E1418" s="14">
        <v>2.207425199</v>
      </c>
      <c r="F1418" s="14">
        <v>1.142364552</v>
      </c>
      <c r="G1418" s="51" t="s">
        <v>7225</v>
      </c>
      <c r="H1418" s="14">
        <v>0.000118976</v>
      </c>
      <c r="I1418" s="14" t="s">
        <v>164</v>
      </c>
      <c r="J1418" s="14">
        <v>9.764367595</v>
      </c>
      <c r="K1418" s="14">
        <v>8.421482619</v>
      </c>
      <c r="L1418" s="14">
        <v>11.45959349</v>
      </c>
      <c r="M1418" s="14">
        <v>2.954107542</v>
      </c>
      <c r="N1418" s="14">
        <v>2.864106117</v>
      </c>
      <c r="O1418" s="14">
        <v>5.398190496</v>
      </c>
      <c r="P1418" s="14" t="s">
        <v>5267</v>
      </c>
      <c r="Q1418" s="14" t="s">
        <v>5268</v>
      </c>
      <c r="T1418" s="14" t="s">
        <v>5269</v>
      </c>
      <c r="U1418" s="14" t="s">
        <v>5270</v>
      </c>
    </row>
    <row r="1419" spans="1:15">
      <c r="A1419" s="14" t="s">
        <v>7226</v>
      </c>
      <c r="B1419" s="14">
        <v>1630.207796</v>
      </c>
      <c r="C1419" s="14">
        <v>2713.784579</v>
      </c>
      <c r="D1419" s="14">
        <v>546.6310121</v>
      </c>
      <c r="E1419" s="14">
        <v>0.201405034</v>
      </c>
      <c r="F1419" s="14">
        <v>-2.311828352</v>
      </c>
      <c r="G1419" s="51" t="s">
        <v>7227</v>
      </c>
      <c r="H1419" s="51" t="s">
        <v>7228</v>
      </c>
      <c r="I1419" s="14" t="s">
        <v>147</v>
      </c>
      <c r="J1419" s="14">
        <v>6.885496134</v>
      </c>
      <c r="K1419" s="14">
        <v>7.802908739</v>
      </c>
      <c r="L1419" s="14">
        <v>5.48948239</v>
      </c>
      <c r="M1419" s="14">
        <v>29.86333982</v>
      </c>
      <c r="N1419" s="14">
        <v>28.85075124</v>
      </c>
      <c r="O1419" s="14">
        <v>23.24955396</v>
      </c>
    </row>
    <row r="1420" spans="1:15">
      <c r="A1420" s="14" t="s">
        <v>7229</v>
      </c>
      <c r="B1420" s="14">
        <v>256.6892828</v>
      </c>
      <c r="C1420" s="14">
        <v>107.7502529</v>
      </c>
      <c r="D1420" s="14">
        <v>405.6283127</v>
      </c>
      <c r="E1420" s="14">
        <v>3.76291608</v>
      </c>
      <c r="F1420" s="14">
        <v>1.911851115</v>
      </c>
      <c r="G1420" s="51" t="s">
        <v>7230</v>
      </c>
      <c r="H1420" s="51" t="s">
        <v>7231</v>
      </c>
      <c r="I1420" s="14" t="s">
        <v>164</v>
      </c>
      <c r="J1420" s="14">
        <v>8.815823944</v>
      </c>
      <c r="K1420" s="14">
        <v>8.958302949</v>
      </c>
      <c r="L1420" s="14">
        <v>8.122785763</v>
      </c>
      <c r="M1420" s="14">
        <v>2.002984976</v>
      </c>
      <c r="N1420" s="14">
        <v>1.367643937</v>
      </c>
      <c r="O1420" s="14">
        <v>2.330438506</v>
      </c>
    </row>
    <row r="1421" spans="1:21">
      <c r="A1421" s="14" t="s">
        <v>7232</v>
      </c>
      <c r="B1421" s="14">
        <v>435.750828</v>
      </c>
      <c r="C1421" s="14">
        <v>118.9257462</v>
      </c>
      <c r="D1421" s="14">
        <v>752.5759098</v>
      </c>
      <c r="E1421" s="14">
        <v>6.321617139</v>
      </c>
      <c r="F1421" s="14">
        <v>2.660293663</v>
      </c>
      <c r="G1421" s="14">
        <v>0.001027927</v>
      </c>
      <c r="H1421" s="14">
        <v>0.003761394</v>
      </c>
      <c r="I1421" s="14" t="s">
        <v>164</v>
      </c>
      <c r="J1421" s="14">
        <v>34.23358372</v>
      </c>
      <c r="K1421" s="14">
        <v>38.6834674</v>
      </c>
      <c r="L1421" s="14">
        <v>39.71586146</v>
      </c>
      <c r="M1421" s="14">
        <v>1.521562225</v>
      </c>
      <c r="N1421" s="14">
        <v>1.094818737</v>
      </c>
      <c r="O1421" s="14">
        <v>12.9431671</v>
      </c>
      <c r="P1421" s="14" t="s">
        <v>7233</v>
      </c>
      <c r="Q1421" s="14" t="s">
        <v>7234</v>
      </c>
      <c r="T1421" s="14" t="s">
        <v>7235</v>
      </c>
      <c r="U1421" s="14" t="s">
        <v>7236</v>
      </c>
    </row>
    <row r="1422" spans="1:21">
      <c r="A1422" s="14" t="s">
        <v>7237</v>
      </c>
      <c r="B1422" s="14">
        <v>3575.482114</v>
      </c>
      <c r="C1422" s="14">
        <v>4868.68647</v>
      </c>
      <c r="D1422" s="14">
        <v>2282.277758</v>
      </c>
      <c r="E1422" s="14">
        <v>0.468725427</v>
      </c>
      <c r="F1422" s="14">
        <v>-1.093185036</v>
      </c>
      <c r="G1422" s="51" t="s">
        <v>7238</v>
      </c>
      <c r="H1422" s="51" t="s">
        <v>7239</v>
      </c>
      <c r="I1422" s="14" t="s">
        <v>147</v>
      </c>
      <c r="J1422" s="14">
        <v>26.27804401</v>
      </c>
      <c r="K1422" s="14">
        <v>31.84459811</v>
      </c>
      <c r="L1422" s="14">
        <v>23.73756406</v>
      </c>
      <c r="M1422" s="14">
        <v>46.68137062</v>
      </c>
      <c r="N1422" s="14">
        <v>41.2226608</v>
      </c>
      <c r="O1422" s="14">
        <v>56.78013203</v>
      </c>
      <c r="P1422" s="14" t="s">
        <v>7240</v>
      </c>
      <c r="Q1422" s="14" t="s">
        <v>7241</v>
      </c>
      <c r="T1422" s="14" t="s">
        <v>7242</v>
      </c>
      <c r="U1422" s="14" t="s">
        <v>7243</v>
      </c>
    </row>
    <row r="1423" spans="1:15">
      <c r="A1423" s="14" t="s">
        <v>7244</v>
      </c>
      <c r="B1423" s="14">
        <v>4.879979211</v>
      </c>
      <c r="C1423" s="14">
        <v>0</v>
      </c>
      <c r="D1423" s="14">
        <v>9.759958423</v>
      </c>
      <c r="E1423" s="14">
        <v>52.65853867</v>
      </c>
      <c r="F1423" s="14">
        <v>5.71859558</v>
      </c>
      <c r="G1423" s="14">
        <v>0.002085412</v>
      </c>
      <c r="H1423" s="14">
        <v>0.006955149</v>
      </c>
      <c r="I1423" s="14" t="s">
        <v>164</v>
      </c>
      <c r="J1423" s="14">
        <v>0.208681484</v>
      </c>
      <c r="K1423" s="14">
        <v>0.056011773</v>
      </c>
      <c r="L1423" s="14">
        <v>0.147347823</v>
      </c>
      <c r="M1423" s="14">
        <v>0</v>
      </c>
      <c r="N1423" s="14">
        <v>0</v>
      </c>
      <c r="O1423" s="14">
        <v>0</v>
      </c>
    </row>
    <row r="1424" spans="1:15">
      <c r="A1424" s="14" t="s">
        <v>7245</v>
      </c>
      <c r="B1424" s="14">
        <v>11.03790904</v>
      </c>
      <c r="C1424" s="14">
        <v>0.309088846</v>
      </c>
      <c r="D1424" s="14">
        <v>21.76672923</v>
      </c>
      <c r="E1424" s="14">
        <v>60.26109619</v>
      </c>
      <c r="F1424" s="14">
        <v>5.913155012</v>
      </c>
      <c r="G1424" s="14">
        <v>0.000907079</v>
      </c>
      <c r="H1424" s="14">
        <v>0.003361306</v>
      </c>
      <c r="I1424" s="14" t="s">
        <v>164</v>
      </c>
      <c r="J1424" s="14">
        <v>3.84285562</v>
      </c>
      <c r="K1424" s="14">
        <v>0.446301804</v>
      </c>
      <c r="L1424" s="14">
        <v>0.569244826</v>
      </c>
      <c r="M1424" s="14">
        <v>0</v>
      </c>
      <c r="N1424" s="14">
        <v>0</v>
      </c>
      <c r="O1424" s="14">
        <v>0.061862549</v>
      </c>
    </row>
    <row r="1425" spans="1:21">
      <c r="A1425" s="14" t="s">
        <v>7246</v>
      </c>
      <c r="B1425" s="14">
        <v>4.239961713</v>
      </c>
      <c r="C1425" s="14">
        <v>0.700884119</v>
      </c>
      <c r="D1425" s="14">
        <v>7.779039308</v>
      </c>
      <c r="E1425" s="14">
        <v>11.44680088</v>
      </c>
      <c r="F1425" s="14">
        <v>3.516872549</v>
      </c>
      <c r="G1425" s="14">
        <v>0.01456165</v>
      </c>
      <c r="H1425" s="14">
        <v>0.037209393</v>
      </c>
      <c r="I1425" s="14" t="s">
        <v>164</v>
      </c>
      <c r="J1425" s="14">
        <v>0.135942752</v>
      </c>
      <c r="K1425" s="14">
        <v>0.117283235</v>
      </c>
      <c r="L1425" s="14">
        <v>0.205688061</v>
      </c>
      <c r="M1425" s="14">
        <v>0.016615986</v>
      </c>
      <c r="N1425" s="14">
        <v>0.015941065</v>
      </c>
      <c r="O1425" s="14">
        <v>0</v>
      </c>
      <c r="P1425" s="14" t="s">
        <v>7247</v>
      </c>
      <c r="Q1425" s="14" t="s">
        <v>7248</v>
      </c>
      <c r="T1425" s="14" t="s">
        <v>7249</v>
      </c>
      <c r="U1425" s="14" t="s">
        <v>7250</v>
      </c>
    </row>
    <row r="1426" spans="1:21">
      <c r="A1426" s="14" t="s">
        <v>7251</v>
      </c>
      <c r="B1426" s="14">
        <v>52.10807852</v>
      </c>
      <c r="C1426" s="14">
        <v>23.02748228</v>
      </c>
      <c r="D1426" s="14">
        <v>81.18867475</v>
      </c>
      <c r="E1426" s="14">
        <v>3.510360864</v>
      </c>
      <c r="F1426" s="14">
        <v>1.811619347</v>
      </c>
      <c r="G1426" s="14">
        <v>0.003796577</v>
      </c>
      <c r="H1426" s="14">
        <v>0.011684249</v>
      </c>
      <c r="I1426" s="14" t="s">
        <v>164</v>
      </c>
      <c r="J1426" s="14">
        <v>0.829916295</v>
      </c>
      <c r="K1426" s="14">
        <v>0.539267248</v>
      </c>
      <c r="L1426" s="14">
        <v>1.223914139</v>
      </c>
      <c r="M1426" s="14">
        <v>0.107859036</v>
      </c>
      <c r="N1426" s="14">
        <v>0.129347425</v>
      </c>
      <c r="O1426" s="14">
        <v>0.386934066</v>
      </c>
      <c r="P1426" s="14" t="s">
        <v>7252</v>
      </c>
      <c r="Q1426" s="14" t="s">
        <v>7253</v>
      </c>
      <c r="T1426" s="14" t="s">
        <v>7254</v>
      </c>
      <c r="U1426" s="14" t="s">
        <v>7255</v>
      </c>
    </row>
    <row r="1427" spans="1:21">
      <c r="A1427" s="14" t="s">
        <v>7256</v>
      </c>
      <c r="B1427" s="14">
        <v>25.35702238</v>
      </c>
      <c r="C1427" s="14">
        <v>9.218279851</v>
      </c>
      <c r="D1427" s="14">
        <v>41.4957649</v>
      </c>
      <c r="E1427" s="14">
        <v>4.525647238</v>
      </c>
      <c r="F1427" s="14">
        <v>2.178124135</v>
      </c>
      <c r="G1427" s="14">
        <v>0.000482631</v>
      </c>
      <c r="H1427" s="14">
        <v>0.001922638</v>
      </c>
      <c r="I1427" s="14" t="s">
        <v>164</v>
      </c>
      <c r="J1427" s="14">
        <v>2.361188884</v>
      </c>
      <c r="K1427" s="14">
        <v>1.79287907</v>
      </c>
      <c r="L1427" s="14">
        <v>1.037021124</v>
      </c>
      <c r="M1427" s="14">
        <v>0.42530962</v>
      </c>
      <c r="N1427" s="14">
        <v>0.272022726</v>
      </c>
      <c r="O1427" s="14">
        <v>0.242734219</v>
      </c>
      <c r="P1427" s="14" t="s">
        <v>420</v>
      </c>
      <c r="Q1427" s="14" t="s">
        <v>421</v>
      </c>
      <c r="T1427" s="14" t="s">
        <v>399</v>
      </c>
      <c r="U1427" s="14" t="s">
        <v>400</v>
      </c>
    </row>
    <row r="1428" spans="1:21">
      <c r="A1428" s="14" t="s">
        <v>7257</v>
      </c>
      <c r="B1428" s="14">
        <v>73.80811787</v>
      </c>
      <c r="C1428" s="14">
        <v>116.9616288</v>
      </c>
      <c r="D1428" s="14">
        <v>30.65460693</v>
      </c>
      <c r="E1428" s="14">
        <v>0.261899853</v>
      </c>
      <c r="F1428" s="14">
        <v>-1.932912845</v>
      </c>
      <c r="G1428" s="14">
        <v>0.003738571</v>
      </c>
      <c r="H1428" s="14">
        <v>0.011528767</v>
      </c>
      <c r="I1428" s="14" t="s">
        <v>147</v>
      </c>
      <c r="J1428" s="14">
        <v>0.17344653</v>
      </c>
      <c r="K1428" s="14">
        <v>0.378254745</v>
      </c>
      <c r="L1428" s="14">
        <v>0.343283726</v>
      </c>
      <c r="M1428" s="14">
        <v>0.659555253</v>
      </c>
      <c r="N1428" s="14">
        <v>0.38756854</v>
      </c>
      <c r="O1428" s="14">
        <v>1.863297408</v>
      </c>
      <c r="P1428" s="14" t="s">
        <v>7258</v>
      </c>
      <c r="Q1428" s="14" t="s">
        <v>7259</v>
      </c>
      <c r="R1428" s="14" t="s">
        <v>1700</v>
      </c>
      <c r="S1428" s="14" t="s">
        <v>1701</v>
      </c>
      <c r="T1428" s="14" t="s">
        <v>7260</v>
      </c>
      <c r="U1428" s="14" t="s">
        <v>7261</v>
      </c>
    </row>
    <row r="1429" spans="1:21">
      <c r="A1429" s="14" t="s">
        <v>7262</v>
      </c>
      <c r="B1429" s="14">
        <v>56.61905945</v>
      </c>
      <c r="C1429" s="14">
        <v>99.56599752</v>
      </c>
      <c r="D1429" s="14">
        <v>13.67212138</v>
      </c>
      <c r="E1429" s="14">
        <v>0.137604078</v>
      </c>
      <c r="F1429" s="14">
        <v>-2.86140487</v>
      </c>
      <c r="G1429" s="51" t="s">
        <v>7263</v>
      </c>
      <c r="H1429" s="51" t="s">
        <v>7264</v>
      </c>
      <c r="I1429" s="14" t="s">
        <v>147</v>
      </c>
      <c r="J1429" s="14">
        <v>0.363773165</v>
      </c>
      <c r="K1429" s="14">
        <v>0.466007253</v>
      </c>
      <c r="L1429" s="14">
        <v>0.541309035</v>
      </c>
      <c r="M1429" s="14">
        <v>2.970950107</v>
      </c>
      <c r="N1429" s="14">
        <v>3.420328703</v>
      </c>
      <c r="O1429" s="14">
        <v>1.688670428</v>
      </c>
      <c r="P1429" s="14" t="s">
        <v>7265</v>
      </c>
      <c r="Q1429" s="14" t="s">
        <v>7266</v>
      </c>
      <c r="T1429" s="14" t="s">
        <v>7267</v>
      </c>
      <c r="U1429" s="14" t="s">
        <v>7268</v>
      </c>
    </row>
    <row r="1430" spans="1:21">
      <c r="A1430" s="14" t="s">
        <v>7269</v>
      </c>
      <c r="B1430" s="14">
        <v>223.3679884</v>
      </c>
      <c r="C1430" s="14">
        <v>31.45170478</v>
      </c>
      <c r="D1430" s="14">
        <v>415.2842721</v>
      </c>
      <c r="E1430" s="14">
        <v>13.16914472</v>
      </c>
      <c r="F1430" s="14">
        <v>3.719089746</v>
      </c>
      <c r="G1430" s="51" t="s">
        <v>7270</v>
      </c>
      <c r="H1430" s="14">
        <v>0.000334148</v>
      </c>
      <c r="I1430" s="14" t="s">
        <v>164</v>
      </c>
      <c r="J1430" s="14">
        <v>7.338479468</v>
      </c>
      <c r="K1430" s="14">
        <v>7.609104273</v>
      </c>
      <c r="L1430" s="14">
        <v>8.255328226</v>
      </c>
      <c r="M1430" s="14">
        <v>0.23663684</v>
      </c>
      <c r="N1430" s="14">
        <v>0.030269994</v>
      </c>
      <c r="O1430" s="14">
        <v>1.265650962</v>
      </c>
      <c r="P1430" s="14" t="s">
        <v>7271</v>
      </c>
      <c r="Q1430" s="14" t="s">
        <v>7272</v>
      </c>
      <c r="R1430" s="14" t="s">
        <v>798</v>
      </c>
      <c r="S1430" s="14" t="s">
        <v>799</v>
      </c>
      <c r="T1430" s="14" t="s">
        <v>7273</v>
      </c>
      <c r="U1430" s="14" t="s">
        <v>7274</v>
      </c>
    </row>
    <row r="1431" spans="1:15">
      <c r="A1431" s="14" t="s">
        <v>7275</v>
      </c>
      <c r="B1431" s="14">
        <v>3.548339828</v>
      </c>
      <c r="C1431" s="14">
        <v>0</v>
      </c>
      <c r="D1431" s="14">
        <v>7.096679656</v>
      </c>
      <c r="E1431" s="14">
        <v>38.31442243</v>
      </c>
      <c r="F1431" s="14">
        <v>5.259815653</v>
      </c>
      <c r="G1431" s="14">
        <v>0.007176771</v>
      </c>
      <c r="H1431" s="14">
        <v>0.020270488</v>
      </c>
      <c r="I1431" s="14" t="s">
        <v>164</v>
      </c>
      <c r="J1431" s="14">
        <v>0.532940406</v>
      </c>
      <c r="K1431" s="14">
        <v>0.804630656</v>
      </c>
      <c r="L1431" s="14">
        <v>1.53942411</v>
      </c>
      <c r="M1431" s="14">
        <v>0</v>
      </c>
      <c r="N1431" s="14">
        <v>0</v>
      </c>
      <c r="O1431" s="14">
        <v>0</v>
      </c>
    </row>
    <row r="1432" spans="1:21">
      <c r="A1432" s="14" t="s">
        <v>7276</v>
      </c>
      <c r="B1432" s="14">
        <v>3173.659937</v>
      </c>
      <c r="C1432" s="14">
        <v>4539.109964</v>
      </c>
      <c r="D1432" s="14">
        <v>1808.209909</v>
      </c>
      <c r="E1432" s="14">
        <v>0.39839257</v>
      </c>
      <c r="F1432" s="14">
        <v>-1.327737354</v>
      </c>
      <c r="G1432" s="51" t="s">
        <v>904</v>
      </c>
      <c r="H1432" s="51" t="s">
        <v>7277</v>
      </c>
      <c r="I1432" s="14" t="s">
        <v>147</v>
      </c>
      <c r="J1432" s="14">
        <v>19.51491849</v>
      </c>
      <c r="K1432" s="14">
        <v>27.66345396</v>
      </c>
      <c r="L1432" s="14">
        <v>31.27062844</v>
      </c>
      <c r="M1432" s="14">
        <v>53.24878642</v>
      </c>
      <c r="N1432" s="14">
        <v>53.69303083</v>
      </c>
      <c r="O1432" s="14">
        <v>54.82835919</v>
      </c>
      <c r="P1432" s="14" t="s">
        <v>7278</v>
      </c>
      <c r="Q1432" s="14" t="s">
        <v>7279</v>
      </c>
      <c r="T1432" s="14" t="s">
        <v>7280</v>
      </c>
      <c r="U1432" s="14" t="s">
        <v>7281</v>
      </c>
    </row>
    <row r="1433" spans="1:21">
      <c r="A1433" s="14" t="s">
        <v>7282</v>
      </c>
      <c r="B1433" s="14">
        <v>31.11738032</v>
      </c>
      <c r="C1433" s="14">
        <v>50.38640106</v>
      </c>
      <c r="D1433" s="14">
        <v>11.84835958</v>
      </c>
      <c r="E1433" s="14">
        <v>0.235088812</v>
      </c>
      <c r="F1433" s="14">
        <v>-2.088722211</v>
      </c>
      <c r="G1433" s="14">
        <v>0.000428505</v>
      </c>
      <c r="H1433" s="14">
        <v>0.001735949</v>
      </c>
      <c r="I1433" s="14" t="s">
        <v>147</v>
      </c>
      <c r="J1433" s="14">
        <v>0.232231015</v>
      </c>
      <c r="K1433" s="14">
        <v>0.202581126</v>
      </c>
      <c r="L1433" s="14">
        <v>0.119255201</v>
      </c>
      <c r="M1433" s="14">
        <v>0.874260753</v>
      </c>
      <c r="N1433" s="14">
        <v>0.622707889</v>
      </c>
      <c r="O1433" s="14">
        <v>0.414721002</v>
      </c>
      <c r="P1433" s="14" t="s">
        <v>7283</v>
      </c>
      <c r="Q1433" s="14" t="s">
        <v>7284</v>
      </c>
      <c r="T1433" s="14" t="s">
        <v>7285</v>
      </c>
      <c r="U1433" s="14" t="s">
        <v>7286</v>
      </c>
    </row>
    <row r="1434" spans="1:15">
      <c r="A1434" s="14" t="s">
        <v>7287</v>
      </c>
      <c r="B1434" s="14">
        <v>8.778423417</v>
      </c>
      <c r="C1434" s="14">
        <v>0.723792487</v>
      </c>
      <c r="D1434" s="14">
        <v>16.83305435</v>
      </c>
      <c r="E1434" s="14">
        <v>24.48320398</v>
      </c>
      <c r="F1434" s="14">
        <v>4.613720463</v>
      </c>
      <c r="G1434" s="14">
        <v>0.001329585</v>
      </c>
      <c r="H1434" s="14">
        <v>0.004700119</v>
      </c>
      <c r="I1434" s="14" t="s">
        <v>164</v>
      </c>
      <c r="J1434" s="14">
        <v>0.340365301</v>
      </c>
      <c r="K1434" s="14">
        <v>0.162278452</v>
      </c>
      <c r="L1434" s="14">
        <v>0.413962786</v>
      </c>
      <c r="M1434" s="14">
        <v>0.030654184</v>
      </c>
      <c r="N1434" s="14">
        <v>0</v>
      </c>
      <c r="O1434" s="14">
        <v>0</v>
      </c>
    </row>
    <row r="1435" spans="1:15">
      <c r="A1435" s="14" t="s">
        <v>7288</v>
      </c>
      <c r="B1435" s="14">
        <v>120.4775383</v>
      </c>
      <c r="C1435" s="14">
        <v>79.94629646</v>
      </c>
      <c r="D1435" s="14">
        <v>161.0087802</v>
      </c>
      <c r="E1435" s="14">
        <v>2.016321971</v>
      </c>
      <c r="F1435" s="14">
        <v>1.01172603</v>
      </c>
      <c r="G1435" s="14">
        <v>0.004000133</v>
      </c>
      <c r="H1435" s="14">
        <v>0.012213638</v>
      </c>
      <c r="I1435" s="14" t="s">
        <v>164</v>
      </c>
      <c r="J1435" s="14">
        <v>2.711634159</v>
      </c>
      <c r="K1435" s="14">
        <v>3.329795747</v>
      </c>
      <c r="L1435" s="14">
        <v>2.767549149</v>
      </c>
      <c r="M1435" s="14">
        <v>1.113628712</v>
      </c>
      <c r="N1435" s="14">
        <v>1.587752997</v>
      </c>
      <c r="O1435" s="14">
        <v>0.862564902</v>
      </c>
    </row>
    <row r="1436" spans="1:21">
      <c r="A1436" s="14" t="s">
        <v>7289</v>
      </c>
      <c r="B1436" s="14">
        <v>13.34184389</v>
      </c>
      <c r="C1436" s="14">
        <v>1.296153443</v>
      </c>
      <c r="D1436" s="14">
        <v>25.38753433</v>
      </c>
      <c r="E1436" s="14">
        <v>19.11978375</v>
      </c>
      <c r="F1436" s="14">
        <v>4.256994301</v>
      </c>
      <c r="G1436" s="51" t="s">
        <v>7290</v>
      </c>
      <c r="H1436" s="51" t="s">
        <v>7291</v>
      </c>
      <c r="I1436" s="14" t="s">
        <v>164</v>
      </c>
      <c r="J1436" s="14">
        <v>0.438422249</v>
      </c>
      <c r="K1436" s="14">
        <v>0.627089337</v>
      </c>
      <c r="L1436" s="14">
        <v>0.710963563</v>
      </c>
      <c r="M1436" s="14">
        <v>0</v>
      </c>
      <c r="N1436" s="14">
        <v>0.037881599</v>
      </c>
      <c r="O1436" s="14">
        <v>0.0386319</v>
      </c>
      <c r="P1436" s="14" t="s">
        <v>7292</v>
      </c>
      <c r="Q1436" s="14" t="s">
        <v>7293</v>
      </c>
      <c r="R1436" s="14" t="s">
        <v>5574</v>
      </c>
      <c r="S1436" s="14" t="s">
        <v>5575</v>
      </c>
      <c r="T1436" s="14" t="s">
        <v>7294</v>
      </c>
      <c r="U1436" s="14" t="s">
        <v>7295</v>
      </c>
    </row>
    <row r="1437" spans="1:21">
      <c r="A1437" s="14" t="s">
        <v>7296</v>
      </c>
      <c r="B1437" s="14">
        <v>391.6555836</v>
      </c>
      <c r="C1437" s="14">
        <v>225.9644847</v>
      </c>
      <c r="D1437" s="14">
        <v>557.3466825</v>
      </c>
      <c r="E1437" s="14">
        <v>2.466397954</v>
      </c>
      <c r="F1437" s="14">
        <v>1.302405598</v>
      </c>
      <c r="G1437" s="14">
        <v>0.000346121</v>
      </c>
      <c r="H1437" s="14">
        <v>0.001436835</v>
      </c>
      <c r="I1437" s="14" t="s">
        <v>164</v>
      </c>
      <c r="J1437" s="14">
        <v>5.69847475</v>
      </c>
      <c r="K1437" s="14">
        <v>2.391773047</v>
      </c>
      <c r="L1437" s="14">
        <v>4.707112205</v>
      </c>
      <c r="M1437" s="14">
        <v>1.405049006</v>
      </c>
      <c r="N1437" s="14">
        <v>1.15540947</v>
      </c>
      <c r="O1437" s="14">
        <v>1.729431595</v>
      </c>
      <c r="P1437" s="14" t="s">
        <v>7297</v>
      </c>
      <c r="Q1437" s="14" t="s">
        <v>7298</v>
      </c>
      <c r="T1437" s="14" t="s">
        <v>7299</v>
      </c>
      <c r="U1437" s="14" t="s">
        <v>7300</v>
      </c>
    </row>
    <row r="1438" spans="1:21">
      <c r="A1438" s="14" t="s">
        <v>7301</v>
      </c>
      <c r="B1438" s="14">
        <v>25049.25298</v>
      </c>
      <c r="C1438" s="14">
        <v>39740.16253</v>
      </c>
      <c r="D1438" s="14">
        <v>10358.34343</v>
      </c>
      <c r="E1438" s="14">
        <v>0.260651757</v>
      </c>
      <c r="F1438" s="14">
        <v>-1.939804511</v>
      </c>
      <c r="G1438" s="51" t="s">
        <v>7302</v>
      </c>
      <c r="H1438" s="51" t="s">
        <v>7303</v>
      </c>
      <c r="I1438" s="14" t="s">
        <v>147</v>
      </c>
      <c r="J1438" s="14">
        <v>43.64553007</v>
      </c>
      <c r="K1438" s="14">
        <v>42.26755698</v>
      </c>
      <c r="L1438" s="14">
        <v>38.92296343</v>
      </c>
      <c r="M1438" s="14">
        <v>134.5883465</v>
      </c>
      <c r="N1438" s="14">
        <v>136.3272751</v>
      </c>
      <c r="O1438" s="14">
        <v>121.8310526</v>
      </c>
      <c r="P1438" s="14" t="s">
        <v>7304</v>
      </c>
      <c r="Q1438" s="14" t="s">
        <v>7305</v>
      </c>
      <c r="R1438" s="14" t="s">
        <v>7306</v>
      </c>
      <c r="S1438" s="14" t="s">
        <v>7307</v>
      </c>
      <c r="T1438" s="14" t="s">
        <v>7308</v>
      </c>
      <c r="U1438" s="14" t="s">
        <v>7309</v>
      </c>
    </row>
    <row r="1439" spans="1:21">
      <c r="A1439" s="14" t="s">
        <v>7310</v>
      </c>
      <c r="B1439" s="14">
        <v>2079.435458</v>
      </c>
      <c r="C1439" s="14">
        <v>1370.305665</v>
      </c>
      <c r="D1439" s="14">
        <v>2788.565252</v>
      </c>
      <c r="E1439" s="14">
        <v>2.035437942</v>
      </c>
      <c r="F1439" s="14">
        <v>1.025339236</v>
      </c>
      <c r="G1439" s="51" t="s">
        <v>7311</v>
      </c>
      <c r="H1439" s="51" t="s">
        <v>2511</v>
      </c>
      <c r="I1439" s="14" t="s">
        <v>164</v>
      </c>
      <c r="J1439" s="14">
        <v>12.76896073</v>
      </c>
      <c r="K1439" s="14">
        <v>9.754926348</v>
      </c>
      <c r="L1439" s="14">
        <v>13.47076878</v>
      </c>
      <c r="M1439" s="14">
        <v>5.069225583</v>
      </c>
      <c r="N1439" s="14">
        <v>5.293053162</v>
      </c>
      <c r="O1439" s="14">
        <v>4.068904438</v>
      </c>
      <c r="P1439" s="14" t="s">
        <v>5327</v>
      </c>
      <c r="Q1439" s="14" t="s">
        <v>5328</v>
      </c>
      <c r="R1439" s="14" t="s">
        <v>5329</v>
      </c>
      <c r="S1439" s="14" t="s">
        <v>5330</v>
      </c>
      <c r="T1439" s="14" t="s">
        <v>5331</v>
      </c>
      <c r="U1439" s="14" t="s">
        <v>5332</v>
      </c>
    </row>
    <row r="1440" spans="1:15">
      <c r="A1440" s="14" t="s">
        <v>7312</v>
      </c>
      <c r="B1440" s="14">
        <v>10.25474224</v>
      </c>
      <c r="C1440" s="14">
        <v>0.309088846</v>
      </c>
      <c r="D1440" s="14">
        <v>20.20039564</v>
      </c>
      <c r="E1440" s="14">
        <v>55.95723685</v>
      </c>
      <c r="F1440" s="14">
        <v>5.806252819</v>
      </c>
      <c r="G1440" s="51" t="s">
        <v>6526</v>
      </c>
      <c r="H1440" s="14">
        <v>0.000164003</v>
      </c>
      <c r="I1440" s="14" t="s">
        <v>164</v>
      </c>
      <c r="J1440" s="14">
        <v>0.222991605</v>
      </c>
      <c r="K1440" s="14">
        <v>0.249386345</v>
      </c>
      <c r="L1440" s="14">
        <v>0.286276455</v>
      </c>
      <c r="M1440" s="14">
        <v>0</v>
      </c>
      <c r="N1440" s="14">
        <v>0</v>
      </c>
      <c r="O1440" s="14">
        <v>0.010370342</v>
      </c>
    </row>
    <row r="1441" spans="1:15">
      <c r="A1441" s="14" t="s">
        <v>7313</v>
      </c>
      <c r="B1441" s="14">
        <v>1798.51791</v>
      </c>
      <c r="C1441" s="14">
        <v>2446.36141</v>
      </c>
      <c r="D1441" s="14">
        <v>1150.674411</v>
      </c>
      <c r="E1441" s="14">
        <v>0.470277392</v>
      </c>
      <c r="F1441" s="14">
        <v>-1.088416118</v>
      </c>
      <c r="G1441" s="51" t="s">
        <v>6099</v>
      </c>
      <c r="H1441" s="51" t="s">
        <v>6100</v>
      </c>
      <c r="I1441" s="14" t="s">
        <v>147</v>
      </c>
      <c r="J1441" s="14">
        <v>8.330464884</v>
      </c>
      <c r="K1441" s="14">
        <v>7.58980313</v>
      </c>
      <c r="L1441" s="14">
        <v>7.202907027</v>
      </c>
      <c r="M1441" s="14">
        <v>11.8242696</v>
      </c>
      <c r="N1441" s="14">
        <v>11.09879597</v>
      </c>
      <c r="O1441" s="14">
        <v>18.01978274</v>
      </c>
    </row>
    <row r="1442" spans="1:21">
      <c r="A1442" s="14" t="s">
        <v>7314</v>
      </c>
      <c r="B1442" s="14">
        <v>197.6457385</v>
      </c>
      <c r="C1442" s="14">
        <v>354.5166834</v>
      </c>
      <c r="D1442" s="14">
        <v>40.77479354</v>
      </c>
      <c r="E1442" s="14">
        <v>0.115005088</v>
      </c>
      <c r="F1442" s="14">
        <v>-3.12023041</v>
      </c>
      <c r="G1442" s="14">
        <v>0.001705968</v>
      </c>
      <c r="H1442" s="14">
        <v>0.00584505</v>
      </c>
      <c r="I1442" s="14" t="s">
        <v>147</v>
      </c>
      <c r="J1442" s="14">
        <v>1.042005082</v>
      </c>
      <c r="K1442" s="14">
        <v>1.048809239</v>
      </c>
      <c r="L1442" s="14">
        <v>0.64040043</v>
      </c>
      <c r="M1442" s="14">
        <v>7.359897917</v>
      </c>
      <c r="N1442" s="14">
        <v>11.22836365</v>
      </c>
      <c r="O1442" s="14">
        <v>0.296940237</v>
      </c>
      <c r="P1442" s="14" t="s">
        <v>7315</v>
      </c>
      <c r="Q1442" s="14" t="s">
        <v>7316</v>
      </c>
      <c r="T1442" s="14" t="s">
        <v>3051</v>
      </c>
      <c r="U1442" s="14" t="s">
        <v>3052</v>
      </c>
    </row>
    <row r="1443" spans="1:21">
      <c r="A1443" s="14" t="s">
        <v>7317</v>
      </c>
      <c r="B1443" s="14">
        <v>376.940684</v>
      </c>
      <c r="C1443" s="14">
        <v>208.059252</v>
      </c>
      <c r="D1443" s="14">
        <v>545.822116</v>
      </c>
      <c r="E1443" s="14">
        <v>2.620861787</v>
      </c>
      <c r="F1443" s="14">
        <v>1.390041274</v>
      </c>
      <c r="G1443" s="14">
        <v>0.001105754</v>
      </c>
      <c r="H1443" s="14">
        <v>0.004010752</v>
      </c>
      <c r="I1443" s="14" t="s">
        <v>164</v>
      </c>
      <c r="J1443" s="14">
        <v>9.870774888</v>
      </c>
      <c r="K1443" s="14">
        <v>6.660051496</v>
      </c>
      <c r="L1443" s="14">
        <v>9.234238404</v>
      </c>
      <c r="M1443" s="14">
        <v>1.638457525</v>
      </c>
      <c r="N1443" s="14">
        <v>1.865839023</v>
      </c>
      <c r="O1443" s="14">
        <v>4.809118134</v>
      </c>
      <c r="P1443" s="14" t="s">
        <v>7318</v>
      </c>
      <c r="Q1443" s="14" t="s">
        <v>7319</v>
      </c>
      <c r="T1443" s="14" t="s">
        <v>7320</v>
      </c>
      <c r="U1443" s="14" t="s">
        <v>7321</v>
      </c>
    </row>
    <row r="1444" spans="1:21">
      <c r="A1444" s="14" t="s">
        <v>7322</v>
      </c>
      <c r="B1444" s="14">
        <v>309.8382457</v>
      </c>
      <c r="C1444" s="14">
        <v>76.93512163</v>
      </c>
      <c r="D1444" s="14">
        <v>542.7413697</v>
      </c>
      <c r="E1444" s="14">
        <v>7.044239078</v>
      </c>
      <c r="F1444" s="14">
        <v>2.816443874</v>
      </c>
      <c r="G1444" s="14">
        <v>0.000694283</v>
      </c>
      <c r="H1444" s="14">
        <v>0.002657912</v>
      </c>
      <c r="I1444" s="14" t="s">
        <v>164</v>
      </c>
      <c r="J1444" s="14">
        <v>3.084780343</v>
      </c>
      <c r="K1444" s="14">
        <v>1.252059278</v>
      </c>
      <c r="L1444" s="14">
        <v>3.176380515</v>
      </c>
      <c r="M1444" s="14">
        <v>0.081869654</v>
      </c>
      <c r="N1444" s="14">
        <v>0.089764816</v>
      </c>
      <c r="O1444" s="14">
        <v>0.755227605</v>
      </c>
      <c r="Q1444" s="14" t="s">
        <v>7323</v>
      </c>
      <c r="T1444" s="14" t="s">
        <v>7324</v>
      </c>
      <c r="U1444" s="14" t="s">
        <v>7325</v>
      </c>
    </row>
    <row r="1445" spans="1:21">
      <c r="A1445" s="14" t="s">
        <v>7326</v>
      </c>
      <c r="B1445" s="14">
        <v>1655.254036</v>
      </c>
      <c r="C1445" s="14">
        <v>2297.528594</v>
      </c>
      <c r="D1445" s="14">
        <v>1012.979477</v>
      </c>
      <c r="E1445" s="14">
        <v>0.440904469</v>
      </c>
      <c r="F1445" s="14">
        <v>-1.181461994</v>
      </c>
      <c r="G1445" s="51" t="s">
        <v>7327</v>
      </c>
      <c r="H1445" s="51" t="s">
        <v>7328</v>
      </c>
      <c r="I1445" s="14" t="s">
        <v>147</v>
      </c>
      <c r="J1445" s="14">
        <v>8.92921713</v>
      </c>
      <c r="K1445" s="14">
        <v>13.96937213</v>
      </c>
      <c r="L1445" s="14">
        <v>11.28085364</v>
      </c>
      <c r="M1445" s="14">
        <v>21.0594984</v>
      </c>
      <c r="N1445" s="14">
        <v>22.13482346</v>
      </c>
      <c r="O1445" s="14">
        <v>20.48294892</v>
      </c>
      <c r="P1445" s="14" t="s">
        <v>7329</v>
      </c>
      <c r="Q1445" s="14" t="s">
        <v>7330</v>
      </c>
      <c r="T1445" s="14" t="s">
        <v>7331</v>
      </c>
      <c r="U1445" s="14" t="s">
        <v>7332</v>
      </c>
    </row>
    <row r="1446" spans="1:15">
      <c r="A1446" s="14" t="s">
        <v>7333</v>
      </c>
      <c r="B1446" s="14">
        <v>74.6942555</v>
      </c>
      <c r="C1446" s="14">
        <v>29.4635659</v>
      </c>
      <c r="D1446" s="14">
        <v>119.9249451</v>
      </c>
      <c r="E1446" s="14">
        <v>4.07842326</v>
      </c>
      <c r="F1446" s="14">
        <v>2.028011507</v>
      </c>
      <c r="G1446" s="14">
        <v>0.00345205</v>
      </c>
      <c r="H1446" s="14">
        <v>0.010742728</v>
      </c>
      <c r="I1446" s="14" t="s">
        <v>164</v>
      </c>
      <c r="J1446" s="14">
        <v>4.536337979</v>
      </c>
      <c r="K1446" s="14">
        <v>4.316907328</v>
      </c>
      <c r="L1446" s="14">
        <v>6.154642025</v>
      </c>
      <c r="M1446" s="14">
        <v>0.846821833</v>
      </c>
      <c r="N1446" s="14">
        <v>1.827956284</v>
      </c>
      <c r="O1446" s="14">
        <v>0.276172096</v>
      </c>
    </row>
    <row r="1447" spans="1:21">
      <c r="A1447" s="14" t="s">
        <v>7334</v>
      </c>
      <c r="B1447" s="14">
        <v>178.3646173</v>
      </c>
      <c r="C1447" s="14">
        <v>40.45215265</v>
      </c>
      <c r="D1447" s="14">
        <v>316.277082</v>
      </c>
      <c r="E1447" s="14">
        <v>7.819495673</v>
      </c>
      <c r="F1447" s="14">
        <v>2.967075562</v>
      </c>
      <c r="G1447" s="14">
        <v>0.000477344</v>
      </c>
      <c r="H1447" s="14">
        <v>0.001905631</v>
      </c>
      <c r="I1447" s="14" t="s">
        <v>164</v>
      </c>
      <c r="J1447" s="14">
        <v>2.951702586</v>
      </c>
      <c r="K1447" s="14">
        <v>0.955155164</v>
      </c>
      <c r="L1447" s="14">
        <v>1.375868598</v>
      </c>
      <c r="M1447" s="14">
        <v>0.051925368</v>
      </c>
      <c r="N1447" s="14">
        <v>0.421173549</v>
      </c>
      <c r="O1447" s="14">
        <v>0.073895142</v>
      </c>
      <c r="Q1447" s="14" t="s">
        <v>7335</v>
      </c>
      <c r="T1447" s="14" t="s">
        <v>558</v>
      </c>
      <c r="U1447" s="14" t="s">
        <v>559</v>
      </c>
    </row>
    <row r="1448" spans="1:21">
      <c r="A1448" s="14" t="s">
        <v>7336</v>
      </c>
      <c r="B1448" s="14">
        <v>884.5940215</v>
      </c>
      <c r="C1448" s="14">
        <v>1189.128292</v>
      </c>
      <c r="D1448" s="14">
        <v>580.0597508</v>
      </c>
      <c r="E1448" s="14">
        <v>0.487872528</v>
      </c>
      <c r="F1448" s="14">
        <v>-1.035423848</v>
      </c>
      <c r="G1448" s="51" t="s">
        <v>7337</v>
      </c>
      <c r="H1448" s="51" t="s">
        <v>7338</v>
      </c>
      <c r="I1448" s="14" t="s">
        <v>147</v>
      </c>
      <c r="J1448" s="14">
        <v>6.269832465</v>
      </c>
      <c r="K1448" s="14">
        <v>8.146856161</v>
      </c>
      <c r="L1448" s="14">
        <v>6.792971717</v>
      </c>
      <c r="M1448" s="14">
        <v>12.73407409</v>
      </c>
      <c r="N1448" s="14">
        <v>12.99030059</v>
      </c>
      <c r="O1448" s="14">
        <v>9.789060788</v>
      </c>
      <c r="P1448" s="14" t="s">
        <v>7339</v>
      </c>
      <c r="Q1448" s="14" t="s">
        <v>7340</v>
      </c>
      <c r="T1448" s="14" t="s">
        <v>7341</v>
      </c>
      <c r="U1448" s="14" t="s">
        <v>7342</v>
      </c>
    </row>
    <row r="1449" spans="1:21">
      <c r="A1449" s="14" t="s">
        <v>7343</v>
      </c>
      <c r="B1449" s="14">
        <v>22.33548018</v>
      </c>
      <c r="C1449" s="14">
        <v>9.942072339</v>
      </c>
      <c r="D1449" s="14">
        <v>34.72888802</v>
      </c>
      <c r="E1449" s="14">
        <v>3.508948151</v>
      </c>
      <c r="F1449" s="14">
        <v>1.81103863</v>
      </c>
      <c r="G1449" s="14">
        <v>0.011633735</v>
      </c>
      <c r="H1449" s="14">
        <v>0.030751109</v>
      </c>
      <c r="I1449" s="14" t="s">
        <v>164</v>
      </c>
      <c r="J1449" s="14">
        <v>0.667162434</v>
      </c>
      <c r="K1449" s="14">
        <v>0.843703256</v>
      </c>
      <c r="L1449" s="14">
        <v>0.280010476</v>
      </c>
      <c r="M1449" s="14">
        <v>0.204909974</v>
      </c>
      <c r="N1449" s="14">
        <v>0.112335311</v>
      </c>
      <c r="O1449" s="14">
        <v>0.100240242</v>
      </c>
      <c r="P1449" s="14" t="s">
        <v>7344</v>
      </c>
      <c r="Q1449" s="14" t="s">
        <v>7345</v>
      </c>
      <c r="T1449" s="14" t="s">
        <v>2913</v>
      </c>
      <c r="U1449" s="14" t="s">
        <v>2914</v>
      </c>
    </row>
    <row r="1450" spans="1:21">
      <c r="A1450" s="14" t="s">
        <v>7346</v>
      </c>
      <c r="B1450" s="14">
        <v>4.758069942</v>
      </c>
      <c r="C1450" s="14">
        <v>0.338987876</v>
      </c>
      <c r="D1450" s="14">
        <v>9.177152007</v>
      </c>
      <c r="E1450" s="14">
        <v>25.40691817</v>
      </c>
      <c r="F1450" s="14">
        <v>4.667149484</v>
      </c>
      <c r="G1450" s="14">
        <v>0.005971945</v>
      </c>
      <c r="H1450" s="14">
        <v>0.017291087</v>
      </c>
      <c r="I1450" s="14" t="s">
        <v>164</v>
      </c>
      <c r="J1450" s="14">
        <v>0.231907122</v>
      </c>
      <c r="K1450" s="14">
        <v>0.072944202</v>
      </c>
      <c r="L1450" s="14">
        <v>0.097690093</v>
      </c>
      <c r="M1450" s="14">
        <v>0</v>
      </c>
      <c r="N1450" s="14">
        <v>0.011897437</v>
      </c>
      <c r="O1450" s="14">
        <v>0</v>
      </c>
      <c r="P1450" s="14" t="s">
        <v>7347</v>
      </c>
      <c r="Q1450" s="14" t="s">
        <v>7348</v>
      </c>
      <c r="T1450" s="14" t="s">
        <v>7349</v>
      </c>
      <c r="U1450" s="14" t="s">
        <v>7350</v>
      </c>
    </row>
    <row r="1451" spans="1:15">
      <c r="A1451" s="14" t="s">
        <v>7351</v>
      </c>
      <c r="B1451" s="14">
        <v>41.30412052</v>
      </c>
      <c r="C1451" s="14">
        <v>81.29131615</v>
      </c>
      <c r="D1451" s="14">
        <v>1.316924887</v>
      </c>
      <c r="E1451" s="14">
        <v>0.016118206</v>
      </c>
      <c r="F1451" s="14">
        <v>-5.955164994</v>
      </c>
      <c r="G1451" s="51" t="s">
        <v>7352</v>
      </c>
      <c r="H1451" s="51" t="s">
        <v>7353</v>
      </c>
      <c r="I1451" s="14" t="s">
        <v>147</v>
      </c>
      <c r="J1451" s="14">
        <v>0.069455892</v>
      </c>
      <c r="K1451" s="14">
        <v>0.139818861</v>
      </c>
      <c r="L1451" s="14">
        <v>0.066875567</v>
      </c>
      <c r="M1451" s="14">
        <v>6.655722479</v>
      </c>
      <c r="N1451" s="14">
        <v>4.047872005</v>
      </c>
      <c r="O1451" s="14">
        <v>3.139640667</v>
      </c>
    </row>
    <row r="1452" spans="1:21">
      <c r="A1452" s="14" t="s">
        <v>7354</v>
      </c>
      <c r="B1452" s="14">
        <v>487.0974879</v>
      </c>
      <c r="C1452" s="14">
        <v>290.8655136</v>
      </c>
      <c r="D1452" s="14">
        <v>683.3294622</v>
      </c>
      <c r="E1452" s="14">
        <v>2.34785436</v>
      </c>
      <c r="F1452" s="14">
        <v>1.231342919</v>
      </c>
      <c r="G1452" s="14">
        <v>0.008464014</v>
      </c>
      <c r="H1452" s="14">
        <v>0.023389618</v>
      </c>
      <c r="I1452" s="14" t="s">
        <v>164</v>
      </c>
      <c r="J1452" s="14">
        <v>4.369125416</v>
      </c>
      <c r="K1452" s="14">
        <v>2.792253063</v>
      </c>
      <c r="L1452" s="14">
        <v>4.651075405</v>
      </c>
      <c r="M1452" s="14">
        <v>0.61897193</v>
      </c>
      <c r="N1452" s="14">
        <v>1.225066785</v>
      </c>
      <c r="O1452" s="14">
        <v>2.408061727</v>
      </c>
      <c r="P1452" s="14" t="s">
        <v>7355</v>
      </c>
      <c r="Q1452" s="14" t="s">
        <v>7356</v>
      </c>
      <c r="R1452" s="14" t="s">
        <v>4529</v>
      </c>
      <c r="S1452" s="14" t="s">
        <v>4530</v>
      </c>
      <c r="T1452" s="14" t="s">
        <v>7357</v>
      </c>
      <c r="U1452" s="14" t="s">
        <v>7358</v>
      </c>
    </row>
    <row r="1453" spans="1:21">
      <c r="A1453" s="14" t="s">
        <v>7359</v>
      </c>
      <c r="B1453" s="14">
        <v>546.1360961</v>
      </c>
      <c r="C1453" s="14">
        <v>198.8778235</v>
      </c>
      <c r="D1453" s="14">
        <v>893.3943687</v>
      </c>
      <c r="E1453" s="14">
        <v>4.487147794</v>
      </c>
      <c r="F1453" s="14">
        <v>2.165798703</v>
      </c>
      <c r="G1453" s="51" t="s">
        <v>7360</v>
      </c>
      <c r="H1453" s="51" t="s">
        <v>7361</v>
      </c>
      <c r="I1453" s="14" t="s">
        <v>164</v>
      </c>
      <c r="J1453" s="14">
        <v>12.60624449</v>
      </c>
      <c r="K1453" s="14">
        <v>20.39607632</v>
      </c>
      <c r="L1453" s="14">
        <v>13.91011794</v>
      </c>
      <c r="M1453" s="14">
        <v>1.886778471</v>
      </c>
      <c r="N1453" s="14">
        <v>2.465781186</v>
      </c>
      <c r="O1453" s="14">
        <v>4.433288905</v>
      </c>
      <c r="P1453" s="14" t="s">
        <v>7362</v>
      </c>
      <c r="Q1453" s="14" t="s">
        <v>7363</v>
      </c>
      <c r="R1453" s="14" t="s">
        <v>841</v>
      </c>
      <c r="S1453" s="14" t="s">
        <v>842</v>
      </c>
      <c r="T1453" s="14" t="s">
        <v>7364</v>
      </c>
      <c r="U1453" s="14" t="s">
        <v>7365</v>
      </c>
    </row>
    <row r="1454" spans="1:21">
      <c r="A1454" s="14" t="s">
        <v>7366</v>
      </c>
      <c r="B1454" s="14">
        <v>23081.41883</v>
      </c>
      <c r="C1454" s="14">
        <v>31505.28042</v>
      </c>
      <c r="D1454" s="14">
        <v>14657.55724</v>
      </c>
      <c r="E1454" s="14">
        <v>0.465243595</v>
      </c>
      <c r="F1454" s="14">
        <v>-1.103941806</v>
      </c>
      <c r="G1454" s="14">
        <v>0.001330087</v>
      </c>
      <c r="H1454" s="14">
        <v>0.004700962</v>
      </c>
      <c r="I1454" s="14" t="s">
        <v>147</v>
      </c>
      <c r="J1454" s="14">
        <v>199.4572644</v>
      </c>
      <c r="K1454" s="14">
        <v>288.3740158</v>
      </c>
      <c r="L1454" s="14">
        <v>210.7059401</v>
      </c>
      <c r="M1454" s="14">
        <v>481.7419687</v>
      </c>
      <c r="N1454" s="14">
        <v>483.9263409</v>
      </c>
      <c r="O1454" s="14">
        <v>251.1869208</v>
      </c>
      <c r="P1454" s="14" t="s">
        <v>7367</v>
      </c>
      <c r="Q1454" s="14" t="s">
        <v>7368</v>
      </c>
      <c r="T1454" s="14" t="s">
        <v>7369</v>
      </c>
      <c r="U1454" s="14" t="s">
        <v>7370</v>
      </c>
    </row>
    <row r="1455" spans="1:21">
      <c r="A1455" s="14" t="s">
        <v>7371</v>
      </c>
      <c r="B1455" s="14">
        <v>11.32284908</v>
      </c>
      <c r="C1455" s="14">
        <v>19.4100496</v>
      </c>
      <c r="D1455" s="14">
        <v>3.235648566</v>
      </c>
      <c r="E1455" s="14">
        <v>0.167010942</v>
      </c>
      <c r="F1455" s="14">
        <v>-2.581985466</v>
      </c>
      <c r="G1455" s="14">
        <v>0.002795737</v>
      </c>
      <c r="H1455" s="14">
        <v>0.008944048</v>
      </c>
      <c r="I1455" s="14" t="s">
        <v>147</v>
      </c>
      <c r="J1455" s="14">
        <v>0.031617685</v>
      </c>
      <c r="K1455" s="14">
        <v>0.047736217</v>
      </c>
      <c r="L1455" s="14">
        <v>0.076107676</v>
      </c>
      <c r="M1455" s="14">
        <v>0.216415392</v>
      </c>
      <c r="N1455" s="14">
        <v>0.142742102</v>
      </c>
      <c r="O1455" s="14">
        <v>0.423474383</v>
      </c>
      <c r="P1455" s="14" t="s">
        <v>7372</v>
      </c>
      <c r="Q1455" s="14" t="s">
        <v>7373</v>
      </c>
      <c r="R1455" s="14" t="s">
        <v>3258</v>
      </c>
      <c r="S1455" s="14" t="s">
        <v>3259</v>
      </c>
      <c r="T1455" s="14" t="s">
        <v>7374</v>
      </c>
      <c r="U1455" s="14" t="s">
        <v>7375</v>
      </c>
    </row>
    <row r="1456" spans="1:21">
      <c r="A1456" s="14" t="s">
        <v>7376</v>
      </c>
      <c r="B1456" s="14">
        <v>7912.405042</v>
      </c>
      <c r="C1456" s="14">
        <v>13201.82489</v>
      </c>
      <c r="D1456" s="14">
        <v>2622.985193</v>
      </c>
      <c r="E1456" s="14">
        <v>0.198684684</v>
      </c>
      <c r="F1456" s="14">
        <v>-2.331447434</v>
      </c>
      <c r="G1456" s="51" t="s">
        <v>7377</v>
      </c>
      <c r="H1456" s="51" t="s">
        <v>7378</v>
      </c>
      <c r="I1456" s="14" t="s">
        <v>147</v>
      </c>
      <c r="J1456" s="14">
        <v>3.465950147</v>
      </c>
      <c r="K1456" s="14">
        <v>5.482762552</v>
      </c>
      <c r="L1456" s="14">
        <v>4.011860022</v>
      </c>
      <c r="M1456" s="14">
        <v>21.47364886</v>
      </c>
      <c r="N1456" s="14">
        <v>22.81091399</v>
      </c>
      <c r="O1456" s="14">
        <v>8.287018451</v>
      </c>
      <c r="P1456" s="14" t="s">
        <v>7379</v>
      </c>
      <c r="Q1456" s="14" t="s">
        <v>7380</v>
      </c>
      <c r="T1456" s="14" t="s">
        <v>7381</v>
      </c>
      <c r="U1456" s="14" t="s">
        <v>7382</v>
      </c>
    </row>
    <row r="1457" spans="1:21">
      <c r="A1457" s="14" t="s">
        <v>7383</v>
      </c>
      <c r="B1457" s="14">
        <v>1937.341364</v>
      </c>
      <c r="C1457" s="14">
        <v>1289.942904</v>
      </c>
      <c r="D1457" s="14">
        <v>2584.739824</v>
      </c>
      <c r="E1457" s="14">
        <v>2.004033196</v>
      </c>
      <c r="F1457" s="14">
        <v>1.002906407</v>
      </c>
      <c r="G1457" s="51" t="s">
        <v>7384</v>
      </c>
      <c r="H1457" s="51" t="s">
        <v>7385</v>
      </c>
      <c r="I1457" s="14" t="s">
        <v>164</v>
      </c>
      <c r="J1457" s="14">
        <v>39.81512108</v>
      </c>
      <c r="K1457" s="14">
        <v>31.22684207</v>
      </c>
      <c r="L1457" s="14">
        <v>31.79481349</v>
      </c>
      <c r="M1457" s="14">
        <v>13.52505767</v>
      </c>
      <c r="N1457" s="14">
        <v>16.03894164</v>
      </c>
      <c r="O1457" s="14">
        <v>12.47370752</v>
      </c>
      <c r="P1457" s="14" t="s">
        <v>7386</v>
      </c>
      <c r="Q1457" s="14" t="s">
        <v>7387</v>
      </c>
      <c r="T1457" s="14" t="s">
        <v>7388</v>
      </c>
      <c r="U1457" s="14" t="s">
        <v>7389</v>
      </c>
    </row>
    <row r="1458" spans="1:21">
      <c r="A1458" s="14" t="s">
        <v>7390</v>
      </c>
      <c r="B1458" s="14">
        <v>48.5106678</v>
      </c>
      <c r="C1458" s="14">
        <v>90.4936883</v>
      </c>
      <c r="D1458" s="14">
        <v>6.527647308</v>
      </c>
      <c r="E1458" s="14">
        <v>0.072201194</v>
      </c>
      <c r="F1458" s="14">
        <v>-3.791833489</v>
      </c>
      <c r="G1458" s="51" t="s">
        <v>7391</v>
      </c>
      <c r="H1458" s="51" t="s">
        <v>3541</v>
      </c>
      <c r="I1458" s="14" t="s">
        <v>147</v>
      </c>
      <c r="J1458" s="14">
        <v>0.039731758</v>
      </c>
      <c r="K1458" s="14">
        <v>0.199956005</v>
      </c>
      <c r="L1458" s="14">
        <v>0.153022803</v>
      </c>
      <c r="M1458" s="14">
        <v>1.903679763</v>
      </c>
      <c r="N1458" s="14">
        <v>1.793741252</v>
      </c>
      <c r="O1458" s="14">
        <v>0.681818421</v>
      </c>
      <c r="P1458" s="14" t="s">
        <v>7392</v>
      </c>
      <c r="Q1458" s="14" t="s">
        <v>7393</v>
      </c>
      <c r="T1458" s="14" t="s">
        <v>7394</v>
      </c>
      <c r="U1458" s="14" t="s">
        <v>7395</v>
      </c>
    </row>
    <row r="1459" spans="1:21">
      <c r="A1459" s="14" t="s">
        <v>7396</v>
      </c>
      <c r="B1459" s="14">
        <v>1090.109234</v>
      </c>
      <c r="C1459" s="14">
        <v>1591.88119</v>
      </c>
      <c r="D1459" s="14">
        <v>588.3372787</v>
      </c>
      <c r="E1459" s="14">
        <v>0.369555608</v>
      </c>
      <c r="F1459" s="14">
        <v>-1.436136627</v>
      </c>
      <c r="G1459" s="51" t="s">
        <v>7397</v>
      </c>
      <c r="H1459" s="51" t="s">
        <v>7398</v>
      </c>
      <c r="I1459" s="14" t="s">
        <v>147</v>
      </c>
      <c r="J1459" s="14">
        <v>5.090366286</v>
      </c>
      <c r="K1459" s="14">
        <v>10.17571926</v>
      </c>
      <c r="L1459" s="14">
        <v>5.778923142</v>
      </c>
      <c r="M1459" s="14">
        <v>16.28676045</v>
      </c>
      <c r="N1459" s="14">
        <v>15.72238483</v>
      </c>
      <c r="O1459" s="14">
        <v>14.79508538</v>
      </c>
      <c r="P1459" s="14" t="s">
        <v>7399</v>
      </c>
      <c r="Q1459" s="14" t="s">
        <v>7400</v>
      </c>
      <c r="T1459" s="14" t="s">
        <v>7401</v>
      </c>
      <c r="U1459" s="14" t="s">
        <v>7402</v>
      </c>
    </row>
    <row r="1460" spans="1:21">
      <c r="A1460" s="14" t="s">
        <v>7403</v>
      </c>
      <c r="B1460" s="14">
        <v>3984.820445</v>
      </c>
      <c r="C1460" s="14">
        <v>5465.568506</v>
      </c>
      <c r="D1460" s="14">
        <v>2504.072383</v>
      </c>
      <c r="E1460" s="14">
        <v>0.458107322</v>
      </c>
      <c r="F1460" s="14">
        <v>-1.126242474</v>
      </c>
      <c r="G1460" s="51" t="s">
        <v>7404</v>
      </c>
      <c r="H1460" s="51" t="s">
        <v>7405</v>
      </c>
      <c r="I1460" s="14" t="s">
        <v>147</v>
      </c>
      <c r="J1460" s="14">
        <v>23.42640483</v>
      </c>
      <c r="K1460" s="14">
        <v>21.81998518</v>
      </c>
      <c r="L1460" s="14">
        <v>21.35513847</v>
      </c>
      <c r="M1460" s="14">
        <v>35.38990566</v>
      </c>
      <c r="N1460" s="14">
        <v>35.27907346</v>
      </c>
      <c r="O1460" s="14">
        <v>50.02190062</v>
      </c>
      <c r="P1460" s="14" t="s">
        <v>7406</v>
      </c>
      <c r="Q1460" s="14" t="s">
        <v>7407</v>
      </c>
      <c r="T1460" s="14" t="s">
        <v>7408</v>
      </c>
      <c r="U1460" s="14" t="s">
        <v>7409</v>
      </c>
    </row>
    <row r="1461" spans="1:21">
      <c r="A1461" s="14" t="s">
        <v>7410</v>
      </c>
      <c r="B1461" s="14">
        <v>24.42941404</v>
      </c>
      <c r="C1461" s="14">
        <v>46.5612533</v>
      </c>
      <c r="D1461" s="14">
        <v>2.297574781</v>
      </c>
      <c r="E1461" s="14">
        <v>0.049208825</v>
      </c>
      <c r="F1461" s="14">
        <v>-4.344939123</v>
      </c>
      <c r="G1461" s="51" t="s">
        <v>7411</v>
      </c>
      <c r="H1461" s="51" t="s">
        <v>3356</v>
      </c>
      <c r="I1461" s="14" t="s">
        <v>147</v>
      </c>
      <c r="J1461" s="14">
        <v>0.03644037</v>
      </c>
      <c r="K1461" s="14">
        <v>0.055017481</v>
      </c>
      <c r="L1461" s="14">
        <v>0.035086589</v>
      </c>
      <c r="M1461" s="14">
        <v>0.888578334</v>
      </c>
      <c r="N1461" s="14">
        <v>0.448676537</v>
      </c>
      <c r="O1461" s="14">
        <v>0.7778575</v>
      </c>
      <c r="P1461" s="14" t="s">
        <v>7406</v>
      </c>
      <c r="Q1461" s="14" t="s">
        <v>7407</v>
      </c>
      <c r="T1461" s="14" t="s">
        <v>7408</v>
      </c>
      <c r="U1461" s="14" t="s">
        <v>7409</v>
      </c>
    </row>
    <row r="1462" spans="1:21">
      <c r="A1462" s="14" t="s">
        <v>7412</v>
      </c>
      <c r="B1462" s="14">
        <v>166.6120427</v>
      </c>
      <c r="C1462" s="14">
        <v>89.6814186</v>
      </c>
      <c r="D1462" s="14">
        <v>243.5426669</v>
      </c>
      <c r="E1462" s="14">
        <v>2.716879444</v>
      </c>
      <c r="F1462" s="14">
        <v>1.441950551</v>
      </c>
      <c r="G1462" s="51" t="s">
        <v>7413</v>
      </c>
      <c r="H1462" s="51" t="s">
        <v>7414</v>
      </c>
      <c r="I1462" s="14" t="s">
        <v>164</v>
      </c>
      <c r="J1462" s="14">
        <v>2.479109364</v>
      </c>
      <c r="K1462" s="14">
        <v>2.435885777</v>
      </c>
      <c r="L1462" s="14">
        <v>2.339647765</v>
      </c>
      <c r="M1462" s="14">
        <v>0.673369154</v>
      </c>
      <c r="N1462" s="14">
        <v>0.791371758</v>
      </c>
      <c r="O1462" s="14">
        <v>0.732929566</v>
      </c>
      <c r="P1462" s="14" t="s">
        <v>266</v>
      </c>
      <c r="Q1462" s="14" t="s">
        <v>267</v>
      </c>
      <c r="T1462" s="14" t="s">
        <v>268</v>
      </c>
      <c r="U1462" s="14" t="s">
        <v>269</v>
      </c>
    </row>
    <row r="1463" spans="1:21">
      <c r="A1463" s="14" t="s">
        <v>7415</v>
      </c>
      <c r="B1463" s="14">
        <v>1138.312448</v>
      </c>
      <c r="C1463" s="14">
        <v>1641.598967</v>
      </c>
      <c r="D1463" s="14">
        <v>635.0259297</v>
      </c>
      <c r="E1463" s="14">
        <v>0.386894691</v>
      </c>
      <c r="F1463" s="14">
        <v>-1.369987162</v>
      </c>
      <c r="G1463" s="51" t="s">
        <v>7416</v>
      </c>
      <c r="H1463" s="51" t="s">
        <v>7417</v>
      </c>
      <c r="I1463" s="14" t="s">
        <v>147</v>
      </c>
      <c r="J1463" s="14">
        <v>9.648966104</v>
      </c>
      <c r="K1463" s="14">
        <v>9.607220964</v>
      </c>
      <c r="L1463" s="14">
        <v>9.33344689</v>
      </c>
      <c r="M1463" s="14">
        <v>21.2432344</v>
      </c>
      <c r="N1463" s="14">
        <v>19.14777669</v>
      </c>
      <c r="O1463" s="14">
        <v>20.34843113</v>
      </c>
      <c r="P1463" s="14" t="s">
        <v>7418</v>
      </c>
      <c r="Q1463" s="14" t="s">
        <v>7419</v>
      </c>
      <c r="T1463" s="14" t="s">
        <v>7420</v>
      </c>
      <c r="U1463" s="14" t="s">
        <v>7421</v>
      </c>
    </row>
    <row r="1464" spans="1:21">
      <c r="A1464" s="14" t="s">
        <v>7422</v>
      </c>
      <c r="B1464" s="14">
        <v>1298.603953</v>
      </c>
      <c r="C1464" s="14">
        <v>1755.498378</v>
      </c>
      <c r="D1464" s="14">
        <v>841.7095274</v>
      </c>
      <c r="E1464" s="14">
        <v>0.47949139</v>
      </c>
      <c r="F1464" s="14">
        <v>-1.060423186</v>
      </c>
      <c r="G1464" s="51" t="s">
        <v>7423</v>
      </c>
      <c r="H1464" s="51" t="s">
        <v>7424</v>
      </c>
      <c r="I1464" s="14" t="s">
        <v>147</v>
      </c>
      <c r="J1464" s="14">
        <v>10.88106366</v>
      </c>
      <c r="K1464" s="14">
        <v>10.84073814</v>
      </c>
      <c r="L1464" s="14">
        <v>9.600797626</v>
      </c>
      <c r="M1464" s="14">
        <v>18.58800223</v>
      </c>
      <c r="N1464" s="14">
        <v>17.60085995</v>
      </c>
      <c r="O1464" s="14">
        <v>17.47603299</v>
      </c>
      <c r="P1464" s="14" t="s">
        <v>7425</v>
      </c>
      <c r="Q1464" s="14" t="s">
        <v>7426</v>
      </c>
      <c r="T1464" s="14" t="s">
        <v>7427</v>
      </c>
      <c r="U1464" s="14" t="s">
        <v>7428</v>
      </c>
    </row>
    <row r="1465" spans="1:21">
      <c r="A1465" s="14" t="s">
        <v>7429</v>
      </c>
      <c r="B1465" s="14">
        <v>688.5835107</v>
      </c>
      <c r="C1465" s="14">
        <v>1063.742314</v>
      </c>
      <c r="D1465" s="14">
        <v>313.4247073</v>
      </c>
      <c r="E1465" s="14">
        <v>0.294673928</v>
      </c>
      <c r="F1465" s="14">
        <v>-1.762808675</v>
      </c>
      <c r="G1465" s="51" t="s">
        <v>7430</v>
      </c>
      <c r="H1465" s="14">
        <v>0.000287145</v>
      </c>
      <c r="I1465" s="14" t="s">
        <v>147</v>
      </c>
      <c r="J1465" s="14">
        <v>3.097324241</v>
      </c>
      <c r="K1465" s="14">
        <v>7.967070599</v>
      </c>
      <c r="L1465" s="14">
        <v>6.121474695</v>
      </c>
      <c r="M1465" s="14">
        <v>19.1082856</v>
      </c>
      <c r="N1465" s="14">
        <v>17.81175471</v>
      </c>
      <c r="O1465" s="14">
        <v>10.37107447</v>
      </c>
      <c r="P1465" s="14" t="s">
        <v>7431</v>
      </c>
      <c r="Q1465" s="14" t="s">
        <v>7432</v>
      </c>
      <c r="T1465" s="14" t="s">
        <v>7433</v>
      </c>
      <c r="U1465" s="14" t="s">
        <v>7434</v>
      </c>
    </row>
    <row r="1466" spans="1:21">
      <c r="A1466" s="14" t="s">
        <v>7435</v>
      </c>
      <c r="B1466" s="14">
        <v>870.2057256</v>
      </c>
      <c r="C1466" s="14">
        <v>1340.017187</v>
      </c>
      <c r="D1466" s="14">
        <v>400.3942641</v>
      </c>
      <c r="E1466" s="14">
        <v>0.298831061</v>
      </c>
      <c r="F1466" s="14">
        <v>-1.742597981</v>
      </c>
      <c r="G1466" s="14">
        <v>0.000224603</v>
      </c>
      <c r="H1466" s="14">
        <v>0.00097297</v>
      </c>
      <c r="I1466" s="14" t="s">
        <v>147</v>
      </c>
      <c r="J1466" s="14">
        <v>6.145034593</v>
      </c>
      <c r="K1466" s="14">
        <v>6.17000116</v>
      </c>
      <c r="L1466" s="14">
        <v>5.945746742</v>
      </c>
      <c r="M1466" s="14">
        <v>21.13372749</v>
      </c>
      <c r="N1466" s="14">
        <v>21.23961572</v>
      </c>
      <c r="O1466" s="14">
        <v>6.694771825</v>
      </c>
      <c r="P1466" s="14" t="s">
        <v>7436</v>
      </c>
      <c r="Q1466" s="14" t="s">
        <v>7437</v>
      </c>
      <c r="T1466" s="14" t="s">
        <v>7438</v>
      </c>
      <c r="U1466" s="14" t="s">
        <v>7439</v>
      </c>
    </row>
    <row r="1467" spans="1:21">
      <c r="A1467" s="14" t="s">
        <v>7440</v>
      </c>
      <c r="B1467" s="14">
        <v>3447.730022</v>
      </c>
      <c r="C1467" s="14">
        <v>5452.931493</v>
      </c>
      <c r="D1467" s="14">
        <v>1442.528551</v>
      </c>
      <c r="E1467" s="14">
        <v>0.26454472</v>
      </c>
      <c r="F1467" s="14">
        <v>-1.918416473</v>
      </c>
      <c r="G1467" s="51" t="s">
        <v>7441</v>
      </c>
      <c r="H1467" s="51" t="s">
        <v>7442</v>
      </c>
      <c r="I1467" s="14" t="s">
        <v>147</v>
      </c>
      <c r="J1467" s="14">
        <v>15.08047083</v>
      </c>
      <c r="K1467" s="14">
        <v>26.45084202</v>
      </c>
      <c r="L1467" s="14">
        <v>17.46333529</v>
      </c>
      <c r="M1467" s="14">
        <v>75.33366704</v>
      </c>
      <c r="N1467" s="14">
        <v>72.27370997</v>
      </c>
      <c r="O1467" s="14">
        <v>32.60690747</v>
      </c>
      <c r="P1467" s="14" t="s">
        <v>7431</v>
      </c>
      <c r="Q1467" s="14" t="s">
        <v>7432</v>
      </c>
      <c r="T1467" s="14" t="s">
        <v>7433</v>
      </c>
      <c r="U1467" s="14" t="s">
        <v>7434</v>
      </c>
    </row>
    <row r="1468" spans="1:21">
      <c r="A1468" s="14" t="s">
        <v>7443</v>
      </c>
      <c r="B1468" s="14">
        <v>39645.70402</v>
      </c>
      <c r="C1468" s="14">
        <v>58115.48166</v>
      </c>
      <c r="D1468" s="14">
        <v>21175.92638</v>
      </c>
      <c r="E1468" s="14">
        <v>0.364377899</v>
      </c>
      <c r="F1468" s="14">
        <v>-1.456492639</v>
      </c>
      <c r="G1468" s="51" t="s">
        <v>7444</v>
      </c>
      <c r="H1468" s="51" t="s">
        <v>7445</v>
      </c>
      <c r="I1468" s="14" t="s">
        <v>147</v>
      </c>
      <c r="J1468" s="14">
        <v>127.6953316</v>
      </c>
      <c r="K1468" s="14">
        <v>112.1378708</v>
      </c>
      <c r="L1468" s="14">
        <v>104.5554889</v>
      </c>
      <c r="M1468" s="14">
        <v>286.1594524</v>
      </c>
      <c r="N1468" s="14">
        <v>268.8821235</v>
      </c>
      <c r="O1468" s="14">
        <v>217.1021077</v>
      </c>
      <c r="P1468" s="14" t="s">
        <v>7446</v>
      </c>
      <c r="Q1468" s="14" t="s">
        <v>7447</v>
      </c>
      <c r="T1468" s="14" t="s">
        <v>7448</v>
      </c>
      <c r="U1468" s="14" t="s">
        <v>7449</v>
      </c>
    </row>
    <row r="1469" spans="1:21">
      <c r="A1469" s="14" t="s">
        <v>7450</v>
      </c>
      <c r="B1469" s="14">
        <v>7370.199691</v>
      </c>
      <c r="C1469" s="14">
        <v>10826.32383</v>
      </c>
      <c r="D1469" s="14">
        <v>3914.075553</v>
      </c>
      <c r="E1469" s="14">
        <v>0.361554858</v>
      </c>
      <c r="F1469" s="14">
        <v>-1.467713534</v>
      </c>
      <c r="G1469" s="51" t="s">
        <v>7451</v>
      </c>
      <c r="H1469" s="51" t="s">
        <v>7452</v>
      </c>
      <c r="I1469" s="14" t="s">
        <v>147</v>
      </c>
      <c r="J1469" s="14">
        <v>48.29789883</v>
      </c>
      <c r="K1469" s="14">
        <v>43.27811978</v>
      </c>
      <c r="L1469" s="14">
        <v>52.00340461</v>
      </c>
      <c r="M1469" s="14">
        <v>101.6467241</v>
      </c>
      <c r="N1469" s="14">
        <v>108.3753684</v>
      </c>
      <c r="O1469" s="14">
        <v>117.1775288</v>
      </c>
      <c r="P1469" s="14" t="s">
        <v>7453</v>
      </c>
      <c r="Q1469" s="14" t="s">
        <v>7454</v>
      </c>
      <c r="R1469" s="14" t="s">
        <v>7455</v>
      </c>
      <c r="S1469" s="14" t="s">
        <v>7456</v>
      </c>
      <c r="T1469" s="14" t="s">
        <v>7457</v>
      </c>
      <c r="U1469" s="14" t="s">
        <v>7458</v>
      </c>
    </row>
    <row r="1470" spans="1:21">
      <c r="A1470" s="14" t="s">
        <v>7459</v>
      </c>
      <c r="B1470" s="14">
        <v>813.6633629</v>
      </c>
      <c r="C1470" s="14">
        <v>510.9439587</v>
      </c>
      <c r="D1470" s="14">
        <v>1116.382767</v>
      </c>
      <c r="E1470" s="14">
        <v>2.18358299</v>
      </c>
      <c r="F1470" s="14">
        <v>1.126697364</v>
      </c>
      <c r="G1470" s="51" t="s">
        <v>2917</v>
      </c>
      <c r="H1470" s="51" t="s">
        <v>7460</v>
      </c>
      <c r="I1470" s="14" t="s">
        <v>164</v>
      </c>
      <c r="J1470" s="14">
        <v>9.738019066</v>
      </c>
      <c r="K1470" s="14">
        <v>11.91106203</v>
      </c>
      <c r="L1470" s="14">
        <v>11.30968633</v>
      </c>
      <c r="M1470" s="14">
        <v>3.536218363</v>
      </c>
      <c r="N1470" s="14">
        <v>3.856661274</v>
      </c>
      <c r="O1470" s="14">
        <v>5.12438635</v>
      </c>
      <c r="Q1470" s="14" t="s">
        <v>7461</v>
      </c>
      <c r="R1470" s="14" t="s">
        <v>7462</v>
      </c>
      <c r="S1470" s="14" t="s">
        <v>7463</v>
      </c>
      <c r="T1470" s="14" t="s">
        <v>7464</v>
      </c>
      <c r="U1470" s="14" t="s">
        <v>7465</v>
      </c>
    </row>
    <row r="1471" spans="1:21">
      <c r="A1471" s="14" t="s">
        <v>7466</v>
      </c>
      <c r="B1471" s="14">
        <v>1416.312841</v>
      </c>
      <c r="C1471" s="14">
        <v>775.1031056</v>
      </c>
      <c r="D1471" s="14">
        <v>2057.522577</v>
      </c>
      <c r="E1471" s="14">
        <v>2.655375817</v>
      </c>
      <c r="F1471" s="14">
        <v>1.408916061</v>
      </c>
      <c r="G1471" s="51" t="s">
        <v>7467</v>
      </c>
      <c r="H1471" s="51" t="s">
        <v>7468</v>
      </c>
      <c r="I1471" s="14" t="s">
        <v>164</v>
      </c>
      <c r="J1471" s="14">
        <v>15.46009653</v>
      </c>
      <c r="K1471" s="14">
        <v>13.53401757</v>
      </c>
      <c r="L1471" s="14">
        <v>13.2470075</v>
      </c>
      <c r="M1471" s="14">
        <v>4.60064399</v>
      </c>
      <c r="N1471" s="14">
        <v>5.076115778</v>
      </c>
      <c r="O1471" s="14">
        <v>3.28649524</v>
      </c>
      <c r="P1471" s="14" t="s">
        <v>7469</v>
      </c>
      <c r="Q1471" s="14" t="s">
        <v>7470</v>
      </c>
      <c r="T1471" s="14" t="s">
        <v>7471</v>
      </c>
      <c r="U1471" s="14" t="s">
        <v>7472</v>
      </c>
    </row>
    <row r="1472" spans="1:15">
      <c r="A1472" s="14" t="s">
        <v>7473</v>
      </c>
      <c r="B1472" s="14">
        <v>259.8982586</v>
      </c>
      <c r="C1472" s="14">
        <v>69.80389632</v>
      </c>
      <c r="D1472" s="14">
        <v>449.992621</v>
      </c>
      <c r="E1472" s="14">
        <v>6.437990311</v>
      </c>
      <c r="F1472" s="14">
        <v>2.686610406</v>
      </c>
      <c r="G1472" s="51" t="s">
        <v>7474</v>
      </c>
      <c r="H1472" s="51" t="s">
        <v>1259</v>
      </c>
      <c r="I1472" s="14" t="s">
        <v>164</v>
      </c>
      <c r="J1472" s="14">
        <v>3.734213775</v>
      </c>
      <c r="K1472" s="14">
        <v>15.47782088</v>
      </c>
      <c r="L1472" s="14">
        <v>9.332103156</v>
      </c>
      <c r="M1472" s="14">
        <v>0.789768735</v>
      </c>
      <c r="N1472" s="14">
        <v>0.947111675</v>
      </c>
      <c r="O1472" s="14">
        <v>2.001986365</v>
      </c>
    </row>
    <row r="1473" spans="1:21">
      <c r="A1473" s="14" t="s">
        <v>7475</v>
      </c>
      <c r="B1473" s="14">
        <v>61.54456487</v>
      </c>
      <c r="C1473" s="14">
        <v>30.23397837</v>
      </c>
      <c r="D1473" s="14">
        <v>92.85515136</v>
      </c>
      <c r="E1473" s="14">
        <v>3.05726669</v>
      </c>
      <c r="F1473" s="14">
        <v>1.612242406</v>
      </c>
      <c r="G1473" s="14">
        <v>0.002423677</v>
      </c>
      <c r="H1473" s="14">
        <v>0.007915835</v>
      </c>
      <c r="I1473" s="14" t="s">
        <v>164</v>
      </c>
      <c r="J1473" s="14">
        <v>0.937246566</v>
      </c>
      <c r="K1473" s="14">
        <v>0.814274384</v>
      </c>
      <c r="L1473" s="14">
        <v>1.025917385</v>
      </c>
      <c r="M1473" s="14">
        <v>0.151939553</v>
      </c>
      <c r="N1473" s="14">
        <v>0.145767963</v>
      </c>
      <c r="O1473" s="14">
        <v>0.470741187</v>
      </c>
      <c r="P1473" s="14" t="s">
        <v>7476</v>
      </c>
      <c r="Q1473" s="14" t="s">
        <v>7477</v>
      </c>
      <c r="T1473" s="14" t="s">
        <v>7478</v>
      </c>
      <c r="U1473" s="14" t="s">
        <v>7479</v>
      </c>
    </row>
    <row r="1474" spans="1:21">
      <c r="A1474" s="14" t="s">
        <v>7480</v>
      </c>
      <c r="B1474" s="14">
        <v>1089.427352</v>
      </c>
      <c r="C1474" s="14">
        <v>702.6932481</v>
      </c>
      <c r="D1474" s="14">
        <v>1476.161457</v>
      </c>
      <c r="E1474" s="14">
        <v>2.099899287</v>
      </c>
      <c r="F1474" s="14">
        <v>1.070320136</v>
      </c>
      <c r="G1474" s="51" t="s">
        <v>7481</v>
      </c>
      <c r="H1474" s="51" t="s">
        <v>7482</v>
      </c>
      <c r="I1474" s="14" t="s">
        <v>164</v>
      </c>
      <c r="J1474" s="14">
        <v>27.0746646</v>
      </c>
      <c r="K1474" s="14">
        <v>21.72340219</v>
      </c>
      <c r="L1474" s="14">
        <v>26.34374494</v>
      </c>
      <c r="M1474" s="14">
        <v>8.550334389</v>
      </c>
      <c r="N1474" s="14">
        <v>8.947507499</v>
      </c>
      <c r="O1474" s="14">
        <v>12.16161483</v>
      </c>
      <c r="P1474" s="14" t="s">
        <v>7483</v>
      </c>
      <c r="Q1474" s="14" t="s">
        <v>7484</v>
      </c>
      <c r="R1474" s="14" t="s">
        <v>5907</v>
      </c>
      <c r="S1474" s="14" t="s">
        <v>5908</v>
      </c>
      <c r="T1474" s="14" t="s">
        <v>7485</v>
      </c>
      <c r="U1474" s="14" t="s">
        <v>7486</v>
      </c>
    </row>
    <row r="1475" spans="1:21">
      <c r="A1475" s="14" t="s">
        <v>7487</v>
      </c>
      <c r="B1475" s="14">
        <v>49.40270178</v>
      </c>
      <c r="C1475" s="14">
        <v>3.761873549</v>
      </c>
      <c r="D1475" s="14">
        <v>95.04353002</v>
      </c>
      <c r="E1475" s="14">
        <v>24.80112453</v>
      </c>
      <c r="F1475" s="14">
        <v>4.632333632</v>
      </c>
      <c r="G1475" s="51" t="s">
        <v>2089</v>
      </c>
      <c r="H1475" s="51" t="s">
        <v>7488</v>
      </c>
      <c r="I1475" s="14" t="s">
        <v>164</v>
      </c>
      <c r="J1475" s="14">
        <v>2.349973443</v>
      </c>
      <c r="K1475" s="14">
        <v>0.996812781</v>
      </c>
      <c r="L1475" s="14">
        <v>1.486897828</v>
      </c>
      <c r="M1475" s="14">
        <v>0.014361606</v>
      </c>
      <c r="N1475" s="14">
        <v>0</v>
      </c>
      <c r="O1475" s="14">
        <v>0.154562699</v>
      </c>
      <c r="P1475" s="14" t="s">
        <v>7489</v>
      </c>
      <c r="Q1475" s="14" t="s">
        <v>7490</v>
      </c>
      <c r="T1475" s="14" t="s">
        <v>7491</v>
      </c>
      <c r="U1475" s="14" t="s">
        <v>7492</v>
      </c>
    </row>
    <row r="1476" spans="1:21">
      <c r="A1476" s="14" t="s">
        <v>7493</v>
      </c>
      <c r="B1476" s="14">
        <v>10153.60058</v>
      </c>
      <c r="C1476" s="14">
        <v>13561.17468</v>
      </c>
      <c r="D1476" s="14">
        <v>6746.026475</v>
      </c>
      <c r="E1476" s="14">
        <v>0.497435036</v>
      </c>
      <c r="F1476" s="14">
        <v>-1.007419971</v>
      </c>
      <c r="G1476" s="51" t="s">
        <v>7494</v>
      </c>
      <c r="H1476" s="51" t="s">
        <v>7495</v>
      </c>
      <c r="I1476" s="14" t="s">
        <v>147</v>
      </c>
      <c r="J1476" s="14">
        <v>166.9798074</v>
      </c>
      <c r="K1476" s="14">
        <v>136.5128213</v>
      </c>
      <c r="L1476" s="14">
        <v>131.1624024</v>
      </c>
      <c r="M1476" s="14">
        <v>211.1409104</v>
      </c>
      <c r="N1476" s="14">
        <v>207.6837882</v>
      </c>
      <c r="O1476" s="14">
        <v>307.5844444</v>
      </c>
      <c r="P1476" s="14" t="s">
        <v>7496</v>
      </c>
      <c r="Q1476" s="14" t="s">
        <v>7497</v>
      </c>
      <c r="T1476" s="14" t="s">
        <v>2121</v>
      </c>
      <c r="U1476" s="14" t="s">
        <v>2122</v>
      </c>
    </row>
    <row r="1477" spans="1:21">
      <c r="A1477" s="14" t="s">
        <v>7498</v>
      </c>
      <c r="B1477" s="14">
        <v>51.28924551</v>
      </c>
      <c r="C1477" s="14">
        <v>14.73412596</v>
      </c>
      <c r="D1477" s="14">
        <v>87.84436506</v>
      </c>
      <c r="E1477" s="14">
        <v>5.916810413</v>
      </c>
      <c r="F1477" s="14">
        <v>2.564819669</v>
      </c>
      <c r="G1477" s="51" t="s">
        <v>7499</v>
      </c>
      <c r="H1477" s="51" t="s">
        <v>7500</v>
      </c>
      <c r="I1477" s="14" t="s">
        <v>164</v>
      </c>
      <c r="J1477" s="14">
        <v>0.75794144</v>
      </c>
      <c r="K1477" s="14">
        <v>1.085238882</v>
      </c>
      <c r="L1477" s="14">
        <v>0.997028147</v>
      </c>
      <c r="M1477" s="14">
        <v>0.054802029</v>
      </c>
      <c r="N1477" s="14">
        <v>0.14896545</v>
      </c>
      <c r="O1477" s="14">
        <v>0.196597085</v>
      </c>
      <c r="P1477" s="14" t="s">
        <v>7501</v>
      </c>
      <c r="Q1477" s="14" t="s">
        <v>7502</v>
      </c>
      <c r="T1477" s="14" t="s">
        <v>7503</v>
      </c>
      <c r="U1477" s="14" t="s">
        <v>7504</v>
      </c>
    </row>
    <row r="1478" spans="1:21">
      <c r="A1478" s="14" t="s">
        <v>7505</v>
      </c>
      <c r="B1478" s="14">
        <v>2787.524982</v>
      </c>
      <c r="C1478" s="14">
        <v>4673.451199</v>
      </c>
      <c r="D1478" s="14">
        <v>901.598764</v>
      </c>
      <c r="E1478" s="14">
        <v>0.192934524</v>
      </c>
      <c r="F1478" s="14">
        <v>-2.373816768</v>
      </c>
      <c r="G1478" s="51" t="s">
        <v>7506</v>
      </c>
      <c r="H1478" s="51" t="s">
        <v>7507</v>
      </c>
      <c r="I1478" s="14" t="s">
        <v>147</v>
      </c>
      <c r="J1478" s="14">
        <v>80.99946183</v>
      </c>
      <c r="K1478" s="14">
        <v>71.05594508</v>
      </c>
      <c r="L1478" s="14">
        <v>114.1298426</v>
      </c>
      <c r="M1478" s="14">
        <v>327.7943321</v>
      </c>
      <c r="N1478" s="14">
        <v>289.5767815</v>
      </c>
      <c r="O1478" s="14">
        <v>531.3667405</v>
      </c>
      <c r="P1478" s="14" t="s">
        <v>7508</v>
      </c>
      <c r="Q1478" s="14" t="s">
        <v>7509</v>
      </c>
      <c r="T1478" s="14" t="s">
        <v>7510</v>
      </c>
      <c r="U1478" s="14" t="s">
        <v>7511</v>
      </c>
    </row>
    <row r="1479" spans="1:21">
      <c r="A1479" s="14" t="s">
        <v>7512</v>
      </c>
      <c r="B1479" s="14">
        <v>1131.027963</v>
      </c>
      <c r="C1479" s="14">
        <v>1633.011995</v>
      </c>
      <c r="D1479" s="14">
        <v>629.0439313</v>
      </c>
      <c r="E1479" s="14">
        <v>0.385277717</v>
      </c>
      <c r="F1479" s="14">
        <v>-1.376029345</v>
      </c>
      <c r="G1479" s="51" t="s">
        <v>7513</v>
      </c>
      <c r="H1479" s="51" t="s">
        <v>7514</v>
      </c>
      <c r="I1479" s="14" t="s">
        <v>147</v>
      </c>
      <c r="J1479" s="14">
        <v>14.54532055</v>
      </c>
      <c r="K1479" s="14">
        <v>13.13989622</v>
      </c>
      <c r="L1479" s="14">
        <v>15.37500352</v>
      </c>
      <c r="M1479" s="14">
        <v>28.34886196</v>
      </c>
      <c r="N1479" s="14">
        <v>30.21929722</v>
      </c>
      <c r="O1479" s="14">
        <v>33.61601861</v>
      </c>
      <c r="P1479" s="14" t="s">
        <v>7515</v>
      </c>
      <c r="Q1479" s="14" t="s">
        <v>7516</v>
      </c>
      <c r="T1479" s="14" t="s">
        <v>7517</v>
      </c>
      <c r="U1479" s="14" t="s">
        <v>7518</v>
      </c>
    </row>
    <row r="1480" spans="1:21">
      <c r="A1480" s="14" t="s">
        <v>7519</v>
      </c>
      <c r="B1480" s="14">
        <v>1203.0631</v>
      </c>
      <c r="C1480" s="14">
        <v>772.5210495</v>
      </c>
      <c r="D1480" s="14">
        <v>1633.60515</v>
      </c>
      <c r="E1480" s="14">
        <v>2.113786274</v>
      </c>
      <c r="F1480" s="14">
        <v>1.079829512</v>
      </c>
      <c r="G1480" s="14">
        <v>0.000264978</v>
      </c>
      <c r="H1480" s="14">
        <v>0.00112758</v>
      </c>
      <c r="I1480" s="14" t="s">
        <v>164</v>
      </c>
      <c r="J1480" s="14">
        <v>17.50690856</v>
      </c>
      <c r="K1480" s="14">
        <v>16.33233756</v>
      </c>
      <c r="L1480" s="14">
        <v>13.38768139</v>
      </c>
      <c r="M1480" s="14">
        <v>4.26798204</v>
      </c>
      <c r="N1480" s="14">
        <v>5.122199646</v>
      </c>
      <c r="O1480" s="14">
        <v>9.375376027</v>
      </c>
      <c r="P1480" s="14" t="s">
        <v>1775</v>
      </c>
      <c r="Q1480" s="14" t="s">
        <v>1776</v>
      </c>
      <c r="T1480" s="14" t="s">
        <v>1777</v>
      </c>
      <c r="U1480" s="14" t="s">
        <v>1778</v>
      </c>
    </row>
    <row r="1481" spans="1:15">
      <c r="A1481" s="14" t="s">
        <v>7520</v>
      </c>
      <c r="B1481" s="14">
        <v>96.77086713</v>
      </c>
      <c r="C1481" s="14">
        <v>51.4142865</v>
      </c>
      <c r="D1481" s="14">
        <v>142.1274478</v>
      </c>
      <c r="E1481" s="14">
        <v>2.760525976</v>
      </c>
      <c r="F1481" s="14">
        <v>1.464943177</v>
      </c>
      <c r="G1481" s="51" t="s">
        <v>7521</v>
      </c>
      <c r="H1481" s="51" t="s">
        <v>3883</v>
      </c>
      <c r="I1481" s="14" t="s">
        <v>164</v>
      </c>
      <c r="J1481" s="14">
        <v>9.171650604</v>
      </c>
      <c r="K1481" s="14">
        <v>9.762851958</v>
      </c>
      <c r="L1481" s="14">
        <v>9.466236509</v>
      </c>
      <c r="M1481" s="14">
        <v>2.0323724</v>
      </c>
      <c r="N1481" s="14">
        <v>3.466346731</v>
      </c>
      <c r="O1481" s="14">
        <v>2.982658634</v>
      </c>
    </row>
    <row r="1482" spans="1:21">
      <c r="A1482" s="14" t="s">
        <v>7522</v>
      </c>
      <c r="B1482" s="14">
        <v>2065.514241</v>
      </c>
      <c r="C1482" s="14">
        <v>3990.128785</v>
      </c>
      <c r="D1482" s="14">
        <v>140.8996967</v>
      </c>
      <c r="E1482" s="14">
        <v>0.03530522</v>
      </c>
      <c r="F1482" s="14">
        <v>-4.823974669</v>
      </c>
      <c r="G1482" s="51" t="s">
        <v>7523</v>
      </c>
      <c r="H1482" s="51" t="s">
        <v>7524</v>
      </c>
      <c r="I1482" s="14" t="s">
        <v>147</v>
      </c>
      <c r="J1482" s="14">
        <v>4.928422905</v>
      </c>
      <c r="K1482" s="14">
        <v>7.440907296</v>
      </c>
      <c r="L1482" s="14">
        <v>3.759760844</v>
      </c>
      <c r="M1482" s="14">
        <v>162.1171472</v>
      </c>
      <c r="N1482" s="14">
        <v>165.4901976</v>
      </c>
      <c r="O1482" s="14">
        <v>38.87566163</v>
      </c>
      <c r="P1482" s="14" t="s">
        <v>7525</v>
      </c>
      <c r="Q1482" s="14" t="s">
        <v>7526</v>
      </c>
      <c r="T1482" s="14" t="s">
        <v>7527</v>
      </c>
      <c r="U1482" s="14" t="s">
        <v>7528</v>
      </c>
    </row>
    <row r="1483" spans="1:21">
      <c r="A1483" s="14" t="s">
        <v>7529</v>
      </c>
      <c r="B1483" s="14">
        <v>136.0047213</v>
      </c>
      <c r="C1483" s="14">
        <v>193.5583356</v>
      </c>
      <c r="D1483" s="14">
        <v>78.45110704</v>
      </c>
      <c r="E1483" s="14">
        <v>0.40529461</v>
      </c>
      <c r="F1483" s="14">
        <v>-1.302957106</v>
      </c>
      <c r="G1483" s="51" t="s">
        <v>7530</v>
      </c>
      <c r="H1483" s="14">
        <v>0.000441323</v>
      </c>
      <c r="I1483" s="14" t="s">
        <v>147</v>
      </c>
      <c r="J1483" s="14">
        <v>1.52448179</v>
      </c>
      <c r="K1483" s="14">
        <v>1.644039061</v>
      </c>
      <c r="L1483" s="14">
        <v>1.13583355</v>
      </c>
      <c r="M1483" s="14">
        <v>2.996873076</v>
      </c>
      <c r="N1483" s="14">
        <v>3.426337326</v>
      </c>
      <c r="O1483" s="14">
        <v>2.248442367</v>
      </c>
      <c r="P1483" s="14" t="s">
        <v>7531</v>
      </c>
      <c r="Q1483" s="14" t="s">
        <v>7532</v>
      </c>
      <c r="R1483" s="14" t="s">
        <v>5419</v>
      </c>
      <c r="S1483" s="14" t="s">
        <v>5420</v>
      </c>
      <c r="T1483" s="14" t="s">
        <v>7533</v>
      </c>
      <c r="U1483" s="14" t="s">
        <v>7534</v>
      </c>
    </row>
    <row r="1484" spans="1:21">
      <c r="A1484" s="14" t="s">
        <v>7535</v>
      </c>
      <c r="B1484" s="14">
        <v>188.2738579</v>
      </c>
      <c r="C1484" s="14">
        <v>367.9212307</v>
      </c>
      <c r="D1484" s="14">
        <v>8.626485084</v>
      </c>
      <c r="E1484" s="14">
        <v>0.023342625</v>
      </c>
      <c r="F1484" s="14">
        <v>-5.420889368</v>
      </c>
      <c r="G1484" s="51" t="s">
        <v>7536</v>
      </c>
      <c r="H1484" s="51" t="s">
        <v>451</v>
      </c>
      <c r="I1484" s="14" t="s">
        <v>147</v>
      </c>
      <c r="J1484" s="14">
        <v>0.340453331</v>
      </c>
      <c r="K1484" s="14">
        <v>0.44547938</v>
      </c>
      <c r="L1484" s="14">
        <v>0.098341589</v>
      </c>
      <c r="M1484" s="14">
        <v>12.70024686</v>
      </c>
      <c r="N1484" s="14">
        <v>13.24632039</v>
      </c>
      <c r="O1484" s="14">
        <v>4.559893079</v>
      </c>
      <c r="P1484" s="14" t="s">
        <v>7537</v>
      </c>
      <c r="Q1484" s="14" t="s">
        <v>7538</v>
      </c>
      <c r="T1484" s="14" t="s">
        <v>7539</v>
      </c>
      <c r="U1484" s="14" t="s">
        <v>7540</v>
      </c>
    </row>
    <row r="1485" spans="1:15">
      <c r="A1485" s="14" t="s">
        <v>7541</v>
      </c>
      <c r="B1485" s="14">
        <v>323.3543992</v>
      </c>
      <c r="C1485" s="14">
        <v>95.83875739</v>
      </c>
      <c r="D1485" s="14">
        <v>550.870041</v>
      </c>
      <c r="E1485" s="14">
        <v>5.731448529</v>
      </c>
      <c r="F1485" s="14">
        <v>2.518899802</v>
      </c>
      <c r="G1485" s="51" t="s">
        <v>7542</v>
      </c>
      <c r="H1485" s="51" t="s">
        <v>7543</v>
      </c>
      <c r="I1485" s="14" t="s">
        <v>164</v>
      </c>
      <c r="J1485" s="14">
        <v>19.58521564</v>
      </c>
      <c r="K1485" s="14">
        <v>19.82122029</v>
      </c>
      <c r="L1485" s="14">
        <v>20.34002226</v>
      </c>
      <c r="M1485" s="14">
        <v>1.991234802</v>
      </c>
      <c r="N1485" s="14">
        <v>3.027175379</v>
      </c>
      <c r="O1485" s="14">
        <v>3.626632017</v>
      </c>
    </row>
    <row r="1486" spans="1:15">
      <c r="A1486" s="14" t="s">
        <v>7544</v>
      </c>
      <c r="B1486" s="14">
        <v>234.2582344</v>
      </c>
      <c r="C1486" s="14">
        <v>28.73042974</v>
      </c>
      <c r="D1486" s="14">
        <v>439.7860391</v>
      </c>
      <c r="E1486" s="14">
        <v>15.35281236</v>
      </c>
      <c r="F1486" s="14">
        <v>3.940431051</v>
      </c>
      <c r="G1486" s="51" t="s">
        <v>7545</v>
      </c>
      <c r="H1486" s="51" t="s">
        <v>7546</v>
      </c>
      <c r="I1486" s="14" t="s">
        <v>164</v>
      </c>
      <c r="J1486" s="14">
        <v>16.58800891</v>
      </c>
      <c r="K1486" s="14">
        <v>12.22231082</v>
      </c>
      <c r="L1486" s="14">
        <v>4.112487824</v>
      </c>
      <c r="M1486" s="14">
        <v>0.828610611</v>
      </c>
      <c r="N1486" s="14">
        <v>0.693036393</v>
      </c>
      <c r="O1486" s="14">
        <v>0.20787147</v>
      </c>
    </row>
    <row r="1487" spans="1:21">
      <c r="A1487" s="14" t="s">
        <v>7547</v>
      </c>
      <c r="B1487" s="14">
        <v>90.76053294</v>
      </c>
      <c r="C1487" s="14">
        <v>11.63858985</v>
      </c>
      <c r="D1487" s="14">
        <v>169.882476</v>
      </c>
      <c r="E1487" s="14">
        <v>14.48888775</v>
      </c>
      <c r="F1487" s="14">
        <v>3.856874945</v>
      </c>
      <c r="G1487" s="51" t="s">
        <v>7548</v>
      </c>
      <c r="H1487" s="14">
        <v>0.000429137</v>
      </c>
      <c r="I1487" s="14" t="s">
        <v>164</v>
      </c>
      <c r="J1487" s="14">
        <v>5.387271494</v>
      </c>
      <c r="K1487" s="14">
        <v>1.880759572</v>
      </c>
      <c r="L1487" s="14">
        <v>5.257227695</v>
      </c>
      <c r="M1487" s="14">
        <v>0.020762707</v>
      </c>
      <c r="N1487" s="14">
        <v>0.099596762</v>
      </c>
      <c r="O1487" s="14">
        <v>0.629730418</v>
      </c>
      <c r="P1487" s="14" t="s">
        <v>5765</v>
      </c>
      <c r="Q1487" s="14" t="s">
        <v>5766</v>
      </c>
      <c r="T1487" s="14" t="s">
        <v>5767</v>
      </c>
      <c r="U1487" s="14" t="s">
        <v>5768</v>
      </c>
    </row>
    <row r="1488" spans="1:21">
      <c r="A1488" s="14" t="s">
        <v>7549</v>
      </c>
      <c r="B1488" s="14">
        <v>893.9798509</v>
      </c>
      <c r="C1488" s="14">
        <v>239.2299457</v>
      </c>
      <c r="D1488" s="14">
        <v>1548.729756</v>
      </c>
      <c r="E1488" s="14">
        <v>6.470605145</v>
      </c>
      <c r="F1488" s="14">
        <v>2.693900643</v>
      </c>
      <c r="G1488" s="14">
        <v>0.000698669</v>
      </c>
      <c r="H1488" s="14">
        <v>0.002671831</v>
      </c>
      <c r="I1488" s="14" t="s">
        <v>164</v>
      </c>
      <c r="J1488" s="14">
        <v>33.92741473</v>
      </c>
      <c r="K1488" s="14">
        <v>14.5251333</v>
      </c>
      <c r="L1488" s="14">
        <v>33.42123264</v>
      </c>
      <c r="M1488" s="14">
        <v>1.236189661</v>
      </c>
      <c r="N1488" s="14">
        <v>0.85733293</v>
      </c>
      <c r="O1488" s="14">
        <v>8.903427538</v>
      </c>
      <c r="P1488" s="14" t="s">
        <v>7550</v>
      </c>
      <c r="Q1488" s="14" t="s">
        <v>7551</v>
      </c>
      <c r="T1488" s="14" t="s">
        <v>7552</v>
      </c>
      <c r="U1488" s="14" t="s">
        <v>7553</v>
      </c>
    </row>
    <row r="1489" spans="1:15">
      <c r="A1489" s="14" t="s">
        <v>7554</v>
      </c>
      <c r="B1489" s="14">
        <v>42.37548343</v>
      </c>
      <c r="C1489" s="14">
        <v>5.84937308</v>
      </c>
      <c r="D1489" s="14">
        <v>78.90159378</v>
      </c>
      <c r="E1489" s="14">
        <v>13.69995382</v>
      </c>
      <c r="F1489" s="14">
        <v>3.776099125</v>
      </c>
      <c r="G1489" s="51" t="s">
        <v>7555</v>
      </c>
      <c r="H1489" s="51" t="s">
        <v>7556</v>
      </c>
      <c r="I1489" s="14" t="s">
        <v>164</v>
      </c>
      <c r="J1489" s="14">
        <v>7.33576794</v>
      </c>
      <c r="K1489" s="14">
        <v>7.748295205</v>
      </c>
      <c r="L1489" s="14">
        <v>6.540037067</v>
      </c>
      <c r="M1489" s="14">
        <v>0.697382686</v>
      </c>
      <c r="N1489" s="14">
        <v>0.297358175</v>
      </c>
      <c r="O1489" s="14">
        <v>0.303247791</v>
      </c>
    </row>
    <row r="1490" spans="1:21">
      <c r="A1490" s="14" t="s">
        <v>7557</v>
      </c>
      <c r="B1490" s="14">
        <v>9.034008808</v>
      </c>
      <c r="C1490" s="14">
        <v>0.723792487</v>
      </c>
      <c r="D1490" s="14">
        <v>17.34422513</v>
      </c>
      <c r="E1490" s="14">
        <v>25.31456588</v>
      </c>
      <c r="F1490" s="14">
        <v>4.661895839</v>
      </c>
      <c r="G1490" s="14">
        <v>0.000584098</v>
      </c>
      <c r="H1490" s="14">
        <v>0.002279196</v>
      </c>
      <c r="I1490" s="14" t="s">
        <v>164</v>
      </c>
      <c r="J1490" s="14">
        <v>1.798477358</v>
      </c>
      <c r="K1490" s="14">
        <v>1.234241714</v>
      </c>
      <c r="L1490" s="14">
        <v>1.259391209</v>
      </c>
      <c r="M1490" s="14">
        <v>0.139887972</v>
      </c>
      <c r="N1490" s="14">
        <v>0</v>
      </c>
      <c r="O1490" s="14">
        <v>0</v>
      </c>
      <c r="P1490" s="14" t="s">
        <v>7558</v>
      </c>
      <c r="Q1490" s="14" t="s">
        <v>7559</v>
      </c>
      <c r="R1490" s="14" t="s">
        <v>1536</v>
      </c>
      <c r="S1490" s="14" t="s">
        <v>1537</v>
      </c>
      <c r="T1490" s="14" t="s">
        <v>7560</v>
      </c>
      <c r="U1490" s="14" t="s">
        <v>7561</v>
      </c>
    </row>
    <row r="1491" spans="1:15">
      <c r="A1491" s="14" t="s">
        <v>7562</v>
      </c>
      <c r="B1491" s="14">
        <v>7.374386378</v>
      </c>
      <c r="C1491" s="14">
        <v>13.79170659</v>
      </c>
      <c r="D1491" s="14">
        <v>0.957066161</v>
      </c>
      <c r="E1491" s="14">
        <v>0.070515357</v>
      </c>
      <c r="F1491" s="14">
        <v>-3.825918705</v>
      </c>
      <c r="G1491" s="14">
        <v>0.001402991</v>
      </c>
      <c r="H1491" s="14">
        <v>0.004925399</v>
      </c>
      <c r="I1491" s="14" t="s">
        <v>147</v>
      </c>
      <c r="J1491" s="14">
        <v>0.019406793</v>
      </c>
      <c r="K1491" s="14">
        <v>0</v>
      </c>
      <c r="L1491" s="14">
        <v>0.03737164</v>
      </c>
      <c r="M1491" s="14">
        <v>0.182647846</v>
      </c>
      <c r="N1491" s="14">
        <v>0.286738241</v>
      </c>
      <c r="O1491" s="14">
        <v>0.194945009</v>
      </c>
    </row>
    <row r="1492" spans="1:21">
      <c r="A1492" s="14" t="s">
        <v>7563</v>
      </c>
      <c r="B1492" s="14">
        <v>17.77154224</v>
      </c>
      <c r="C1492" s="14">
        <v>10.32611207</v>
      </c>
      <c r="D1492" s="14">
        <v>25.21697241</v>
      </c>
      <c r="E1492" s="14">
        <v>2.433952155</v>
      </c>
      <c r="F1492" s="14">
        <v>1.283300809</v>
      </c>
      <c r="G1492" s="14">
        <v>0.014723402</v>
      </c>
      <c r="H1492" s="14">
        <v>0.037525819</v>
      </c>
      <c r="I1492" s="14" t="s">
        <v>164</v>
      </c>
      <c r="J1492" s="14">
        <v>0.708316961</v>
      </c>
      <c r="K1492" s="14">
        <v>0.861471799</v>
      </c>
      <c r="L1492" s="14">
        <v>0.682002587</v>
      </c>
      <c r="M1492" s="14">
        <v>0.227262089</v>
      </c>
      <c r="N1492" s="14">
        <v>0.218030994</v>
      </c>
      <c r="O1492" s="14">
        <v>0.321171383</v>
      </c>
      <c r="P1492" s="14" t="s">
        <v>5740</v>
      </c>
      <c r="Q1492" s="14" t="s">
        <v>5741</v>
      </c>
      <c r="T1492" s="14" t="s">
        <v>5742</v>
      </c>
      <c r="U1492" s="14" t="s">
        <v>5743</v>
      </c>
    </row>
    <row r="1493" spans="1:21">
      <c r="A1493" s="14" t="s">
        <v>7564</v>
      </c>
      <c r="B1493" s="14">
        <v>499.5496827</v>
      </c>
      <c r="C1493" s="14">
        <v>297.4615291</v>
      </c>
      <c r="D1493" s="14">
        <v>701.6378362</v>
      </c>
      <c r="E1493" s="14">
        <v>2.356816352</v>
      </c>
      <c r="F1493" s="14">
        <v>1.236839345</v>
      </c>
      <c r="G1493" s="14">
        <v>0.000596851</v>
      </c>
      <c r="H1493" s="14">
        <v>0.002322349</v>
      </c>
      <c r="I1493" s="14" t="s">
        <v>164</v>
      </c>
      <c r="J1493" s="14">
        <v>19.62628247</v>
      </c>
      <c r="K1493" s="14">
        <v>19.48708621</v>
      </c>
      <c r="L1493" s="14">
        <v>23.67117314</v>
      </c>
      <c r="M1493" s="14">
        <v>4.444236416</v>
      </c>
      <c r="N1493" s="14">
        <v>5.838385518</v>
      </c>
      <c r="O1493" s="14">
        <v>12.15510157</v>
      </c>
      <c r="P1493" s="14" t="s">
        <v>7565</v>
      </c>
      <c r="Q1493" s="14" t="s">
        <v>7566</v>
      </c>
      <c r="R1493" s="14" t="s">
        <v>6957</v>
      </c>
      <c r="S1493" s="14" t="s">
        <v>6958</v>
      </c>
      <c r="T1493" s="14" t="s">
        <v>7567</v>
      </c>
      <c r="U1493" s="14" t="s">
        <v>7568</v>
      </c>
    </row>
    <row r="1494" spans="1:21">
      <c r="A1494" s="14" t="s">
        <v>7569</v>
      </c>
      <c r="B1494" s="14">
        <v>545.7714269</v>
      </c>
      <c r="C1494" s="14">
        <v>203.8770988</v>
      </c>
      <c r="D1494" s="14">
        <v>887.6657551</v>
      </c>
      <c r="E1494" s="14">
        <v>4.357546326</v>
      </c>
      <c r="F1494" s="14">
        <v>2.123516002</v>
      </c>
      <c r="G1494" s="51" t="s">
        <v>7570</v>
      </c>
      <c r="H1494" s="51" t="s">
        <v>7571</v>
      </c>
      <c r="I1494" s="14" t="s">
        <v>164</v>
      </c>
      <c r="J1494" s="14">
        <v>34.42461934</v>
      </c>
      <c r="K1494" s="14">
        <v>27.8575426</v>
      </c>
      <c r="L1494" s="14">
        <v>34.81343481</v>
      </c>
      <c r="M1494" s="14">
        <v>5.742510557</v>
      </c>
      <c r="N1494" s="14">
        <v>6.990240233</v>
      </c>
      <c r="O1494" s="14">
        <v>5.527757103</v>
      </c>
      <c r="P1494" s="14" t="s">
        <v>7572</v>
      </c>
      <c r="Q1494" s="14" t="s">
        <v>7573</v>
      </c>
      <c r="T1494" s="14" t="s">
        <v>7574</v>
      </c>
      <c r="U1494" s="14" t="s">
        <v>7575</v>
      </c>
    </row>
    <row r="1495" spans="1:21">
      <c r="A1495" s="14" t="s">
        <v>7576</v>
      </c>
      <c r="B1495" s="14">
        <v>9335.85296</v>
      </c>
      <c r="C1495" s="14">
        <v>4587.07924</v>
      </c>
      <c r="D1495" s="14">
        <v>14084.62668</v>
      </c>
      <c r="E1495" s="14">
        <v>3.070364228</v>
      </c>
      <c r="F1495" s="14">
        <v>1.618409808</v>
      </c>
      <c r="G1495" s="14">
        <v>0.000534281</v>
      </c>
      <c r="H1495" s="14">
        <v>0.002103702</v>
      </c>
      <c r="I1495" s="14" t="s">
        <v>164</v>
      </c>
      <c r="J1495" s="14">
        <v>570.0744872</v>
      </c>
      <c r="K1495" s="14">
        <v>353.6653593</v>
      </c>
      <c r="L1495" s="14">
        <v>532.2885489</v>
      </c>
      <c r="M1495" s="14">
        <v>71.04553949</v>
      </c>
      <c r="N1495" s="14">
        <v>79.96740394</v>
      </c>
      <c r="O1495" s="14">
        <v>252.6434561</v>
      </c>
      <c r="P1495" s="14" t="s">
        <v>7577</v>
      </c>
      <c r="Q1495" s="14" t="s">
        <v>7578</v>
      </c>
      <c r="T1495" s="14" t="s">
        <v>7579</v>
      </c>
      <c r="U1495" s="14" t="s">
        <v>7580</v>
      </c>
    </row>
    <row r="1496" spans="1:21">
      <c r="A1496" s="14" t="s">
        <v>7581</v>
      </c>
      <c r="B1496" s="14">
        <v>547.0392427</v>
      </c>
      <c r="C1496" s="14">
        <v>802.7673456</v>
      </c>
      <c r="D1496" s="14">
        <v>291.3111398</v>
      </c>
      <c r="E1496" s="14">
        <v>0.362847225</v>
      </c>
      <c r="F1496" s="14">
        <v>-1.462565859</v>
      </c>
      <c r="G1496" s="51" t="s">
        <v>7582</v>
      </c>
      <c r="H1496" s="51" t="s">
        <v>7583</v>
      </c>
      <c r="I1496" s="14" t="s">
        <v>147</v>
      </c>
      <c r="J1496" s="14">
        <v>4.739146749</v>
      </c>
      <c r="K1496" s="14">
        <v>6.689309768</v>
      </c>
      <c r="L1496" s="14">
        <v>4.883926678</v>
      </c>
      <c r="M1496" s="14">
        <v>12.6395371</v>
      </c>
      <c r="N1496" s="14">
        <v>12.70357031</v>
      </c>
      <c r="O1496" s="14">
        <v>11.56048644</v>
      </c>
      <c r="P1496" s="14" t="s">
        <v>7584</v>
      </c>
      <c r="Q1496" s="14" t="s">
        <v>7585</v>
      </c>
      <c r="T1496" s="14" t="s">
        <v>7586</v>
      </c>
      <c r="U1496" s="14" t="s">
        <v>7587</v>
      </c>
    </row>
    <row r="1497" spans="1:21">
      <c r="A1497" s="14" t="s">
        <v>7588</v>
      </c>
      <c r="B1497" s="14">
        <v>826.9347463</v>
      </c>
      <c r="C1497" s="14">
        <v>252.3317012</v>
      </c>
      <c r="D1497" s="14">
        <v>1401.537791</v>
      </c>
      <c r="E1497" s="14">
        <v>5.556158394</v>
      </c>
      <c r="F1497" s="14">
        <v>2.474087728</v>
      </c>
      <c r="G1497" s="51" t="s">
        <v>7589</v>
      </c>
      <c r="H1497" s="51" t="s">
        <v>7590</v>
      </c>
      <c r="I1497" s="14" t="s">
        <v>164</v>
      </c>
      <c r="J1497" s="14">
        <v>66.19695613</v>
      </c>
      <c r="K1497" s="14">
        <v>39.98487834</v>
      </c>
      <c r="L1497" s="14">
        <v>48.83158743</v>
      </c>
      <c r="M1497" s="14">
        <v>7.997389856</v>
      </c>
      <c r="N1497" s="14">
        <v>7.013186691</v>
      </c>
      <c r="O1497" s="14">
        <v>7.946770185</v>
      </c>
      <c r="P1497" s="14" t="s">
        <v>7591</v>
      </c>
      <c r="Q1497" s="14" t="s">
        <v>7592</v>
      </c>
      <c r="T1497" s="14" t="s">
        <v>7593</v>
      </c>
      <c r="U1497" s="14" t="s">
        <v>7594</v>
      </c>
    </row>
    <row r="1498" spans="1:21">
      <c r="A1498" s="14" t="s">
        <v>7595</v>
      </c>
      <c r="B1498" s="14">
        <v>582.1889478</v>
      </c>
      <c r="C1498" s="14">
        <v>40.10034495</v>
      </c>
      <c r="D1498" s="14">
        <v>1124.277551</v>
      </c>
      <c r="E1498" s="14">
        <v>27.99750336</v>
      </c>
      <c r="F1498" s="14">
        <v>4.807226278</v>
      </c>
      <c r="G1498" s="51" t="s">
        <v>7596</v>
      </c>
      <c r="H1498" s="51" t="s">
        <v>7597</v>
      </c>
      <c r="I1498" s="14" t="s">
        <v>164</v>
      </c>
      <c r="J1498" s="14">
        <v>20.29380967</v>
      </c>
      <c r="K1498" s="14">
        <v>6.662906484</v>
      </c>
      <c r="L1498" s="14">
        <v>20.97127756</v>
      </c>
      <c r="M1498" s="14">
        <v>0.239989993</v>
      </c>
      <c r="N1498" s="14">
        <v>0.633165244</v>
      </c>
      <c r="O1498" s="14">
        <v>0.540045029</v>
      </c>
      <c r="P1498" s="14" t="s">
        <v>7598</v>
      </c>
      <c r="Q1498" s="14" t="s">
        <v>7599</v>
      </c>
      <c r="T1498" s="14" t="s">
        <v>7600</v>
      </c>
      <c r="U1498" s="14" t="s">
        <v>7601</v>
      </c>
    </row>
    <row r="1499" spans="1:21">
      <c r="A1499" s="14" t="s">
        <v>7602</v>
      </c>
      <c r="B1499" s="14">
        <v>348.7430594</v>
      </c>
      <c r="C1499" s="14">
        <v>474.3925744</v>
      </c>
      <c r="D1499" s="14">
        <v>223.0935443</v>
      </c>
      <c r="E1499" s="14">
        <v>0.47053864</v>
      </c>
      <c r="F1499" s="14">
        <v>-1.087614896</v>
      </c>
      <c r="G1499" s="51" t="s">
        <v>7603</v>
      </c>
      <c r="H1499" s="51" t="s">
        <v>7194</v>
      </c>
      <c r="I1499" s="14" t="s">
        <v>147</v>
      </c>
      <c r="J1499" s="14">
        <v>3.070426038</v>
      </c>
      <c r="K1499" s="14">
        <v>2.692560217</v>
      </c>
      <c r="L1499" s="14">
        <v>3.146681458</v>
      </c>
      <c r="M1499" s="14">
        <v>5.130057136</v>
      </c>
      <c r="N1499" s="14">
        <v>6.046636393</v>
      </c>
      <c r="O1499" s="14">
        <v>4.291107656</v>
      </c>
      <c r="P1499" s="14" t="s">
        <v>7604</v>
      </c>
      <c r="Q1499" s="14" t="s">
        <v>7605</v>
      </c>
      <c r="R1499" s="14" t="s">
        <v>7606</v>
      </c>
      <c r="S1499" s="14" t="s">
        <v>7607</v>
      </c>
      <c r="T1499" s="14" t="s">
        <v>7608</v>
      </c>
      <c r="U1499" s="14" t="s">
        <v>7609</v>
      </c>
    </row>
    <row r="1500" spans="1:21">
      <c r="A1500" s="14" t="s">
        <v>7610</v>
      </c>
      <c r="B1500" s="14">
        <v>8.703686917</v>
      </c>
      <c r="C1500" s="14">
        <v>16.76299893</v>
      </c>
      <c r="D1500" s="14">
        <v>0.6443749</v>
      </c>
      <c r="E1500" s="14">
        <v>0.03875207</v>
      </c>
      <c r="F1500" s="14">
        <v>-4.689582821</v>
      </c>
      <c r="G1500" s="14">
        <v>0.000355555</v>
      </c>
      <c r="H1500" s="14">
        <v>0.001472221</v>
      </c>
      <c r="I1500" s="14" t="s">
        <v>147</v>
      </c>
      <c r="J1500" s="14">
        <v>0.021301231</v>
      </c>
      <c r="K1500" s="14">
        <v>0</v>
      </c>
      <c r="L1500" s="14">
        <v>0.020509878</v>
      </c>
      <c r="M1500" s="14">
        <v>0.200477421</v>
      </c>
      <c r="N1500" s="14">
        <v>0.24478909</v>
      </c>
      <c r="O1500" s="14">
        <v>0.463612496</v>
      </c>
      <c r="P1500" s="14" t="s">
        <v>7604</v>
      </c>
      <c r="Q1500" s="14" t="s">
        <v>7605</v>
      </c>
      <c r="R1500" s="14" t="s">
        <v>7606</v>
      </c>
      <c r="S1500" s="14" t="s">
        <v>7607</v>
      </c>
      <c r="T1500" s="14" t="s">
        <v>7608</v>
      </c>
      <c r="U1500" s="14" t="s">
        <v>7609</v>
      </c>
    </row>
    <row r="1501" spans="1:21">
      <c r="A1501" s="14" t="s">
        <v>7611</v>
      </c>
      <c r="B1501" s="14">
        <v>748.7543108</v>
      </c>
      <c r="C1501" s="14">
        <v>240.9520061</v>
      </c>
      <c r="D1501" s="14">
        <v>1256.556615</v>
      </c>
      <c r="E1501" s="14">
        <v>5.211591113</v>
      </c>
      <c r="F1501" s="14">
        <v>2.381723898</v>
      </c>
      <c r="G1501" s="51" t="s">
        <v>7612</v>
      </c>
      <c r="H1501" s="14">
        <v>0.000364323</v>
      </c>
      <c r="I1501" s="14" t="s">
        <v>164</v>
      </c>
      <c r="J1501" s="14">
        <v>12.07402123</v>
      </c>
      <c r="K1501" s="14">
        <v>29.82833644</v>
      </c>
      <c r="L1501" s="14">
        <v>16.95318065</v>
      </c>
      <c r="M1501" s="14">
        <v>1.405686354</v>
      </c>
      <c r="N1501" s="14">
        <v>1.768432974</v>
      </c>
      <c r="O1501" s="14">
        <v>6.526187577</v>
      </c>
      <c r="P1501" s="14" t="s">
        <v>7613</v>
      </c>
      <c r="Q1501" s="14" t="s">
        <v>7614</v>
      </c>
      <c r="T1501" s="14" t="s">
        <v>2191</v>
      </c>
      <c r="U1501" s="14" t="s">
        <v>2192</v>
      </c>
    </row>
    <row r="1502" spans="1:21">
      <c r="A1502" s="14" t="s">
        <v>7615</v>
      </c>
      <c r="B1502" s="14">
        <v>1068.275745</v>
      </c>
      <c r="C1502" s="14">
        <v>1429.065579</v>
      </c>
      <c r="D1502" s="14">
        <v>707.4859104</v>
      </c>
      <c r="E1502" s="14">
        <v>0.495169815</v>
      </c>
      <c r="F1502" s="14">
        <v>-1.014004722</v>
      </c>
      <c r="G1502" s="51" t="s">
        <v>7616</v>
      </c>
      <c r="H1502" s="51" t="s">
        <v>7617</v>
      </c>
      <c r="I1502" s="14" t="s">
        <v>147</v>
      </c>
      <c r="J1502" s="14">
        <v>8.285413167</v>
      </c>
      <c r="K1502" s="14">
        <v>6.951432617</v>
      </c>
      <c r="L1502" s="14">
        <v>8.230528165</v>
      </c>
      <c r="M1502" s="14">
        <v>13.19463466</v>
      </c>
      <c r="N1502" s="14">
        <v>11.67941175</v>
      </c>
      <c r="O1502" s="14">
        <v>14.18294232</v>
      </c>
      <c r="P1502" s="14" t="s">
        <v>7618</v>
      </c>
      <c r="Q1502" s="14" t="s">
        <v>7619</v>
      </c>
      <c r="R1502" s="14" t="s">
        <v>556</v>
      </c>
      <c r="S1502" s="14" t="s">
        <v>557</v>
      </c>
      <c r="T1502" s="14" t="s">
        <v>4520</v>
      </c>
      <c r="U1502" s="14" t="s">
        <v>4521</v>
      </c>
    </row>
    <row r="1503" spans="1:21">
      <c r="A1503" s="14" t="s">
        <v>7620</v>
      </c>
      <c r="B1503" s="14">
        <v>153.3380739</v>
      </c>
      <c r="C1503" s="14">
        <v>48.28921962</v>
      </c>
      <c r="D1503" s="14">
        <v>258.3869281</v>
      </c>
      <c r="E1503" s="14">
        <v>5.358561557</v>
      </c>
      <c r="F1503" s="14">
        <v>2.421845778</v>
      </c>
      <c r="G1503" s="51" t="s">
        <v>6275</v>
      </c>
      <c r="H1503" s="51" t="s">
        <v>7621</v>
      </c>
      <c r="I1503" s="14" t="s">
        <v>164</v>
      </c>
      <c r="J1503" s="14">
        <v>13.03628681</v>
      </c>
      <c r="K1503" s="14">
        <v>9.211057477</v>
      </c>
      <c r="L1503" s="14">
        <v>11.55447296</v>
      </c>
      <c r="M1503" s="14">
        <v>1.403455499</v>
      </c>
      <c r="N1503" s="14">
        <v>2.834629336</v>
      </c>
      <c r="O1503" s="14">
        <v>0.867232002</v>
      </c>
      <c r="P1503" s="14" t="s">
        <v>7622</v>
      </c>
      <c r="Q1503" s="14" t="s">
        <v>7623</v>
      </c>
      <c r="T1503" s="14" t="s">
        <v>6931</v>
      </c>
      <c r="U1503" s="14" t="s">
        <v>6932</v>
      </c>
    </row>
    <row r="1504" spans="1:17">
      <c r="A1504" s="14" t="s">
        <v>7624</v>
      </c>
      <c r="B1504" s="14">
        <v>33.81466734</v>
      </c>
      <c r="C1504" s="14">
        <v>47.44271311</v>
      </c>
      <c r="D1504" s="14">
        <v>20.18662157</v>
      </c>
      <c r="E1504" s="14">
        <v>0.426518082</v>
      </c>
      <c r="F1504" s="14">
        <v>-1.22932119</v>
      </c>
      <c r="G1504" s="14">
        <v>0.007707738</v>
      </c>
      <c r="H1504" s="14">
        <v>0.021536933</v>
      </c>
      <c r="I1504" s="14" t="s">
        <v>147</v>
      </c>
      <c r="J1504" s="14">
        <v>0.154820677</v>
      </c>
      <c r="K1504" s="14">
        <v>0.126149419</v>
      </c>
      <c r="L1504" s="14">
        <v>0.170364573</v>
      </c>
      <c r="M1504" s="14">
        <v>0.283850894</v>
      </c>
      <c r="N1504" s="14">
        <v>0.363094979</v>
      </c>
      <c r="O1504" s="14">
        <v>0.216000522</v>
      </c>
      <c r="P1504" s="14" t="s">
        <v>7625</v>
      </c>
      <c r="Q1504" s="14" t="s">
        <v>7626</v>
      </c>
    </row>
    <row r="1505" spans="1:21">
      <c r="A1505" s="14" t="s">
        <v>7627</v>
      </c>
      <c r="B1505" s="14">
        <v>1145.557746</v>
      </c>
      <c r="C1505" s="14">
        <v>1611.570552</v>
      </c>
      <c r="D1505" s="14">
        <v>679.5449398</v>
      </c>
      <c r="E1505" s="14">
        <v>0.421614324</v>
      </c>
      <c r="F1505" s="14">
        <v>-1.246004213</v>
      </c>
      <c r="G1505" s="14">
        <v>0.000260691</v>
      </c>
      <c r="H1505" s="14">
        <v>0.00111093</v>
      </c>
      <c r="I1505" s="14" t="s">
        <v>147</v>
      </c>
      <c r="J1505" s="14">
        <v>6.159913612</v>
      </c>
      <c r="K1505" s="14">
        <v>11.52225904</v>
      </c>
      <c r="L1505" s="14">
        <v>9.936802469</v>
      </c>
      <c r="M1505" s="14">
        <v>13.28505574</v>
      </c>
      <c r="N1505" s="14">
        <v>14.60712637</v>
      </c>
      <c r="O1505" s="14">
        <v>27.01805655</v>
      </c>
      <c r="P1505" s="14" t="s">
        <v>7628</v>
      </c>
      <c r="Q1505" s="14" t="s">
        <v>7629</v>
      </c>
      <c r="T1505" s="14" t="s">
        <v>7630</v>
      </c>
      <c r="U1505" s="14" t="s">
        <v>7631</v>
      </c>
    </row>
    <row r="1506" spans="1:21">
      <c r="A1506" s="14" t="s">
        <v>7632</v>
      </c>
      <c r="B1506" s="14">
        <v>210.4244398</v>
      </c>
      <c r="C1506" s="14">
        <v>128.9833684</v>
      </c>
      <c r="D1506" s="14">
        <v>291.8655113</v>
      </c>
      <c r="E1506" s="14">
        <v>2.266368308</v>
      </c>
      <c r="F1506" s="14">
        <v>1.180382333</v>
      </c>
      <c r="G1506" s="51" t="s">
        <v>7633</v>
      </c>
      <c r="H1506" s="51" t="s">
        <v>7634</v>
      </c>
      <c r="I1506" s="14" t="s">
        <v>164</v>
      </c>
      <c r="J1506" s="14">
        <v>5.198364213</v>
      </c>
      <c r="K1506" s="14">
        <v>5.020188224</v>
      </c>
      <c r="L1506" s="14">
        <v>5.309614884</v>
      </c>
      <c r="M1506" s="14">
        <v>1.953378627</v>
      </c>
      <c r="N1506" s="14">
        <v>1.801956624</v>
      </c>
      <c r="O1506" s="14">
        <v>1.881750553</v>
      </c>
      <c r="P1506" s="14" t="s">
        <v>7635</v>
      </c>
      <c r="Q1506" s="14" t="s">
        <v>7636</v>
      </c>
      <c r="T1506" s="14" t="s">
        <v>7637</v>
      </c>
      <c r="U1506" s="14" t="s">
        <v>7638</v>
      </c>
    </row>
    <row r="1507" spans="1:15">
      <c r="A1507" s="14" t="s">
        <v>7639</v>
      </c>
      <c r="B1507" s="14">
        <v>6.162571465</v>
      </c>
      <c r="C1507" s="14">
        <v>0.338987876</v>
      </c>
      <c r="D1507" s="14">
        <v>11.98615506</v>
      </c>
      <c r="E1507" s="14">
        <v>33.22300036</v>
      </c>
      <c r="F1507" s="14">
        <v>5.054110463</v>
      </c>
      <c r="G1507" s="14">
        <v>0.001045921</v>
      </c>
      <c r="H1507" s="14">
        <v>0.003816261</v>
      </c>
      <c r="I1507" s="14" t="s">
        <v>164</v>
      </c>
      <c r="J1507" s="14">
        <v>0.196894502</v>
      </c>
      <c r="K1507" s="14">
        <v>0.132120131</v>
      </c>
      <c r="L1507" s="14">
        <v>0.268571327</v>
      </c>
      <c r="M1507" s="14">
        <v>0</v>
      </c>
      <c r="N1507" s="14">
        <v>0.013468265</v>
      </c>
      <c r="O1507" s="14">
        <v>0</v>
      </c>
    </row>
    <row r="1508" spans="1:21">
      <c r="A1508" s="14" t="s">
        <v>7640</v>
      </c>
      <c r="B1508" s="14">
        <v>4.21922109</v>
      </c>
      <c r="C1508" s="14">
        <v>0</v>
      </c>
      <c r="D1508" s="14">
        <v>8.438442179</v>
      </c>
      <c r="E1508" s="14">
        <v>45.52942827</v>
      </c>
      <c r="F1508" s="14">
        <v>5.508727438</v>
      </c>
      <c r="G1508" s="14">
        <v>0.013184564</v>
      </c>
      <c r="H1508" s="14">
        <v>0.034155998</v>
      </c>
      <c r="I1508" s="14" t="s">
        <v>164</v>
      </c>
      <c r="J1508" s="14">
        <v>0.229664926</v>
      </c>
      <c r="K1508" s="14">
        <v>0.015410974</v>
      </c>
      <c r="L1508" s="14">
        <v>0.14742183</v>
      </c>
      <c r="M1508" s="14">
        <v>0</v>
      </c>
      <c r="N1508" s="14">
        <v>0</v>
      </c>
      <c r="O1508" s="14">
        <v>0</v>
      </c>
      <c r="P1508" s="14" t="s">
        <v>7641</v>
      </c>
      <c r="Q1508" s="14" t="s">
        <v>7642</v>
      </c>
      <c r="T1508" s="14" t="s">
        <v>7643</v>
      </c>
      <c r="U1508" s="14" t="s">
        <v>7644</v>
      </c>
    </row>
    <row r="1509" spans="1:21">
      <c r="A1509" s="14" t="s">
        <v>7645</v>
      </c>
      <c r="B1509" s="14">
        <v>10275.75031</v>
      </c>
      <c r="C1509" s="14">
        <v>14719.55393</v>
      </c>
      <c r="D1509" s="14">
        <v>5831.946699</v>
      </c>
      <c r="E1509" s="14">
        <v>0.396188634</v>
      </c>
      <c r="F1509" s="14">
        <v>-1.335740601</v>
      </c>
      <c r="G1509" s="51" t="s">
        <v>7646</v>
      </c>
      <c r="H1509" s="51" t="s">
        <v>7647</v>
      </c>
      <c r="I1509" s="14" t="s">
        <v>147</v>
      </c>
      <c r="J1509" s="14">
        <v>209.8037058</v>
      </c>
      <c r="K1509" s="14">
        <v>185.376639</v>
      </c>
      <c r="L1509" s="14">
        <v>161.8323979</v>
      </c>
      <c r="M1509" s="14">
        <v>364.0369394</v>
      </c>
      <c r="N1509" s="14">
        <v>357.1264913</v>
      </c>
      <c r="O1509" s="14">
        <v>441.827542</v>
      </c>
      <c r="P1509" s="14" t="s">
        <v>7648</v>
      </c>
      <c r="Q1509" s="14" t="s">
        <v>7649</v>
      </c>
      <c r="R1509" s="14" t="s">
        <v>1536</v>
      </c>
      <c r="S1509" s="14" t="s">
        <v>1537</v>
      </c>
      <c r="T1509" s="14" t="s">
        <v>7650</v>
      </c>
      <c r="U1509" s="14" t="s">
        <v>7651</v>
      </c>
    </row>
    <row r="1510" spans="1:21">
      <c r="A1510" s="14" t="s">
        <v>7652</v>
      </c>
      <c r="B1510" s="14">
        <v>189.3182933</v>
      </c>
      <c r="C1510" s="14">
        <v>96.64330992</v>
      </c>
      <c r="D1510" s="14">
        <v>281.9932767</v>
      </c>
      <c r="E1510" s="14">
        <v>2.911632026</v>
      </c>
      <c r="F1510" s="14">
        <v>1.541828038</v>
      </c>
      <c r="G1510" s="51" t="s">
        <v>7653</v>
      </c>
      <c r="H1510" s="51" t="s">
        <v>7654</v>
      </c>
      <c r="I1510" s="14" t="s">
        <v>164</v>
      </c>
      <c r="J1510" s="14">
        <v>4.936833749</v>
      </c>
      <c r="K1510" s="14">
        <v>3.642968958</v>
      </c>
      <c r="L1510" s="14">
        <v>4.359738808</v>
      </c>
      <c r="M1510" s="14">
        <v>0.958805923</v>
      </c>
      <c r="N1510" s="14">
        <v>1.031735374</v>
      </c>
      <c r="O1510" s="14">
        <v>1.711361511</v>
      </c>
      <c r="P1510" s="14" t="s">
        <v>7655</v>
      </c>
      <c r="Q1510" s="14" t="s">
        <v>7656</v>
      </c>
      <c r="T1510" s="14" t="s">
        <v>7657</v>
      </c>
      <c r="U1510" s="14" t="s">
        <v>7658</v>
      </c>
    </row>
    <row r="1511" spans="1:21">
      <c r="A1511" s="14" t="s">
        <v>7659</v>
      </c>
      <c r="B1511" s="14">
        <v>109.770048</v>
      </c>
      <c r="C1511" s="14">
        <v>51.99092684</v>
      </c>
      <c r="D1511" s="14">
        <v>167.5491692</v>
      </c>
      <c r="E1511" s="14">
        <v>3.212293559</v>
      </c>
      <c r="F1511" s="14">
        <v>1.683603741</v>
      </c>
      <c r="G1511" s="51" t="s">
        <v>7660</v>
      </c>
      <c r="H1511" s="51" t="s">
        <v>7661</v>
      </c>
      <c r="I1511" s="14" t="s">
        <v>164</v>
      </c>
      <c r="J1511" s="14">
        <v>3.247958024</v>
      </c>
      <c r="K1511" s="14">
        <v>2.149174449</v>
      </c>
      <c r="L1511" s="14">
        <v>2.229645193</v>
      </c>
      <c r="M1511" s="14">
        <v>0.411694174</v>
      </c>
      <c r="N1511" s="14">
        <v>0.604800391</v>
      </c>
      <c r="O1511" s="14">
        <v>0.969224696</v>
      </c>
      <c r="P1511" s="14" t="s">
        <v>2941</v>
      </c>
      <c r="Q1511" s="14" t="s">
        <v>2942</v>
      </c>
      <c r="T1511" s="14" t="s">
        <v>2943</v>
      </c>
      <c r="U1511" s="14" t="s">
        <v>2944</v>
      </c>
    </row>
    <row r="1512" spans="1:21">
      <c r="A1512" s="14" t="s">
        <v>7662</v>
      </c>
      <c r="B1512" s="14">
        <v>569.6702197</v>
      </c>
      <c r="C1512" s="14">
        <v>367.7428416</v>
      </c>
      <c r="D1512" s="14">
        <v>771.5975979</v>
      </c>
      <c r="E1512" s="14">
        <v>2.097263935</v>
      </c>
      <c r="F1512" s="14">
        <v>1.068508432</v>
      </c>
      <c r="G1512" s="51" t="s">
        <v>7663</v>
      </c>
      <c r="H1512" s="51" t="s">
        <v>7664</v>
      </c>
      <c r="I1512" s="14" t="s">
        <v>164</v>
      </c>
      <c r="J1512" s="14">
        <v>6.700294836</v>
      </c>
      <c r="K1512" s="14">
        <v>5.886972893</v>
      </c>
      <c r="L1512" s="14">
        <v>7.536266177</v>
      </c>
      <c r="M1512" s="14">
        <v>2.435861189</v>
      </c>
      <c r="N1512" s="14">
        <v>2.132174403</v>
      </c>
      <c r="O1512" s="14">
        <v>3.391208192</v>
      </c>
      <c r="P1512" s="14" t="s">
        <v>7665</v>
      </c>
      <c r="Q1512" s="14" t="s">
        <v>7666</v>
      </c>
      <c r="T1512" s="14" t="s">
        <v>7667</v>
      </c>
      <c r="U1512" s="14" t="s">
        <v>7668</v>
      </c>
    </row>
    <row r="1513" spans="1:21">
      <c r="A1513" s="14" t="s">
        <v>7669</v>
      </c>
      <c r="B1513" s="14">
        <v>409.6175338</v>
      </c>
      <c r="C1513" s="14">
        <v>52.03634696</v>
      </c>
      <c r="D1513" s="14">
        <v>767.1987206</v>
      </c>
      <c r="E1513" s="14">
        <v>14.74436777</v>
      </c>
      <c r="F1513" s="14">
        <v>3.882092057</v>
      </c>
      <c r="G1513" s="51" t="s">
        <v>7670</v>
      </c>
      <c r="H1513" s="51" t="s">
        <v>7671</v>
      </c>
      <c r="I1513" s="14" t="s">
        <v>164</v>
      </c>
      <c r="J1513" s="14">
        <v>11.56394849</v>
      </c>
      <c r="K1513" s="14">
        <v>20.0117024</v>
      </c>
      <c r="L1513" s="14">
        <v>15.52947601</v>
      </c>
      <c r="M1513" s="14">
        <v>0.590171585</v>
      </c>
      <c r="N1513" s="14">
        <v>1.298928428</v>
      </c>
      <c r="O1513" s="14">
        <v>0.730258865</v>
      </c>
      <c r="P1513" s="14" t="s">
        <v>7672</v>
      </c>
      <c r="Q1513" s="14" t="s">
        <v>7673</v>
      </c>
      <c r="T1513" s="14" t="s">
        <v>7674</v>
      </c>
      <c r="U1513" s="14" t="s">
        <v>7675</v>
      </c>
    </row>
    <row r="1514" spans="1:21">
      <c r="A1514" s="14" t="s">
        <v>7676</v>
      </c>
      <c r="B1514" s="14">
        <v>215.4259413</v>
      </c>
      <c r="C1514" s="14">
        <v>343.2353688</v>
      </c>
      <c r="D1514" s="14">
        <v>87.61651373</v>
      </c>
      <c r="E1514" s="14">
        <v>0.255217185</v>
      </c>
      <c r="F1514" s="14">
        <v>-1.970202619</v>
      </c>
      <c r="G1514" s="14">
        <v>0.000128403</v>
      </c>
      <c r="H1514" s="14">
        <v>0.000592548</v>
      </c>
      <c r="I1514" s="14" t="s">
        <v>147</v>
      </c>
      <c r="J1514" s="14">
        <v>1.797416935</v>
      </c>
      <c r="K1514" s="14">
        <v>4.736693672</v>
      </c>
      <c r="L1514" s="14">
        <v>2.108236477</v>
      </c>
      <c r="M1514" s="14">
        <v>11.15647821</v>
      </c>
      <c r="N1514" s="14">
        <v>10.62284029</v>
      </c>
      <c r="O1514" s="14">
        <v>5.717544001</v>
      </c>
      <c r="P1514" s="14" t="s">
        <v>7677</v>
      </c>
      <c r="Q1514" s="14" t="s">
        <v>7678</v>
      </c>
      <c r="T1514" s="14" t="s">
        <v>1630</v>
      </c>
      <c r="U1514" s="14" t="s">
        <v>1631</v>
      </c>
    </row>
    <row r="1515" spans="1:21">
      <c r="A1515" s="14" t="s">
        <v>7679</v>
      </c>
      <c r="B1515" s="14">
        <v>51.59177988</v>
      </c>
      <c r="C1515" s="14">
        <v>82.788649</v>
      </c>
      <c r="D1515" s="14">
        <v>20.39491076</v>
      </c>
      <c r="E1515" s="14">
        <v>0.245977378</v>
      </c>
      <c r="F1515" s="14">
        <v>-2.023402454</v>
      </c>
      <c r="G1515" s="51" t="s">
        <v>6637</v>
      </c>
      <c r="H1515" s="51" t="s">
        <v>7680</v>
      </c>
      <c r="I1515" s="14" t="s">
        <v>147</v>
      </c>
      <c r="J1515" s="14">
        <v>0.412031019</v>
      </c>
      <c r="K1515" s="14">
        <v>0.322561188</v>
      </c>
      <c r="L1515" s="14">
        <v>0.205708655</v>
      </c>
      <c r="M1515" s="14">
        <v>1.162048463</v>
      </c>
      <c r="N1515" s="14">
        <v>0.989583774</v>
      </c>
      <c r="O1515" s="14">
        <v>0.983634975</v>
      </c>
      <c r="P1515" s="14" t="s">
        <v>7681</v>
      </c>
      <c r="Q1515" s="14" t="s">
        <v>7682</v>
      </c>
      <c r="T1515" s="14" t="s">
        <v>7683</v>
      </c>
      <c r="U1515" s="14" t="s">
        <v>7684</v>
      </c>
    </row>
    <row r="1516" spans="1:21">
      <c r="A1516" s="14" t="s">
        <v>7685</v>
      </c>
      <c r="B1516" s="14">
        <v>537.679311</v>
      </c>
      <c r="C1516" s="14">
        <v>283.9074166</v>
      </c>
      <c r="D1516" s="14">
        <v>791.4512053</v>
      </c>
      <c r="E1516" s="14">
        <v>2.786395768</v>
      </c>
      <c r="F1516" s="14">
        <v>1.478400187</v>
      </c>
      <c r="G1516" s="14">
        <v>0.001589152</v>
      </c>
      <c r="H1516" s="14">
        <v>0.005499818</v>
      </c>
      <c r="I1516" s="14" t="s">
        <v>164</v>
      </c>
      <c r="J1516" s="14">
        <v>12.15707454</v>
      </c>
      <c r="K1516" s="14">
        <v>5.227108926</v>
      </c>
      <c r="L1516" s="14">
        <v>11.16764614</v>
      </c>
      <c r="M1516" s="14">
        <v>2.013199075</v>
      </c>
      <c r="N1516" s="14">
        <v>1.785105393</v>
      </c>
      <c r="O1516" s="14">
        <v>4.834669655</v>
      </c>
      <c r="P1516" s="14" t="s">
        <v>7686</v>
      </c>
      <c r="Q1516" s="14" t="s">
        <v>7687</v>
      </c>
      <c r="T1516" s="14" t="s">
        <v>7688</v>
      </c>
      <c r="U1516" s="14" t="s">
        <v>7689</v>
      </c>
    </row>
    <row r="1517" spans="1:21">
      <c r="A1517" s="14" t="s">
        <v>7690</v>
      </c>
      <c r="B1517" s="14">
        <v>244.5176636</v>
      </c>
      <c r="C1517" s="14">
        <v>351.2127223</v>
      </c>
      <c r="D1517" s="14">
        <v>137.8226048</v>
      </c>
      <c r="E1517" s="14">
        <v>0.392443512</v>
      </c>
      <c r="F1517" s="14">
        <v>-1.349443085</v>
      </c>
      <c r="G1517" s="51" t="s">
        <v>6056</v>
      </c>
      <c r="H1517" s="51" t="s">
        <v>3850</v>
      </c>
      <c r="I1517" s="14" t="s">
        <v>147</v>
      </c>
      <c r="J1517" s="14">
        <v>1.16209038</v>
      </c>
      <c r="K1517" s="14">
        <v>1.655392707</v>
      </c>
      <c r="L1517" s="14">
        <v>1.289600486</v>
      </c>
      <c r="M1517" s="14">
        <v>3.134504696</v>
      </c>
      <c r="N1517" s="14">
        <v>2.651496566</v>
      </c>
      <c r="O1517" s="14">
        <v>2.811184616</v>
      </c>
      <c r="P1517" s="14" t="s">
        <v>7691</v>
      </c>
      <c r="Q1517" s="14" t="s">
        <v>7692</v>
      </c>
      <c r="T1517" s="14" t="s">
        <v>7693</v>
      </c>
      <c r="U1517" s="14" t="s">
        <v>7694</v>
      </c>
    </row>
    <row r="1518" spans="1:21">
      <c r="A1518" s="14" t="s">
        <v>7695</v>
      </c>
      <c r="B1518" s="14">
        <v>6.474482827</v>
      </c>
      <c r="C1518" s="14">
        <v>0.361896244</v>
      </c>
      <c r="D1518" s="14">
        <v>12.58706941</v>
      </c>
      <c r="E1518" s="14">
        <v>34.81975511</v>
      </c>
      <c r="F1518" s="14">
        <v>5.121834151</v>
      </c>
      <c r="G1518" s="14">
        <v>0.001763533</v>
      </c>
      <c r="H1518" s="14">
        <v>0.006011064</v>
      </c>
      <c r="I1518" s="14" t="s">
        <v>164</v>
      </c>
      <c r="J1518" s="14">
        <v>1.463387517</v>
      </c>
      <c r="K1518" s="14">
        <v>1.5650022</v>
      </c>
      <c r="L1518" s="14">
        <v>0.440319327</v>
      </c>
      <c r="M1518" s="14">
        <v>0.078254163</v>
      </c>
      <c r="N1518" s="14">
        <v>0</v>
      </c>
      <c r="O1518" s="14">
        <v>0</v>
      </c>
      <c r="P1518" s="14" t="s">
        <v>7696</v>
      </c>
      <c r="Q1518" s="14" t="s">
        <v>7697</v>
      </c>
      <c r="T1518" s="14" t="s">
        <v>7698</v>
      </c>
      <c r="U1518" s="14" t="s">
        <v>7699</v>
      </c>
    </row>
    <row r="1519" spans="1:15">
      <c r="A1519" s="14" t="s">
        <v>7700</v>
      </c>
      <c r="B1519" s="14">
        <v>7.138575978</v>
      </c>
      <c r="C1519" s="14">
        <v>0.618177692</v>
      </c>
      <c r="D1519" s="14">
        <v>13.65897426</v>
      </c>
      <c r="E1519" s="14">
        <v>20.94400608</v>
      </c>
      <c r="F1519" s="14">
        <v>4.388465516</v>
      </c>
      <c r="G1519" s="14">
        <v>0.003230918</v>
      </c>
      <c r="H1519" s="14">
        <v>0.010127107</v>
      </c>
      <c r="I1519" s="14" t="s">
        <v>164</v>
      </c>
      <c r="J1519" s="14">
        <v>0.959098581</v>
      </c>
      <c r="K1519" s="14">
        <v>0.355659452</v>
      </c>
      <c r="L1519" s="14">
        <v>0.777656867</v>
      </c>
      <c r="M1519" s="14">
        <v>0</v>
      </c>
      <c r="N1519" s="14">
        <v>0</v>
      </c>
      <c r="O1519" s="14">
        <v>0.08451168</v>
      </c>
    </row>
    <row r="1520" spans="1:21">
      <c r="A1520" s="14" t="s">
        <v>7701</v>
      </c>
      <c r="B1520" s="14">
        <v>42.61860548</v>
      </c>
      <c r="C1520" s="14">
        <v>12.06569668</v>
      </c>
      <c r="D1520" s="14">
        <v>73.17151428</v>
      </c>
      <c r="E1520" s="14">
        <v>6.103743021</v>
      </c>
      <c r="F1520" s="14">
        <v>2.609694223</v>
      </c>
      <c r="G1520" s="51" t="s">
        <v>7702</v>
      </c>
      <c r="H1520" s="14">
        <v>0.000271505</v>
      </c>
      <c r="I1520" s="14" t="s">
        <v>164</v>
      </c>
      <c r="J1520" s="14">
        <v>2.280322677</v>
      </c>
      <c r="K1520" s="14">
        <v>1.569176157</v>
      </c>
      <c r="L1520" s="14">
        <v>1.299441118</v>
      </c>
      <c r="M1520" s="14">
        <v>0.278718857</v>
      </c>
      <c r="N1520" s="14">
        <v>0.324697151</v>
      </c>
      <c r="O1520" s="14">
        <v>0.077912531</v>
      </c>
      <c r="P1520" s="14" t="s">
        <v>7703</v>
      </c>
      <c r="Q1520" s="14" t="s">
        <v>7704</v>
      </c>
      <c r="T1520" s="14" t="s">
        <v>7705</v>
      </c>
      <c r="U1520" s="14" t="s">
        <v>7706</v>
      </c>
    </row>
    <row r="1521" spans="1:21">
      <c r="A1521" s="14" t="s">
        <v>7707</v>
      </c>
      <c r="B1521" s="14">
        <v>724.9571458</v>
      </c>
      <c r="C1521" s="14">
        <v>309.68284</v>
      </c>
      <c r="D1521" s="14">
        <v>1140.231452</v>
      </c>
      <c r="E1521" s="14">
        <v>3.679284295</v>
      </c>
      <c r="F1521" s="14">
        <v>1.879425157</v>
      </c>
      <c r="G1521" s="51" t="s">
        <v>7708</v>
      </c>
      <c r="H1521" s="51" t="s">
        <v>1330</v>
      </c>
      <c r="I1521" s="14" t="s">
        <v>164</v>
      </c>
      <c r="J1521" s="14">
        <v>13.38336419</v>
      </c>
      <c r="K1521" s="14">
        <v>12.33044067</v>
      </c>
      <c r="L1521" s="14">
        <v>17.35736414</v>
      </c>
      <c r="M1521" s="14">
        <v>2.620354352</v>
      </c>
      <c r="N1521" s="14">
        <v>2.524138097</v>
      </c>
      <c r="O1521" s="14">
        <v>4.616763713</v>
      </c>
      <c r="P1521" s="14" t="s">
        <v>7709</v>
      </c>
      <c r="Q1521" s="14" t="s">
        <v>7710</v>
      </c>
      <c r="T1521" s="14" t="s">
        <v>7711</v>
      </c>
      <c r="U1521" s="14" t="s">
        <v>7712</v>
      </c>
    </row>
    <row r="1522" spans="1:21">
      <c r="A1522" s="14" t="s">
        <v>7713</v>
      </c>
      <c r="B1522" s="14">
        <v>231.1825936</v>
      </c>
      <c r="C1522" s="14">
        <v>144.9643649</v>
      </c>
      <c r="D1522" s="14">
        <v>317.4008223</v>
      </c>
      <c r="E1522" s="14">
        <v>2.188089994</v>
      </c>
      <c r="F1522" s="14">
        <v>1.129672076</v>
      </c>
      <c r="G1522" s="14">
        <v>0.000685317</v>
      </c>
      <c r="H1522" s="14">
        <v>0.002628107</v>
      </c>
      <c r="I1522" s="14" t="s">
        <v>164</v>
      </c>
      <c r="J1522" s="14">
        <v>5.579407997</v>
      </c>
      <c r="K1522" s="14">
        <v>8.025277452</v>
      </c>
      <c r="L1522" s="14">
        <v>4.042394738</v>
      </c>
      <c r="M1522" s="14">
        <v>1.827559677</v>
      </c>
      <c r="N1522" s="14">
        <v>2.373036788</v>
      </c>
      <c r="O1522" s="14">
        <v>2.481695297</v>
      </c>
      <c r="P1522" s="14" t="s">
        <v>7714</v>
      </c>
      <c r="Q1522" s="14" t="s">
        <v>7715</v>
      </c>
      <c r="T1522" s="14" t="s">
        <v>7716</v>
      </c>
      <c r="U1522" s="14" t="s">
        <v>7717</v>
      </c>
    </row>
    <row r="1523" spans="1:21">
      <c r="A1523" s="14" t="s">
        <v>7718</v>
      </c>
      <c r="B1523" s="14">
        <v>2047.132324</v>
      </c>
      <c r="C1523" s="14">
        <v>1150.486343</v>
      </c>
      <c r="D1523" s="14">
        <v>2943.778305</v>
      </c>
      <c r="E1523" s="14">
        <v>2.558304584</v>
      </c>
      <c r="F1523" s="14">
        <v>1.355188037</v>
      </c>
      <c r="G1523" s="51" t="s">
        <v>7719</v>
      </c>
      <c r="H1523" s="14">
        <v>0.000233873</v>
      </c>
      <c r="I1523" s="14" t="s">
        <v>164</v>
      </c>
      <c r="J1523" s="14">
        <v>12.73549552</v>
      </c>
      <c r="K1523" s="14">
        <v>7.402937997</v>
      </c>
      <c r="L1523" s="14">
        <v>12.15443361</v>
      </c>
      <c r="M1523" s="14">
        <v>2.682339095</v>
      </c>
      <c r="N1523" s="14">
        <v>2.579322216</v>
      </c>
      <c r="O1523" s="14">
        <v>5.309249986</v>
      </c>
      <c r="P1523" s="14" t="s">
        <v>7720</v>
      </c>
      <c r="Q1523" s="14" t="s">
        <v>7721</v>
      </c>
      <c r="T1523" s="14" t="s">
        <v>7722</v>
      </c>
      <c r="U1523" s="14" t="s">
        <v>7723</v>
      </c>
    </row>
    <row r="1524" spans="1:15">
      <c r="A1524" s="14" t="s">
        <v>7724</v>
      </c>
      <c r="B1524" s="14">
        <v>150.6114423</v>
      </c>
      <c r="C1524" s="14">
        <v>81.31656752</v>
      </c>
      <c r="D1524" s="14">
        <v>219.9063171</v>
      </c>
      <c r="E1524" s="14">
        <v>2.71042324</v>
      </c>
      <c r="F1524" s="14">
        <v>1.43851815</v>
      </c>
      <c r="G1524" s="51" t="s">
        <v>2167</v>
      </c>
      <c r="H1524" s="51" t="s">
        <v>7725</v>
      </c>
      <c r="I1524" s="14" t="s">
        <v>164</v>
      </c>
      <c r="J1524" s="14">
        <v>4.286783804</v>
      </c>
      <c r="K1524" s="14">
        <v>3.473305116</v>
      </c>
      <c r="L1524" s="14">
        <v>4.093274034</v>
      </c>
      <c r="M1524" s="14">
        <v>1.628419905</v>
      </c>
      <c r="N1524" s="14">
        <v>0.876042378</v>
      </c>
      <c r="O1524" s="14">
        <v>1.072072423</v>
      </c>
    </row>
    <row r="1525" spans="1:21">
      <c r="A1525" s="14" t="s">
        <v>7726</v>
      </c>
      <c r="B1525" s="14">
        <v>553.7703209</v>
      </c>
      <c r="C1525" s="14">
        <v>1037.151891</v>
      </c>
      <c r="D1525" s="14">
        <v>70.38875067</v>
      </c>
      <c r="E1525" s="14">
        <v>0.067828469</v>
      </c>
      <c r="F1525" s="14">
        <v>-3.881965268</v>
      </c>
      <c r="G1525" s="51" t="s">
        <v>7727</v>
      </c>
      <c r="H1525" s="51" t="s">
        <v>7728</v>
      </c>
      <c r="I1525" s="14" t="s">
        <v>147</v>
      </c>
      <c r="J1525" s="14">
        <v>0.363994026</v>
      </c>
      <c r="K1525" s="14">
        <v>0.701693341</v>
      </c>
      <c r="L1525" s="14">
        <v>0.243547952</v>
      </c>
      <c r="M1525" s="14">
        <v>7.257934235</v>
      </c>
      <c r="N1525" s="14">
        <v>5.894602869</v>
      </c>
      <c r="O1525" s="14">
        <v>2.422100597</v>
      </c>
      <c r="P1525" s="14" t="s">
        <v>7729</v>
      </c>
      <c r="Q1525" s="14" t="s">
        <v>7730</v>
      </c>
      <c r="R1525" s="14" t="s">
        <v>771</v>
      </c>
      <c r="S1525" s="14" t="s">
        <v>772</v>
      </c>
      <c r="T1525" s="14" t="s">
        <v>7731</v>
      </c>
      <c r="U1525" s="14" t="s">
        <v>7732</v>
      </c>
    </row>
    <row r="1526" spans="1:21">
      <c r="A1526" s="14" t="s">
        <v>7733</v>
      </c>
      <c r="B1526" s="14">
        <v>115.0679908</v>
      </c>
      <c r="C1526" s="14">
        <v>189.8640057</v>
      </c>
      <c r="D1526" s="14">
        <v>40.27197583</v>
      </c>
      <c r="E1526" s="14">
        <v>0.212122984</v>
      </c>
      <c r="F1526" s="14">
        <v>-2.237027144</v>
      </c>
      <c r="G1526" s="51" t="s">
        <v>7734</v>
      </c>
      <c r="H1526" s="14">
        <v>0.000395779</v>
      </c>
      <c r="I1526" s="14" t="s">
        <v>147</v>
      </c>
      <c r="J1526" s="14">
        <v>0.761974305</v>
      </c>
      <c r="K1526" s="14">
        <v>0.189110934</v>
      </c>
      <c r="L1526" s="14">
        <v>0.321607246</v>
      </c>
      <c r="M1526" s="14">
        <v>1.857585822</v>
      </c>
      <c r="N1526" s="14">
        <v>1.747861275</v>
      </c>
      <c r="O1526" s="14">
        <v>1.284434289</v>
      </c>
      <c r="P1526" s="14" t="s">
        <v>7735</v>
      </c>
      <c r="Q1526" s="14" t="s">
        <v>7736</v>
      </c>
      <c r="T1526" s="14" t="s">
        <v>7737</v>
      </c>
      <c r="U1526" s="14" t="s">
        <v>7738</v>
      </c>
    </row>
    <row r="1527" spans="1:21">
      <c r="A1527" s="14" t="s">
        <v>7739</v>
      </c>
      <c r="B1527" s="14">
        <v>249.402665</v>
      </c>
      <c r="C1527" s="14">
        <v>151.1689919</v>
      </c>
      <c r="D1527" s="14">
        <v>347.6363382</v>
      </c>
      <c r="E1527" s="14">
        <v>2.301462123</v>
      </c>
      <c r="F1527" s="14">
        <v>1.202550699</v>
      </c>
      <c r="G1527" s="51" t="s">
        <v>7740</v>
      </c>
      <c r="H1527" s="51" t="s">
        <v>7741</v>
      </c>
      <c r="I1527" s="14" t="s">
        <v>164</v>
      </c>
      <c r="J1527" s="14">
        <v>4.681053074</v>
      </c>
      <c r="K1527" s="14">
        <v>4.349187453</v>
      </c>
      <c r="L1527" s="14">
        <v>5.020784568</v>
      </c>
      <c r="M1527" s="14">
        <v>1.757216432</v>
      </c>
      <c r="N1527" s="14">
        <v>1.445006186</v>
      </c>
      <c r="O1527" s="14">
        <v>1.830869485</v>
      </c>
      <c r="P1527" s="14" t="s">
        <v>7742</v>
      </c>
      <c r="Q1527" s="14" t="s">
        <v>7743</v>
      </c>
      <c r="R1527" s="14" t="s">
        <v>7744</v>
      </c>
      <c r="S1527" s="14" t="s">
        <v>7745</v>
      </c>
      <c r="T1527" s="14" t="s">
        <v>7746</v>
      </c>
      <c r="U1527" s="14" t="s">
        <v>7747</v>
      </c>
    </row>
    <row r="1528" spans="1:21">
      <c r="A1528" s="14" t="s">
        <v>7748</v>
      </c>
      <c r="B1528" s="14">
        <v>1005.908324</v>
      </c>
      <c r="C1528" s="14">
        <v>1499.724452</v>
      </c>
      <c r="D1528" s="14">
        <v>512.0921957</v>
      </c>
      <c r="E1528" s="14">
        <v>0.341378479</v>
      </c>
      <c r="F1528" s="14">
        <v>-1.550555983</v>
      </c>
      <c r="G1528" s="51" t="s">
        <v>2923</v>
      </c>
      <c r="H1528" s="51" t="s">
        <v>7749</v>
      </c>
      <c r="I1528" s="14" t="s">
        <v>147</v>
      </c>
      <c r="J1528" s="14">
        <v>7.53050623</v>
      </c>
      <c r="K1528" s="14">
        <v>10.43811789</v>
      </c>
      <c r="L1528" s="14">
        <v>6.728444352</v>
      </c>
      <c r="M1528" s="14">
        <v>20.59868515</v>
      </c>
      <c r="N1528" s="14">
        <v>16.14747336</v>
      </c>
      <c r="O1528" s="14">
        <v>23.14503415</v>
      </c>
      <c r="P1528" s="14" t="s">
        <v>7750</v>
      </c>
      <c r="Q1528" s="14" t="s">
        <v>7751</v>
      </c>
      <c r="T1528" s="14" t="s">
        <v>7752</v>
      </c>
      <c r="U1528" s="14" t="s">
        <v>7753</v>
      </c>
    </row>
    <row r="1529" spans="1:21">
      <c r="A1529" s="14" t="s">
        <v>7754</v>
      </c>
      <c r="B1529" s="14">
        <v>581.4777527</v>
      </c>
      <c r="C1529" s="14">
        <v>90.18122005</v>
      </c>
      <c r="D1529" s="14">
        <v>1072.774285</v>
      </c>
      <c r="E1529" s="14">
        <v>11.87316847</v>
      </c>
      <c r="F1529" s="14">
        <v>3.569633078</v>
      </c>
      <c r="G1529" s="51" t="s">
        <v>7755</v>
      </c>
      <c r="H1529" s="51" t="s">
        <v>7756</v>
      </c>
      <c r="I1529" s="14" t="s">
        <v>164</v>
      </c>
      <c r="J1529" s="14">
        <v>8.166703841</v>
      </c>
      <c r="K1529" s="14">
        <v>4.701134682</v>
      </c>
      <c r="L1529" s="14">
        <v>9.646187805</v>
      </c>
      <c r="M1529" s="14">
        <v>0.295574811</v>
      </c>
      <c r="N1529" s="14">
        <v>0.482067199</v>
      </c>
      <c r="O1529" s="14">
        <v>0.809719234</v>
      </c>
      <c r="P1529" s="14" t="s">
        <v>7750</v>
      </c>
      <c r="Q1529" s="14" t="s">
        <v>7751</v>
      </c>
      <c r="T1529" s="14" t="s">
        <v>7752</v>
      </c>
      <c r="U1529" s="14" t="s">
        <v>7753</v>
      </c>
    </row>
    <row r="1530" spans="1:21">
      <c r="A1530" s="14" t="s">
        <v>7757</v>
      </c>
      <c r="B1530" s="14">
        <v>1408.927834</v>
      </c>
      <c r="C1530" s="14">
        <v>423.6522358</v>
      </c>
      <c r="D1530" s="14">
        <v>2394.203432</v>
      </c>
      <c r="E1530" s="14">
        <v>5.653934442</v>
      </c>
      <c r="F1530" s="14">
        <v>2.499255155</v>
      </c>
      <c r="G1530" s="51" t="s">
        <v>7758</v>
      </c>
      <c r="H1530" s="51" t="s">
        <v>7759</v>
      </c>
      <c r="I1530" s="14" t="s">
        <v>164</v>
      </c>
      <c r="J1530" s="14">
        <v>22.80602901</v>
      </c>
      <c r="K1530" s="14">
        <v>17.40617026</v>
      </c>
      <c r="L1530" s="14">
        <v>32.0295854</v>
      </c>
      <c r="M1530" s="14">
        <v>4.266282326</v>
      </c>
      <c r="N1530" s="14">
        <v>4.035917816</v>
      </c>
      <c r="O1530" s="14">
        <v>1.995566111</v>
      </c>
      <c r="P1530" s="14" t="s">
        <v>7750</v>
      </c>
      <c r="Q1530" s="14" t="s">
        <v>7751</v>
      </c>
      <c r="T1530" s="14" t="s">
        <v>7752</v>
      </c>
      <c r="U1530" s="14" t="s">
        <v>7753</v>
      </c>
    </row>
    <row r="1531" spans="1:21">
      <c r="A1531" s="14" t="s">
        <v>7760</v>
      </c>
      <c r="B1531" s="14">
        <v>471.5054655</v>
      </c>
      <c r="C1531" s="14">
        <v>156.3194656</v>
      </c>
      <c r="D1531" s="14">
        <v>786.6914655</v>
      </c>
      <c r="E1531" s="14">
        <v>5.027654142</v>
      </c>
      <c r="F1531" s="14">
        <v>2.329885409</v>
      </c>
      <c r="G1531" s="51" t="s">
        <v>7761</v>
      </c>
      <c r="H1531" s="51" t="s">
        <v>7762</v>
      </c>
      <c r="I1531" s="14" t="s">
        <v>164</v>
      </c>
      <c r="J1531" s="14">
        <v>8.540639023</v>
      </c>
      <c r="K1531" s="14">
        <v>8.912598012</v>
      </c>
      <c r="L1531" s="14">
        <v>5.888674395</v>
      </c>
      <c r="M1531" s="14">
        <v>1.167492233</v>
      </c>
      <c r="N1531" s="14">
        <v>0.99919931</v>
      </c>
      <c r="O1531" s="14">
        <v>1.701055756</v>
      </c>
      <c r="P1531" s="14" t="s">
        <v>7750</v>
      </c>
      <c r="Q1531" s="14" t="s">
        <v>7751</v>
      </c>
      <c r="T1531" s="14" t="s">
        <v>7752</v>
      </c>
      <c r="U1531" s="14" t="s">
        <v>7753</v>
      </c>
    </row>
    <row r="1532" spans="1:15">
      <c r="A1532" s="14" t="s">
        <v>7763</v>
      </c>
      <c r="B1532" s="14">
        <v>18.6521129</v>
      </c>
      <c r="C1532" s="14">
        <v>3.452784703</v>
      </c>
      <c r="D1532" s="14">
        <v>33.8514411</v>
      </c>
      <c r="E1532" s="14">
        <v>9.656427889</v>
      </c>
      <c r="F1532" s="14">
        <v>3.271489605</v>
      </c>
      <c r="G1532" s="14">
        <v>0.008279659</v>
      </c>
      <c r="H1532" s="14">
        <v>0.022926405</v>
      </c>
      <c r="I1532" s="14" t="s">
        <v>164</v>
      </c>
      <c r="J1532" s="14">
        <v>0.650662268</v>
      </c>
      <c r="K1532" s="14">
        <v>0.227214023</v>
      </c>
      <c r="L1532" s="14">
        <v>0.485849232</v>
      </c>
      <c r="M1532" s="14">
        <v>0.01136129</v>
      </c>
      <c r="N1532" s="14">
        <v>0</v>
      </c>
      <c r="O1532" s="14">
        <v>0.111156953</v>
      </c>
    </row>
    <row r="1533" spans="1:21">
      <c r="A1533" s="14" t="s">
        <v>7764</v>
      </c>
      <c r="B1533" s="14">
        <v>1426.59853</v>
      </c>
      <c r="C1533" s="14">
        <v>1936.18231</v>
      </c>
      <c r="D1533" s="14">
        <v>917.0147489</v>
      </c>
      <c r="E1533" s="14">
        <v>0.473592804</v>
      </c>
      <c r="F1533" s="14">
        <v>-1.078280935</v>
      </c>
      <c r="G1533" s="51" t="s">
        <v>7765</v>
      </c>
      <c r="H1533" s="51" t="s">
        <v>7290</v>
      </c>
      <c r="I1533" s="14" t="s">
        <v>147</v>
      </c>
      <c r="J1533" s="14">
        <v>6.534223967</v>
      </c>
      <c r="K1533" s="14">
        <v>10.61392668</v>
      </c>
      <c r="L1533" s="14">
        <v>7.408253106</v>
      </c>
      <c r="M1533" s="14">
        <v>14.2266068</v>
      </c>
      <c r="N1533" s="14">
        <v>13.99758984</v>
      </c>
      <c r="O1533" s="14">
        <v>14.47494717</v>
      </c>
      <c r="P1533" s="14" t="s">
        <v>7766</v>
      </c>
      <c r="Q1533" s="14" t="s">
        <v>7767</v>
      </c>
      <c r="T1533" s="14" t="s">
        <v>7768</v>
      </c>
      <c r="U1533" s="14" t="s">
        <v>7769</v>
      </c>
    </row>
    <row r="1534" spans="1:21">
      <c r="A1534" s="14" t="s">
        <v>7770</v>
      </c>
      <c r="B1534" s="14">
        <v>1639.587035</v>
      </c>
      <c r="C1534" s="14">
        <v>2420.064965</v>
      </c>
      <c r="D1534" s="14">
        <v>859.1091039</v>
      </c>
      <c r="E1534" s="14">
        <v>0.355039672</v>
      </c>
      <c r="F1534" s="14">
        <v>-1.493947856</v>
      </c>
      <c r="G1534" s="51" t="s">
        <v>7771</v>
      </c>
      <c r="H1534" s="51" t="s">
        <v>7772</v>
      </c>
      <c r="I1534" s="14" t="s">
        <v>147</v>
      </c>
      <c r="J1534" s="14">
        <v>10.45791371</v>
      </c>
      <c r="K1534" s="14">
        <v>9.401264848</v>
      </c>
      <c r="L1534" s="14">
        <v>9.816837861</v>
      </c>
      <c r="M1534" s="14">
        <v>23.11579664</v>
      </c>
      <c r="N1534" s="14">
        <v>22.2517528</v>
      </c>
      <c r="O1534" s="14">
        <v>23.37984315</v>
      </c>
      <c r="P1534" s="14" t="s">
        <v>7773</v>
      </c>
      <c r="Q1534" s="14" t="s">
        <v>7774</v>
      </c>
      <c r="T1534" s="14" t="s">
        <v>7775</v>
      </c>
      <c r="U1534" s="14" t="s">
        <v>7776</v>
      </c>
    </row>
    <row r="1535" spans="1:21">
      <c r="A1535" s="14" t="s">
        <v>7777</v>
      </c>
      <c r="B1535" s="14">
        <v>200.035711</v>
      </c>
      <c r="C1535" s="14">
        <v>25.10371176</v>
      </c>
      <c r="D1535" s="14">
        <v>374.9677103</v>
      </c>
      <c r="E1535" s="14">
        <v>14.98370408</v>
      </c>
      <c r="F1535" s="14">
        <v>3.905322407</v>
      </c>
      <c r="G1535" s="51" t="s">
        <v>7778</v>
      </c>
      <c r="H1535" s="51" t="s">
        <v>7779</v>
      </c>
      <c r="I1535" s="14" t="s">
        <v>164</v>
      </c>
      <c r="J1535" s="14">
        <v>8.577381644</v>
      </c>
      <c r="K1535" s="14">
        <v>4.414599846</v>
      </c>
      <c r="L1535" s="14">
        <v>7.117830769</v>
      </c>
      <c r="M1535" s="14">
        <v>0.348023778</v>
      </c>
      <c r="N1535" s="14">
        <v>0.493572823</v>
      </c>
      <c r="O1535" s="14">
        <v>0.25167438</v>
      </c>
      <c r="P1535" s="14" t="s">
        <v>7780</v>
      </c>
      <c r="Q1535" s="14" t="s">
        <v>7781</v>
      </c>
      <c r="T1535" s="14" t="s">
        <v>7782</v>
      </c>
      <c r="U1535" s="14" t="s">
        <v>7783</v>
      </c>
    </row>
    <row r="1536" spans="1:21">
      <c r="A1536" s="14" t="s">
        <v>7784</v>
      </c>
      <c r="B1536" s="14">
        <v>1506.578043</v>
      </c>
      <c r="C1536" s="14">
        <v>2178.484752</v>
      </c>
      <c r="D1536" s="14">
        <v>834.6713339</v>
      </c>
      <c r="E1536" s="14">
        <v>0.383199884</v>
      </c>
      <c r="F1536" s="14">
        <v>-1.383830971</v>
      </c>
      <c r="G1536" s="51" t="s">
        <v>7785</v>
      </c>
      <c r="H1536" s="51" t="s">
        <v>7786</v>
      </c>
      <c r="I1536" s="14" t="s">
        <v>147</v>
      </c>
      <c r="J1536" s="14">
        <v>10.95598507</v>
      </c>
      <c r="K1536" s="14">
        <v>9.366174022</v>
      </c>
      <c r="L1536" s="14">
        <v>9.915565564</v>
      </c>
      <c r="M1536" s="14">
        <v>22.67742819</v>
      </c>
      <c r="N1536" s="14">
        <v>22.5809974</v>
      </c>
      <c r="O1536" s="14">
        <v>19.33371541</v>
      </c>
      <c r="P1536" s="14" t="s">
        <v>7742</v>
      </c>
      <c r="Q1536" s="14" t="s">
        <v>7743</v>
      </c>
      <c r="R1536" s="14" t="s">
        <v>7744</v>
      </c>
      <c r="S1536" s="14" t="s">
        <v>7745</v>
      </c>
      <c r="T1536" s="14" t="s">
        <v>7746</v>
      </c>
      <c r="U1536" s="14" t="s">
        <v>7747</v>
      </c>
    </row>
    <row r="1537" spans="1:21">
      <c r="A1537" s="14" t="s">
        <v>7787</v>
      </c>
      <c r="B1537" s="14">
        <v>59.56971166</v>
      </c>
      <c r="C1537" s="14">
        <v>31.40237353</v>
      </c>
      <c r="D1537" s="14">
        <v>87.73704979</v>
      </c>
      <c r="E1537" s="14">
        <v>2.784613833</v>
      </c>
      <c r="F1537" s="14">
        <v>1.47747727</v>
      </c>
      <c r="G1537" s="14">
        <v>0.008563867</v>
      </c>
      <c r="H1537" s="14">
        <v>0.023650877</v>
      </c>
      <c r="I1537" s="14" t="s">
        <v>164</v>
      </c>
      <c r="J1537" s="14">
        <v>2.285782764</v>
      </c>
      <c r="K1537" s="14">
        <v>1.123601888</v>
      </c>
      <c r="L1537" s="14">
        <v>1.296633436</v>
      </c>
      <c r="M1537" s="14">
        <v>0.33353085</v>
      </c>
      <c r="N1537" s="14">
        <v>0.276349174</v>
      </c>
      <c r="O1537" s="14">
        <v>0.815802482</v>
      </c>
      <c r="P1537" s="14" t="s">
        <v>7788</v>
      </c>
      <c r="Q1537" s="14" t="s">
        <v>7789</v>
      </c>
      <c r="T1537" s="14" t="s">
        <v>7790</v>
      </c>
      <c r="U1537" s="14" t="s">
        <v>7791</v>
      </c>
    </row>
    <row r="1538" spans="1:21">
      <c r="A1538" s="14" t="s">
        <v>7792</v>
      </c>
      <c r="B1538" s="14">
        <v>488.285084</v>
      </c>
      <c r="C1538" s="14">
        <v>281.4279967</v>
      </c>
      <c r="D1538" s="14">
        <v>695.1421712</v>
      </c>
      <c r="E1538" s="14">
        <v>2.469264902</v>
      </c>
      <c r="F1538" s="14">
        <v>1.304081617</v>
      </c>
      <c r="G1538" s="51" t="s">
        <v>7793</v>
      </c>
      <c r="H1538" s="14">
        <v>0.000345498</v>
      </c>
      <c r="I1538" s="14" t="s">
        <v>164</v>
      </c>
      <c r="J1538" s="14">
        <v>4.112567221</v>
      </c>
      <c r="K1538" s="14">
        <v>8.519307831</v>
      </c>
      <c r="L1538" s="14">
        <v>5.298879786</v>
      </c>
      <c r="M1538" s="14">
        <v>1.825047054</v>
      </c>
      <c r="N1538" s="14">
        <v>1.722901325</v>
      </c>
      <c r="O1538" s="14">
        <v>2.485548862</v>
      </c>
      <c r="P1538" s="14" t="s">
        <v>7794</v>
      </c>
      <c r="Q1538" s="14" t="s">
        <v>7795</v>
      </c>
      <c r="T1538" s="14" t="s">
        <v>7796</v>
      </c>
      <c r="U1538" s="14" t="s">
        <v>7797</v>
      </c>
    </row>
    <row r="1539" spans="1:21">
      <c r="A1539" s="14" t="s">
        <v>7798</v>
      </c>
      <c r="B1539" s="14">
        <v>376.5734339</v>
      </c>
      <c r="C1539" s="14">
        <v>708.9796927</v>
      </c>
      <c r="D1539" s="14">
        <v>44.16717516</v>
      </c>
      <c r="E1539" s="14">
        <v>0.062259019</v>
      </c>
      <c r="F1539" s="14">
        <v>-4.005573352</v>
      </c>
      <c r="G1539" s="51" t="s">
        <v>7799</v>
      </c>
      <c r="H1539" s="51" t="s">
        <v>7800</v>
      </c>
      <c r="I1539" s="14" t="s">
        <v>147</v>
      </c>
      <c r="J1539" s="14">
        <v>0.273572568</v>
      </c>
      <c r="K1539" s="14">
        <v>1.101435843</v>
      </c>
      <c r="L1539" s="14">
        <v>0.447795628</v>
      </c>
      <c r="M1539" s="14">
        <v>10.42769551</v>
      </c>
      <c r="N1539" s="14">
        <v>9.117124946</v>
      </c>
      <c r="O1539" s="14">
        <v>4.122134341</v>
      </c>
      <c r="P1539" s="14" t="s">
        <v>7801</v>
      </c>
      <c r="Q1539" s="14" t="s">
        <v>7802</v>
      </c>
      <c r="R1539" s="14" t="s">
        <v>294</v>
      </c>
      <c r="S1539" s="14" t="s">
        <v>295</v>
      </c>
      <c r="T1539" s="14" t="s">
        <v>7803</v>
      </c>
      <c r="U1539" s="14" t="s">
        <v>7804</v>
      </c>
    </row>
    <row r="1540" spans="1:21">
      <c r="A1540" s="14" t="s">
        <v>7805</v>
      </c>
      <c r="B1540" s="14">
        <v>37.78162195</v>
      </c>
      <c r="C1540" s="14">
        <v>74.22273527</v>
      </c>
      <c r="D1540" s="14">
        <v>1.340508619</v>
      </c>
      <c r="E1540" s="14">
        <v>0.017673893</v>
      </c>
      <c r="F1540" s="14">
        <v>-5.822236326</v>
      </c>
      <c r="G1540" s="51" t="s">
        <v>7806</v>
      </c>
      <c r="H1540" s="51" t="s">
        <v>7807</v>
      </c>
      <c r="I1540" s="14" t="s">
        <v>147</v>
      </c>
      <c r="J1540" s="14">
        <v>0.015143662</v>
      </c>
      <c r="K1540" s="14">
        <v>0.045727644</v>
      </c>
      <c r="L1540" s="14">
        <v>0</v>
      </c>
      <c r="M1540" s="14">
        <v>0.842194392</v>
      </c>
      <c r="N1540" s="14">
        <v>1.031735374</v>
      </c>
      <c r="O1540" s="14">
        <v>0.925402891</v>
      </c>
      <c r="P1540" s="14" t="s">
        <v>7808</v>
      </c>
      <c r="Q1540" s="14" t="s">
        <v>7809</v>
      </c>
      <c r="T1540" s="14" t="s">
        <v>7810</v>
      </c>
      <c r="U1540" s="14" t="s">
        <v>7811</v>
      </c>
    </row>
    <row r="1541" spans="1:21">
      <c r="A1541" s="14" t="s">
        <v>7812</v>
      </c>
      <c r="B1541" s="14">
        <v>588.9382457</v>
      </c>
      <c r="C1541" s="14">
        <v>247.2950529</v>
      </c>
      <c r="D1541" s="14">
        <v>930.5814385</v>
      </c>
      <c r="E1541" s="14">
        <v>3.764813403</v>
      </c>
      <c r="F1541" s="14">
        <v>1.912578362</v>
      </c>
      <c r="G1541" s="51" t="s">
        <v>4957</v>
      </c>
      <c r="H1541" s="51" t="s">
        <v>7813</v>
      </c>
      <c r="I1541" s="14" t="s">
        <v>164</v>
      </c>
      <c r="J1541" s="14">
        <v>12.29152248</v>
      </c>
      <c r="K1541" s="14">
        <v>12.75410171</v>
      </c>
      <c r="L1541" s="14">
        <v>17.86204597</v>
      </c>
      <c r="M1541" s="14">
        <v>3.145868828</v>
      </c>
      <c r="N1541" s="14">
        <v>2.930787609</v>
      </c>
      <c r="O1541" s="14">
        <v>3.29407901</v>
      </c>
      <c r="P1541" s="14" t="s">
        <v>7814</v>
      </c>
      <c r="Q1541" s="14" t="s">
        <v>7815</v>
      </c>
      <c r="R1541" s="14" t="s">
        <v>798</v>
      </c>
      <c r="S1541" s="14" t="s">
        <v>799</v>
      </c>
      <c r="T1541" s="14" t="s">
        <v>7816</v>
      </c>
      <c r="U1541" s="14" t="s">
        <v>7817</v>
      </c>
    </row>
    <row r="1542" spans="1:21">
      <c r="A1542" s="14" t="s">
        <v>7818</v>
      </c>
      <c r="B1542" s="14">
        <v>160.7076209</v>
      </c>
      <c r="C1542" s="14">
        <v>44.70600372</v>
      </c>
      <c r="D1542" s="14">
        <v>276.7092381</v>
      </c>
      <c r="E1542" s="14">
        <v>6.167669131</v>
      </c>
      <c r="F1542" s="14">
        <v>2.624725373</v>
      </c>
      <c r="G1542" s="51" t="s">
        <v>7819</v>
      </c>
      <c r="H1542" s="51" t="s">
        <v>7820</v>
      </c>
      <c r="I1542" s="14" t="s">
        <v>164</v>
      </c>
      <c r="J1542" s="14">
        <v>8.003071441</v>
      </c>
      <c r="K1542" s="14">
        <v>5.23987515</v>
      </c>
      <c r="L1542" s="14">
        <v>8.503759598</v>
      </c>
      <c r="M1542" s="14">
        <v>0.509675945</v>
      </c>
      <c r="N1542" s="14">
        <v>0.595272161</v>
      </c>
      <c r="O1542" s="14">
        <v>1.886229603</v>
      </c>
      <c r="P1542" s="14" t="s">
        <v>7821</v>
      </c>
      <c r="Q1542" s="14" t="s">
        <v>7822</v>
      </c>
      <c r="T1542" s="14" t="s">
        <v>4065</v>
      </c>
      <c r="U1542" s="14" t="s">
        <v>4066</v>
      </c>
    </row>
    <row r="1543" spans="1:21">
      <c r="A1543" s="14" t="s">
        <v>7823</v>
      </c>
      <c r="B1543" s="14">
        <v>108868.4274</v>
      </c>
      <c r="C1543" s="14">
        <v>151058.9761</v>
      </c>
      <c r="D1543" s="14">
        <v>66677.8787</v>
      </c>
      <c r="E1543" s="14">
        <v>0.441403335</v>
      </c>
      <c r="F1543" s="14">
        <v>-1.179830565</v>
      </c>
      <c r="G1543" s="51" t="s">
        <v>5917</v>
      </c>
      <c r="H1543" s="51" t="s">
        <v>7824</v>
      </c>
      <c r="I1543" s="14" t="s">
        <v>147</v>
      </c>
      <c r="J1543" s="14">
        <v>1020.289233</v>
      </c>
      <c r="K1543" s="14">
        <v>1334.148704</v>
      </c>
      <c r="L1543" s="14">
        <v>966.2607492</v>
      </c>
      <c r="M1543" s="14">
        <v>2257.096675</v>
      </c>
      <c r="N1543" s="14">
        <v>2231.619041</v>
      </c>
      <c r="O1543" s="14">
        <v>1655.002389</v>
      </c>
      <c r="Q1543" s="14" t="s">
        <v>7825</v>
      </c>
      <c r="R1543" s="14" t="s">
        <v>7826</v>
      </c>
      <c r="S1543" s="14" t="s">
        <v>7827</v>
      </c>
      <c r="T1543" s="14" t="s">
        <v>7828</v>
      </c>
      <c r="U1543" s="14" t="s">
        <v>7829</v>
      </c>
    </row>
    <row r="1544" spans="1:15">
      <c r="A1544" s="14" t="s">
        <v>7830</v>
      </c>
      <c r="B1544" s="14">
        <v>9.442628973</v>
      </c>
      <c r="C1544" s="14">
        <v>16.26518224</v>
      </c>
      <c r="D1544" s="14">
        <v>2.620075707</v>
      </c>
      <c r="E1544" s="14">
        <v>0.161104193</v>
      </c>
      <c r="F1544" s="14">
        <v>-2.633934054</v>
      </c>
      <c r="G1544" s="14">
        <v>0.003783203</v>
      </c>
      <c r="H1544" s="14">
        <v>0.011649125</v>
      </c>
      <c r="I1544" s="14" t="s">
        <v>147</v>
      </c>
      <c r="J1544" s="14">
        <v>0.164370706</v>
      </c>
      <c r="K1544" s="14">
        <v>0.033088805</v>
      </c>
      <c r="L1544" s="14">
        <v>0.063305697</v>
      </c>
      <c r="M1544" s="14">
        <v>0.506284939</v>
      </c>
      <c r="N1544" s="14">
        <v>0.431751372</v>
      </c>
      <c r="O1544" s="14">
        <v>0.385264988</v>
      </c>
    </row>
    <row r="1545" spans="1:21">
      <c r="A1545" s="14" t="s">
        <v>7831</v>
      </c>
      <c r="B1545" s="14">
        <v>1758.417409</v>
      </c>
      <c r="C1545" s="14">
        <v>2361.829114</v>
      </c>
      <c r="D1545" s="14">
        <v>1155.005703</v>
      </c>
      <c r="E1545" s="14">
        <v>0.488978043</v>
      </c>
      <c r="F1545" s="14">
        <v>-1.032158411</v>
      </c>
      <c r="G1545" s="51" t="s">
        <v>3718</v>
      </c>
      <c r="H1545" s="51" t="s">
        <v>7832</v>
      </c>
      <c r="I1545" s="14" t="s">
        <v>147</v>
      </c>
      <c r="J1545" s="14">
        <v>14.98288091</v>
      </c>
      <c r="K1545" s="14">
        <v>19.50657982</v>
      </c>
      <c r="L1545" s="14">
        <v>12.89738867</v>
      </c>
      <c r="M1545" s="14">
        <v>26.06817847</v>
      </c>
      <c r="N1545" s="14">
        <v>26.56892385</v>
      </c>
      <c r="O1545" s="14">
        <v>27.23148831</v>
      </c>
      <c r="P1545" s="14" t="s">
        <v>7833</v>
      </c>
      <c r="Q1545" s="14" t="s">
        <v>7834</v>
      </c>
      <c r="T1545" s="14" t="s">
        <v>7835</v>
      </c>
      <c r="U1545" s="14" t="s">
        <v>7836</v>
      </c>
    </row>
    <row r="1546" spans="1:21">
      <c r="A1546" s="14" t="s">
        <v>7837</v>
      </c>
      <c r="B1546" s="14">
        <v>805.5882382</v>
      </c>
      <c r="C1546" s="14">
        <v>369.4451399</v>
      </c>
      <c r="D1546" s="14">
        <v>1241.731337</v>
      </c>
      <c r="E1546" s="14">
        <v>3.359008225</v>
      </c>
      <c r="F1546" s="14">
        <v>1.748035328</v>
      </c>
      <c r="G1546" s="51" t="s">
        <v>7838</v>
      </c>
      <c r="H1546" s="51" t="s">
        <v>7839</v>
      </c>
      <c r="I1546" s="14" t="s">
        <v>164</v>
      </c>
      <c r="J1546" s="14">
        <v>14.10388717</v>
      </c>
      <c r="K1546" s="14">
        <v>15.63099961</v>
      </c>
      <c r="L1546" s="14">
        <v>14.56693154</v>
      </c>
      <c r="M1546" s="14">
        <v>3.397368545</v>
      </c>
      <c r="N1546" s="14">
        <v>3.269043513</v>
      </c>
      <c r="O1546" s="14">
        <v>4.241214327</v>
      </c>
      <c r="P1546" s="14" t="s">
        <v>7840</v>
      </c>
      <c r="Q1546" s="14" t="s">
        <v>7841</v>
      </c>
      <c r="T1546" s="14" t="s">
        <v>7842</v>
      </c>
      <c r="U1546" s="14" t="s">
        <v>7843</v>
      </c>
    </row>
    <row r="1547" spans="1:15">
      <c r="A1547" s="14" t="s">
        <v>7844</v>
      </c>
      <c r="B1547" s="14">
        <v>45.30228706</v>
      </c>
      <c r="C1547" s="14">
        <v>13.18128444</v>
      </c>
      <c r="D1547" s="14">
        <v>77.42328968</v>
      </c>
      <c r="E1547" s="14">
        <v>5.912162441</v>
      </c>
      <c r="F1547" s="14">
        <v>2.563685909</v>
      </c>
      <c r="G1547" s="14">
        <v>0.000209012</v>
      </c>
      <c r="H1547" s="14">
        <v>0.000912308</v>
      </c>
      <c r="I1547" s="14" t="s">
        <v>164</v>
      </c>
      <c r="J1547" s="14">
        <v>1.717827328</v>
      </c>
      <c r="K1547" s="14">
        <v>1.812371963</v>
      </c>
      <c r="L1547" s="14">
        <v>1.315236132</v>
      </c>
      <c r="M1547" s="14">
        <v>0.301035992</v>
      </c>
      <c r="N1547" s="14">
        <v>0.305797018</v>
      </c>
      <c r="O1547" s="14">
        <v>0.05197563</v>
      </c>
    </row>
    <row r="1548" spans="1:15">
      <c r="A1548" s="14" t="s">
        <v>7845</v>
      </c>
      <c r="B1548" s="14">
        <v>565.1086034</v>
      </c>
      <c r="C1548" s="14">
        <v>204.3396423</v>
      </c>
      <c r="D1548" s="14">
        <v>925.8775644</v>
      </c>
      <c r="E1548" s="14">
        <v>4.523270713</v>
      </c>
      <c r="F1548" s="14">
        <v>2.177366342</v>
      </c>
      <c r="G1548" s="51" t="s">
        <v>7846</v>
      </c>
      <c r="H1548" s="51" t="s">
        <v>7847</v>
      </c>
      <c r="I1548" s="14" t="s">
        <v>164</v>
      </c>
      <c r="J1548" s="14">
        <v>9.749195952</v>
      </c>
      <c r="K1548" s="14">
        <v>8.901875257</v>
      </c>
      <c r="L1548" s="14">
        <v>8.932339443</v>
      </c>
      <c r="M1548" s="14">
        <v>1.262567164</v>
      </c>
      <c r="N1548" s="14">
        <v>1.542367405</v>
      </c>
      <c r="O1548" s="14">
        <v>2.272905171</v>
      </c>
    </row>
    <row r="1549" spans="1:21">
      <c r="A1549" s="14" t="s">
        <v>7848</v>
      </c>
      <c r="B1549" s="14">
        <v>1319.313689</v>
      </c>
      <c r="C1549" s="14">
        <v>2202.432643</v>
      </c>
      <c r="D1549" s="14">
        <v>436.1947354</v>
      </c>
      <c r="E1549" s="14">
        <v>0.198035151</v>
      </c>
      <c r="F1549" s="14">
        <v>-2.336171566</v>
      </c>
      <c r="G1549" s="14">
        <v>0.000288036</v>
      </c>
      <c r="H1549" s="14">
        <v>0.001216977</v>
      </c>
      <c r="I1549" s="14" t="s">
        <v>147</v>
      </c>
      <c r="J1549" s="14">
        <v>5.798300124</v>
      </c>
      <c r="K1549" s="14">
        <v>26.63684317</v>
      </c>
      <c r="L1549" s="14">
        <v>6.613577398</v>
      </c>
      <c r="M1549" s="14">
        <v>57.98003737</v>
      </c>
      <c r="N1549" s="14">
        <v>71.70958308</v>
      </c>
      <c r="O1549" s="14">
        <v>30.74044336</v>
      </c>
      <c r="P1549" s="14" t="s">
        <v>7849</v>
      </c>
      <c r="Q1549" s="14" t="s">
        <v>7850</v>
      </c>
      <c r="T1549" s="14" t="s">
        <v>7851</v>
      </c>
      <c r="U1549" s="14" t="s">
        <v>7852</v>
      </c>
    </row>
    <row r="1550" spans="1:21">
      <c r="A1550" s="14" t="s">
        <v>7853</v>
      </c>
      <c r="B1550" s="14">
        <v>1197.462962</v>
      </c>
      <c r="C1550" s="14">
        <v>655.2184163</v>
      </c>
      <c r="D1550" s="14">
        <v>1739.707508</v>
      </c>
      <c r="E1550" s="14">
        <v>2.654300742</v>
      </c>
      <c r="F1550" s="14">
        <v>1.408331842</v>
      </c>
      <c r="G1550" s="14">
        <v>0.000117095</v>
      </c>
      <c r="H1550" s="14">
        <v>0.000545883</v>
      </c>
      <c r="I1550" s="14" t="s">
        <v>164</v>
      </c>
      <c r="J1550" s="14">
        <v>19.77164121</v>
      </c>
      <c r="K1550" s="14">
        <v>22.92453593</v>
      </c>
      <c r="L1550" s="14">
        <v>18.59986542</v>
      </c>
      <c r="M1550" s="14">
        <v>5.160631878</v>
      </c>
      <c r="N1550" s="14">
        <v>3.689365362</v>
      </c>
      <c r="O1550" s="14">
        <v>10.62450298</v>
      </c>
      <c r="P1550" s="14" t="s">
        <v>7854</v>
      </c>
      <c r="Q1550" s="14" t="s">
        <v>7855</v>
      </c>
      <c r="T1550" s="14" t="s">
        <v>406</v>
      </c>
      <c r="U1550" s="14" t="s">
        <v>407</v>
      </c>
    </row>
    <row r="1551" spans="1:21">
      <c r="A1551" s="14" t="s">
        <v>7856</v>
      </c>
      <c r="B1551" s="14">
        <v>12200.07757</v>
      </c>
      <c r="C1551" s="14">
        <v>7908.130005</v>
      </c>
      <c r="D1551" s="14">
        <v>16492.02513</v>
      </c>
      <c r="E1551" s="14">
        <v>2.085550118</v>
      </c>
      <c r="F1551" s="14">
        <v>1.060427982</v>
      </c>
      <c r="G1551" s="51" t="s">
        <v>4434</v>
      </c>
      <c r="H1551" s="51" t="s">
        <v>7857</v>
      </c>
      <c r="I1551" s="14" t="s">
        <v>164</v>
      </c>
      <c r="J1551" s="14">
        <v>136.0841898</v>
      </c>
      <c r="K1551" s="14">
        <v>107.3872728</v>
      </c>
      <c r="L1551" s="14">
        <v>126.5302701</v>
      </c>
      <c r="M1551" s="14">
        <v>51.53961747</v>
      </c>
      <c r="N1551" s="14">
        <v>49.90195307</v>
      </c>
      <c r="O1551" s="14">
        <v>43.71945202</v>
      </c>
      <c r="P1551" s="14" t="s">
        <v>7858</v>
      </c>
      <c r="Q1551" s="14" t="s">
        <v>7859</v>
      </c>
      <c r="T1551" s="14" t="s">
        <v>7860</v>
      </c>
      <c r="U1551" s="14" t="s">
        <v>7861</v>
      </c>
    </row>
    <row r="1552" spans="1:21">
      <c r="A1552" s="14" t="s">
        <v>7862</v>
      </c>
      <c r="B1552" s="14">
        <v>442.1825561</v>
      </c>
      <c r="C1552" s="14">
        <v>255.2207622</v>
      </c>
      <c r="D1552" s="14">
        <v>629.1443501</v>
      </c>
      <c r="E1552" s="14">
        <v>2.463760212</v>
      </c>
      <c r="F1552" s="14">
        <v>1.300861851</v>
      </c>
      <c r="G1552" s="51" t="s">
        <v>4707</v>
      </c>
      <c r="H1552" s="51" t="s">
        <v>7863</v>
      </c>
      <c r="I1552" s="14" t="s">
        <v>164</v>
      </c>
      <c r="J1552" s="14">
        <v>9.803831104</v>
      </c>
      <c r="K1552" s="14">
        <v>12.26512286</v>
      </c>
      <c r="L1552" s="14">
        <v>13.13723955</v>
      </c>
      <c r="M1552" s="14">
        <v>3.127768317</v>
      </c>
      <c r="N1552" s="14">
        <v>4.213135454</v>
      </c>
      <c r="O1552" s="14">
        <v>4.46659147</v>
      </c>
      <c r="P1552" s="14" t="s">
        <v>7864</v>
      </c>
      <c r="Q1552" s="14" t="s">
        <v>7865</v>
      </c>
      <c r="T1552" s="14" t="s">
        <v>7866</v>
      </c>
      <c r="U1552" s="14" t="s">
        <v>7867</v>
      </c>
    </row>
    <row r="1553" spans="1:21">
      <c r="A1553" s="14" t="s">
        <v>7868</v>
      </c>
      <c r="B1553" s="14">
        <v>15.84559742</v>
      </c>
      <c r="C1553" s="14">
        <v>2.358933806</v>
      </c>
      <c r="D1553" s="14">
        <v>29.33226104</v>
      </c>
      <c r="E1553" s="14">
        <v>12.46660404</v>
      </c>
      <c r="F1553" s="14">
        <v>3.639996617</v>
      </c>
      <c r="G1553" s="14">
        <v>0.000142076</v>
      </c>
      <c r="H1553" s="14">
        <v>0.000647762</v>
      </c>
      <c r="I1553" s="14" t="s">
        <v>164</v>
      </c>
      <c r="J1553" s="14">
        <v>1.02873648</v>
      </c>
      <c r="K1553" s="14">
        <v>0.232448856</v>
      </c>
      <c r="L1553" s="14">
        <v>0.606439801</v>
      </c>
      <c r="M1553" s="14">
        <v>0.035925775</v>
      </c>
      <c r="N1553" s="14">
        <v>0.051699774</v>
      </c>
      <c r="O1553" s="14">
        <v>0.035149176</v>
      </c>
      <c r="P1553" s="14" t="s">
        <v>7869</v>
      </c>
      <c r="Q1553" s="14" t="s">
        <v>7870</v>
      </c>
      <c r="T1553" s="14" t="s">
        <v>7871</v>
      </c>
      <c r="U1553" s="14" t="s">
        <v>7872</v>
      </c>
    </row>
    <row r="1554" spans="1:15">
      <c r="A1554" s="14" t="s">
        <v>7873</v>
      </c>
      <c r="B1554" s="14">
        <v>84.16159157</v>
      </c>
      <c r="C1554" s="14">
        <v>52.07399152</v>
      </c>
      <c r="D1554" s="14">
        <v>116.2491916</v>
      </c>
      <c r="E1554" s="14">
        <v>2.233727341</v>
      </c>
      <c r="F1554" s="14">
        <v>1.159453094</v>
      </c>
      <c r="G1554" s="51" t="s">
        <v>7874</v>
      </c>
      <c r="H1554" s="14">
        <v>0.000392089</v>
      </c>
      <c r="I1554" s="14" t="s">
        <v>164</v>
      </c>
      <c r="J1554" s="14">
        <v>2.034786035</v>
      </c>
      <c r="K1554" s="14">
        <v>3.005324397</v>
      </c>
      <c r="L1554" s="14">
        <v>2.747128738</v>
      </c>
      <c r="M1554" s="14">
        <v>0.946169646</v>
      </c>
      <c r="N1554" s="14">
        <v>0.925892196</v>
      </c>
      <c r="O1554" s="14">
        <v>0.999773844</v>
      </c>
    </row>
    <row r="1555" spans="1:15">
      <c r="A1555" s="14" t="s">
        <v>7875</v>
      </c>
      <c r="B1555" s="14">
        <v>26.74524719</v>
      </c>
      <c r="C1555" s="14">
        <v>10.42397133</v>
      </c>
      <c r="D1555" s="14">
        <v>43.06652306</v>
      </c>
      <c r="E1555" s="14">
        <v>4.09313193</v>
      </c>
      <c r="F1555" s="14">
        <v>2.033205168</v>
      </c>
      <c r="G1555" s="14">
        <v>0.001098921</v>
      </c>
      <c r="H1555" s="14">
        <v>0.003989214</v>
      </c>
      <c r="I1555" s="14" t="s">
        <v>164</v>
      </c>
      <c r="J1555" s="14">
        <v>0.781195239</v>
      </c>
      <c r="K1555" s="14">
        <v>1.120472288</v>
      </c>
      <c r="L1555" s="14">
        <v>0.639347387</v>
      </c>
      <c r="M1555" s="14">
        <v>0.083548313</v>
      </c>
      <c r="N1555" s="14">
        <v>0.144278438</v>
      </c>
      <c r="O1555" s="14">
        <v>0.29427217</v>
      </c>
    </row>
    <row r="1556" spans="1:15">
      <c r="A1556" s="14" t="s">
        <v>7876</v>
      </c>
      <c r="B1556" s="14">
        <v>917.3054935</v>
      </c>
      <c r="C1556" s="14">
        <v>1260.610403</v>
      </c>
      <c r="D1556" s="14">
        <v>574.0005838</v>
      </c>
      <c r="E1556" s="14">
        <v>0.455468714</v>
      </c>
      <c r="F1556" s="14">
        <v>-1.134576134</v>
      </c>
      <c r="G1556" s="51" t="s">
        <v>7877</v>
      </c>
      <c r="H1556" s="51" t="s">
        <v>7878</v>
      </c>
      <c r="I1556" s="14" t="s">
        <v>147</v>
      </c>
      <c r="J1556" s="14">
        <v>7.835138886</v>
      </c>
      <c r="K1556" s="14">
        <v>8.66445629</v>
      </c>
      <c r="L1556" s="14">
        <v>9.362077096</v>
      </c>
      <c r="M1556" s="14">
        <v>19.79309744</v>
      </c>
      <c r="N1556" s="14">
        <v>13.32655969</v>
      </c>
      <c r="O1556" s="14">
        <v>13.17980952</v>
      </c>
    </row>
    <row r="1557" spans="1:15">
      <c r="A1557" s="14" t="s">
        <v>7879</v>
      </c>
      <c r="B1557" s="14">
        <v>2194.143916</v>
      </c>
      <c r="C1557" s="14">
        <v>3240.379829</v>
      </c>
      <c r="D1557" s="14">
        <v>1147.908003</v>
      </c>
      <c r="E1557" s="14">
        <v>0.354265214</v>
      </c>
      <c r="F1557" s="14">
        <v>-1.497098285</v>
      </c>
      <c r="G1557" s="51" t="s">
        <v>7880</v>
      </c>
      <c r="H1557" s="14">
        <v>0.000221251</v>
      </c>
      <c r="I1557" s="14" t="s">
        <v>147</v>
      </c>
      <c r="J1557" s="14">
        <v>10.82863738</v>
      </c>
      <c r="K1557" s="14">
        <v>14.38078887</v>
      </c>
      <c r="L1557" s="14">
        <v>11.30701947</v>
      </c>
      <c r="M1557" s="14">
        <v>32.70608392</v>
      </c>
      <c r="N1557" s="14">
        <v>34.74318934</v>
      </c>
      <c r="O1557" s="14">
        <v>15.93793774</v>
      </c>
    </row>
    <row r="1558" spans="1:21">
      <c r="A1558" s="14" t="s">
        <v>7881</v>
      </c>
      <c r="B1558" s="14">
        <v>174.1877527</v>
      </c>
      <c r="C1558" s="14">
        <v>344.1310318</v>
      </c>
      <c r="D1558" s="14">
        <v>4.244473548</v>
      </c>
      <c r="E1558" s="14">
        <v>0.012330848</v>
      </c>
      <c r="F1558" s="14">
        <v>-6.341584193</v>
      </c>
      <c r="G1558" s="51" t="s">
        <v>7882</v>
      </c>
      <c r="H1558" s="51" t="s">
        <v>1901</v>
      </c>
      <c r="I1558" s="14" t="s">
        <v>147</v>
      </c>
      <c r="J1558" s="14">
        <v>0.041517455</v>
      </c>
      <c r="K1558" s="14">
        <v>0.125365675</v>
      </c>
      <c r="L1558" s="14">
        <v>0.099937645</v>
      </c>
      <c r="M1558" s="14">
        <v>4.795485438</v>
      </c>
      <c r="N1558" s="14">
        <v>6.032027527</v>
      </c>
      <c r="O1558" s="14">
        <v>7.107242338</v>
      </c>
      <c r="P1558" s="14" t="s">
        <v>7883</v>
      </c>
      <c r="Q1558" s="14" t="s">
        <v>7884</v>
      </c>
      <c r="T1558" s="14" t="s">
        <v>7885</v>
      </c>
      <c r="U1558" s="14" t="s">
        <v>7886</v>
      </c>
    </row>
    <row r="1559" spans="1:21">
      <c r="A1559" s="14" t="s">
        <v>7887</v>
      </c>
      <c r="B1559" s="14">
        <v>1526.385194</v>
      </c>
      <c r="C1559" s="14">
        <v>2524.881106</v>
      </c>
      <c r="D1559" s="14">
        <v>527.8892818</v>
      </c>
      <c r="E1559" s="14">
        <v>0.209054608</v>
      </c>
      <c r="F1559" s="14">
        <v>-2.25804825</v>
      </c>
      <c r="G1559" s="51" t="s">
        <v>7888</v>
      </c>
      <c r="H1559" s="51" t="s">
        <v>4788</v>
      </c>
      <c r="I1559" s="14" t="s">
        <v>147</v>
      </c>
      <c r="J1559" s="14">
        <v>7.935685328</v>
      </c>
      <c r="K1559" s="14">
        <v>4.076955329</v>
      </c>
      <c r="L1559" s="14">
        <v>4.496970454</v>
      </c>
      <c r="M1559" s="14">
        <v>11.82898328</v>
      </c>
      <c r="N1559" s="14">
        <v>13.51981852</v>
      </c>
      <c r="O1559" s="14">
        <v>41.98557257</v>
      </c>
      <c r="P1559" s="14" t="s">
        <v>7883</v>
      </c>
      <c r="Q1559" s="14" t="s">
        <v>7884</v>
      </c>
      <c r="T1559" s="14" t="s">
        <v>7885</v>
      </c>
      <c r="U1559" s="14" t="s">
        <v>7886</v>
      </c>
    </row>
    <row r="1560" spans="1:21">
      <c r="A1560" s="14" t="s">
        <v>7889</v>
      </c>
      <c r="B1560" s="14">
        <v>1790.100241</v>
      </c>
      <c r="C1560" s="14">
        <v>3267.324651</v>
      </c>
      <c r="D1560" s="14">
        <v>312.8758305</v>
      </c>
      <c r="E1560" s="14">
        <v>0.095734799</v>
      </c>
      <c r="F1560" s="14">
        <v>-3.384812752</v>
      </c>
      <c r="G1560" s="51" t="s">
        <v>7890</v>
      </c>
      <c r="H1560" s="51" t="s">
        <v>7891</v>
      </c>
      <c r="I1560" s="14" t="s">
        <v>147</v>
      </c>
      <c r="J1560" s="14">
        <v>4.667641554</v>
      </c>
      <c r="K1560" s="14">
        <v>8.098852324</v>
      </c>
      <c r="L1560" s="14">
        <v>5.716517812</v>
      </c>
      <c r="M1560" s="14">
        <v>47.6726676</v>
      </c>
      <c r="N1560" s="14">
        <v>46.63399741</v>
      </c>
      <c r="O1560" s="14">
        <v>66.04775363</v>
      </c>
      <c r="P1560" s="14" t="s">
        <v>7892</v>
      </c>
      <c r="Q1560" s="14" t="s">
        <v>7893</v>
      </c>
      <c r="T1560" s="14" t="s">
        <v>7885</v>
      </c>
      <c r="U1560" s="14" t="s">
        <v>7886</v>
      </c>
    </row>
    <row r="1561" spans="1:15">
      <c r="A1561" s="14" t="s">
        <v>7894</v>
      </c>
      <c r="B1561" s="14">
        <v>14054.90593</v>
      </c>
      <c r="C1561" s="14">
        <v>22299.18376</v>
      </c>
      <c r="D1561" s="14">
        <v>5810.628106</v>
      </c>
      <c r="E1561" s="14">
        <v>0.260575668</v>
      </c>
      <c r="F1561" s="14">
        <v>-1.940225719</v>
      </c>
      <c r="G1561" s="51" t="s">
        <v>7895</v>
      </c>
      <c r="H1561" s="51" t="s">
        <v>7896</v>
      </c>
      <c r="I1561" s="14" t="s">
        <v>147</v>
      </c>
      <c r="J1561" s="14">
        <v>58.72376284</v>
      </c>
      <c r="K1561" s="14">
        <v>102.4499927</v>
      </c>
      <c r="L1561" s="14">
        <v>58.99314666</v>
      </c>
      <c r="M1561" s="14">
        <v>281.8928107</v>
      </c>
      <c r="N1561" s="14">
        <v>258.8937517</v>
      </c>
      <c r="O1561" s="14">
        <v>144.8276462</v>
      </c>
    </row>
    <row r="1562" spans="1:15">
      <c r="A1562" s="14" t="s">
        <v>7897</v>
      </c>
      <c r="B1562" s="14">
        <v>56.76122573</v>
      </c>
      <c r="C1562" s="14">
        <v>112.8590842</v>
      </c>
      <c r="D1562" s="14">
        <v>0.663367276</v>
      </c>
      <c r="E1562" s="14">
        <v>0.005824513</v>
      </c>
      <c r="F1562" s="14">
        <v>-7.42364688</v>
      </c>
      <c r="G1562" s="51" t="s">
        <v>6579</v>
      </c>
      <c r="H1562" s="51" t="s">
        <v>7898</v>
      </c>
      <c r="I1562" s="14" t="s">
        <v>147</v>
      </c>
      <c r="J1562" s="14">
        <v>0.046381424</v>
      </c>
      <c r="K1562" s="14">
        <v>0</v>
      </c>
      <c r="L1562" s="14">
        <v>0</v>
      </c>
      <c r="M1562" s="14">
        <v>2.638966115</v>
      </c>
      <c r="N1562" s="14">
        <v>3.426461988</v>
      </c>
      <c r="O1562" s="14">
        <v>0.232955207</v>
      </c>
    </row>
    <row r="1563" spans="1:21">
      <c r="A1563" s="14" t="s">
        <v>7899</v>
      </c>
      <c r="B1563" s="14">
        <v>3784.158902</v>
      </c>
      <c r="C1563" s="14">
        <v>5221.926696</v>
      </c>
      <c r="D1563" s="14">
        <v>2346.391107</v>
      </c>
      <c r="E1563" s="14">
        <v>0.44933923</v>
      </c>
      <c r="F1563" s="14">
        <v>-1.154123071</v>
      </c>
      <c r="G1563" s="51" t="s">
        <v>3719</v>
      </c>
      <c r="H1563" s="51" t="s">
        <v>7900</v>
      </c>
      <c r="I1563" s="14" t="s">
        <v>147</v>
      </c>
      <c r="J1563" s="14">
        <v>57.994315</v>
      </c>
      <c r="K1563" s="14">
        <v>77.42247755</v>
      </c>
      <c r="L1563" s="14">
        <v>56.46457446</v>
      </c>
      <c r="M1563" s="14">
        <v>123.3203916</v>
      </c>
      <c r="N1563" s="14">
        <v>131.1832579</v>
      </c>
      <c r="O1563" s="14">
        <v>94.37810897</v>
      </c>
      <c r="P1563" s="14" t="s">
        <v>7901</v>
      </c>
      <c r="Q1563" s="14" t="s">
        <v>7902</v>
      </c>
      <c r="T1563" s="14" t="s">
        <v>7903</v>
      </c>
      <c r="U1563" s="14" t="s">
        <v>7904</v>
      </c>
    </row>
    <row r="1564" spans="1:21">
      <c r="A1564" s="14" t="s">
        <v>7905</v>
      </c>
      <c r="B1564" s="14">
        <v>9389.21037</v>
      </c>
      <c r="C1564" s="14">
        <v>13336.98207</v>
      </c>
      <c r="D1564" s="14">
        <v>5441.438674</v>
      </c>
      <c r="E1564" s="14">
        <v>0.407996823</v>
      </c>
      <c r="F1564" s="14">
        <v>-1.293370178</v>
      </c>
      <c r="G1564" s="51" t="s">
        <v>7906</v>
      </c>
      <c r="H1564" s="51" t="s">
        <v>7907</v>
      </c>
      <c r="I1564" s="14" t="s">
        <v>147</v>
      </c>
      <c r="J1564" s="14">
        <v>149.0187026</v>
      </c>
      <c r="K1564" s="14">
        <v>215.1812268</v>
      </c>
      <c r="L1564" s="14">
        <v>144.673795</v>
      </c>
      <c r="M1564" s="14">
        <v>377.444369</v>
      </c>
      <c r="N1564" s="14">
        <v>364.9565497</v>
      </c>
      <c r="O1564" s="14">
        <v>276.6208754</v>
      </c>
      <c r="P1564" s="14" t="s">
        <v>7908</v>
      </c>
      <c r="Q1564" s="14" t="s">
        <v>7909</v>
      </c>
      <c r="T1564" s="14" t="s">
        <v>7910</v>
      </c>
      <c r="U1564" s="14" t="s">
        <v>7911</v>
      </c>
    </row>
    <row r="1565" spans="1:21">
      <c r="A1565" s="14" t="s">
        <v>7912</v>
      </c>
      <c r="B1565" s="14">
        <v>685.1801181</v>
      </c>
      <c r="C1565" s="14">
        <v>317.5269944</v>
      </c>
      <c r="D1565" s="14">
        <v>1052.833242</v>
      </c>
      <c r="E1565" s="14">
        <v>3.313358353</v>
      </c>
      <c r="F1565" s="14">
        <v>1.728294245</v>
      </c>
      <c r="G1565" s="51" t="s">
        <v>7913</v>
      </c>
      <c r="H1565" s="51" t="s">
        <v>7914</v>
      </c>
      <c r="I1565" s="14" t="s">
        <v>164</v>
      </c>
      <c r="J1565" s="14">
        <v>24.68501006</v>
      </c>
      <c r="K1565" s="14">
        <v>24.5104405</v>
      </c>
      <c r="L1565" s="14">
        <v>32.76122568</v>
      </c>
      <c r="M1565" s="14">
        <v>4.786111547</v>
      </c>
      <c r="N1565" s="14">
        <v>4.802334533</v>
      </c>
      <c r="O1565" s="14">
        <v>11.21258709</v>
      </c>
      <c r="Q1565" s="14" t="s">
        <v>7915</v>
      </c>
      <c r="T1565" s="14" t="s">
        <v>7916</v>
      </c>
      <c r="U1565" s="14" t="s">
        <v>7917</v>
      </c>
    </row>
    <row r="1566" spans="1:21">
      <c r="A1566" s="14" t="s">
        <v>7918</v>
      </c>
      <c r="B1566" s="14">
        <v>1097.192578</v>
      </c>
      <c r="C1566" s="14">
        <v>156.1755948</v>
      </c>
      <c r="D1566" s="14">
        <v>2038.20956</v>
      </c>
      <c r="E1566" s="14">
        <v>13.0413121</v>
      </c>
      <c r="F1566" s="14">
        <v>3.705017122</v>
      </c>
      <c r="G1566" s="51" t="s">
        <v>7919</v>
      </c>
      <c r="H1566" s="51" t="s">
        <v>7920</v>
      </c>
      <c r="I1566" s="14" t="s">
        <v>164</v>
      </c>
      <c r="J1566" s="14">
        <v>96.79625745</v>
      </c>
      <c r="K1566" s="14">
        <v>67.39904633</v>
      </c>
      <c r="L1566" s="14">
        <v>109.2017213</v>
      </c>
      <c r="M1566" s="14">
        <v>1.73956383</v>
      </c>
      <c r="N1566" s="14">
        <v>0.907013573</v>
      </c>
      <c r="O1566" s="14">
        <v>15.68763216</v>
      </c>
      <c r="P1566" s="14" t="s">
        <v>7921</v>
      </c>
      <c r="Q1566" s="14" t="s">
        <v>7922</v>
      </c>
      <c r="T1566" s="14" t="s">
        <v>7923</v>
      </c>
      <c r="U1566" s="14" t="s">
        <v>7924</v>
      </c>
    </row>
    <row r="1567" spans="1:21">
      <c r="A1567" s="14" t="s">
        <v>7925</v>
      </c>
      <c r="B1567" s="14">
        <v>801.2764748</v>
      </c>
      <c r="C1567" s="14">
        <v>101.3834461</v>
      </c>
      <c r="D1567" s="14">
        <v>1501.169503</v>
      </c>
      <c r="E1567" s="14">
        <v>14.79717482</v>
      </c>
      <c r="F1567" s="14">
        <v>3.887249847</v>
      </c>
      <c r="G1567" s="14">
        <v>0.001247495</v>
      </c>
      <c r="H1567" s="14">
        <v>0.004442549</v>
      </c>
      <c r="I1567" s="14" t="s">
        <v>164</v>
      </c>
      <c r="J1567" s="14">
        <v>18.80863952</v>
      </c>
      <c r="K1567" s="14">
        <v>10.84580926</v>
      </c>
      <c r="L1567" s="14">
        <v>19.34206446</v>
      </c>
      <c r="M1567" s="14">
        <v>0.101211147</v>
      </c>
      <c r="N1567" s="14">
        <v>0.194200159</v>
      </c>
      <c r="O1567" s="14">
        <v>2.619616107</v>
      </c>
      <c r="P1567" s="14" t="s">
        <v>7926</v>
      </c>
      <c r="Q1567" s="14" t="s">
        <v>7927</v>
      </c>
      <c r="R1567" s="14" t="s">
        <v>1043</v>
      </c>
      <c r="S1567" s="14" t="s">
        <v>1044</v>
      </c>
      <c r="T1567" s="14" t="s">
        <v>7928</v>
      </c>
      <c r="U1567" s="14" t="s">
        <v>7929</v>
      </c>
    </row>
    <row r="1568" spans="1:21">
      <c r="A1568" s="14" t="s">
        <v>7930</v>
      </c>
      <c r="B1568" s="14">
        <v>31.2960933</v>
      </c>
      <c r="C1568" s="14">
        <v>17.57725339</v>
      </c>
      <c r="D1568" s="14">
        <v>45.01493322</v>
      </c>
      <c r="E1568" s="14">
        <v>2.570282279</v>
      </c>
      <c r="F1568" s="14">
        <v>1.361926811</v>
      </c>
      <c r="G1568" s="14">
        <v>0.000980201</v>
      </c>
      <c r="H1568" s="14">
        <v>0.003606014</v>
      </c>
      <c r="I1568" s="14" t="s">
        <v>164</v>
      </c>
      <c r="J1568" s="14">
        <v>1.912843342</v>
      </c>
      <c r="K1568" s="14">
        <v>2.160130784</v>
      </c>
      <c r="L1568" s="14">
        <v>2.290994803</v>
      </c>
      <c r="M1568" s="14">
        <v>0.79835055</v>
      </c>
      <c r="N1568" s="14">
        <v>0.57444193</v>
      </c>
      <c r="O1568" s="14">
        <v>0.663928877</v>
      </c>
      <c r="P1568" s="14" t="s">
        <v>7931</v>
      </c>
      <c r="Q1568" s="14" t="s">
        <v>7932</v>
      </c>
      <c r="T1568" s="14" t="s">
        <v>7933</v>
      </c>
      <c r="U1568" s="14" t="s">
        <v>7934</v>
      </c>
    </row>
    <row r="1569" spans="1:21">
      <c r="A1569" s="14" t="s">
        <v>7935</v>
      </c>
      <c r="B1569" s="14">
        <v>128.6822051</v>
      </c>
      <c r="C1569" s="14">
        <v>234.0578631</v>
      </c>
      <c r="D1569" s="14">
        <v>23.30654701</v>
      </c>
      <c r="E1569" s="14">
        <v>0.099339513</v>
      </c>
      <c r="F1569" s="14">
        <v>-3.331488516</v>
      </c>
      <c r="G1569" s="51" t="s">
        <v>4564</v>
      </c>
      <c r="H1569" s="51" t="s">
        <v>4565</v>
      </c>
      <c r="I1569" s="14" t="s">
        <v>147</v>
      </c>
      <c r="J1569" s="14">
        <v>0.476166686</v>
      </c>
      <c r="K1569" s="14">
        <v>0.766841587</v>
      </c>
      <c r="L1569" s="14">
        <v>0.091695365</v>
      </c>
      <c r="M1569" s="14">
        <v>3.471096504</v>
      </c>
      <c r="N1569" s="14">
        <v>4.018014026</v>
      </c>
      <c r="O1569" s="14">
        <v>3.603334065</v>
      </c>
      <c r="P1569" s="14" t="s">
        <v>7936</v>
      </c>
      <c r="Q1569" s="14" t="s">
        <v>7937</v>
      </c>
      <c r="T1569" s="14" t="s">
        <v>7938</v>
      </c>
      <c r="U1569" s="14" t="s">
        <v>7939</v>
      </c>
    </row>
    <row r="1570" spans="1:21">
      <c r="A1570" s="14" t="s">
        <v>7940</v>
      </c>
      <c r="B1570" s="14">
        <v>2288.162672</v>
      </c>
      <c r="C1570" s="14">
        <v>1354.857251</v>
      </c>
      <c r="D1570" s="14">
        <v>3221.468093</v>
      </c>
      <c r="E1570" s="14">
        <v>2.3772749</v>
      </c>
      <c r="F1570" s="14">
        <v>1.249308741</v>
      </c>
      <c r="G1570" s="51" t="s">
        <v>7941</v>
      </c>
      <c r="H1570" s="51" t="s">
        <v>1523</v>
      </c>
      <c r="I1570" s="14" t="s">
        <v>164</v>
      </c>
      <c r="J1570" s="14">
        <v>15.30576491</v>
      </c>
      <c r="K1570" s="14">
        <v>11.03780723</v>
      </c>
      <c r="L1570" s="14">
        <v>14.56372148</v>
      </c>
      <c r="M1570" s="14">
        <v>3.974533187</v>
      </c>
      <c r="N1570" s="14">
        <v>3.97813192</v>
      </c>
      <c r="O1570" s="14">
        <v>6.367653593</v>
      </c>
      <c r="P1570" s="14" t="s">
        <v>7942</v>
      </c>
      <c r="Q1570" s="14" t="s">
        <v>7943</v>
      </c>
      <c r="T1570" s="14" t="s">
        <v>7944</v>
      </c>
      <c r="U1570" s="14" t="s">
        <v>7945</v>
      </c>
    </row>
    <row r="1571" spans="1:15">
      <c r="A1571" s="14" t="s">
        <v>7946</v>
      </c>
      <c r="B1571" s="14">
        <v>3.937495064</v>
      </c>
      <c r="C1571" s="14">
        <v>0.309088846</v>
      </c>
      <c r="D1571" s="14">
        <v>7.565901282</v>
      </c>
      <c r="E1571" s="14">
        <v>20.93572036</v>
      </c>
      <c r="F1571" s="14">
        <v>4.387894654</v>
      </c>
      <c r="G1571" s="14">
        <v>0.009270085</v>
      </c>
      <c r="H1571" s="14">
        <v>0.025314736</v>
      </c>
      <c r="I1571" s="14" t="s">
        <v>164</v>
      </c>
      <c r="J1571" s="14">
        <v>0.868495476</v>
      </c>
      <c r="K1571" s="14">
        <v>0.556287861</v>
      </c>
      <c r="L1571" s="14">
        <v>0.380104718</v>
      </c>
      <c r="M1571" s="14">
        <v>0</v>
      </c>
      <c r="N1571" s="14">
        <v>0</v>
      </c>
      <c r="O1571" s="14">
        <v>0.066092467</v>
      </c>
    </row>
    <row r="1572" spans="1:21">
      <c r="A1572" s="14" t="s">
        <v>7947</v>
      </c>
      <c r="B1572" s="14">
        <v>392.3428242</v>
      </c>
      <c r="C1572" s="14">
        <v>616.6337163</v>
      </c>
      <c r="D1572" s="14">
        <v>168.0519321</v>
      </c>
      <c r="E1572" s="14">
        <v>0.272373747</v>
      </c>
      <c r="F1572" s="14">
        <v>-1.876340443</v>
      </c>
      <c r="G1572" s="51" t="s">
        <v>7948</v>
      </c>
      <c r="H1572" s="51" t="s">
        <v>7949</v>
      </c>
      <c r="I1572" s="14" t="s">
        <v>147</v>
      </c>
      <c r="J1572" s="14">
        <v>1.437226497</v>
      </c>
      <c r="K1572" s="14">
        <v>1.828232811</v>
      </c>
      <c r="L1572" s="14">
        <v>1.214037298</v>
      </c>
      <c r="M1572" s="14">
        <v>4.707499545</v>
      </c>
      <c r="N1572" s="14">
        <v>4.21954373</v>
      </c>
      <c r="O1572" s="14">
        <v>4.613119639</v>
      </c>
      <c r="P1572" s="14" t="s">
        <v>7950</v>
      </c>
      <c r="Q1572" s="14" t="s">
        <v>7951</v>
      </c>
      <c r="T1572" s="14" t="s">
        <v>494</v>
      </c>
      <c r="U1572" s="14" t="s">
        <v>495</v>
      </c>
    </row>
    <row r="1573" spans="1:21">
      <c r="A1573" s="14" t="s">
        <v>7952</v>
      </c>
      <c r="B1573" s="14">
        <v>179.6816235</v>
      </c>
      <c r="C1573" s="14">
        <v>43.82996645</v>
      </c>
      <c r="D1573" s="14">
        <v>315.5332805</v>
      </c>
      <c r="E1573" s="14">
        <v>7.179445572</v>
      </c>
      <c r="F1573" s="14">
        <v>2.843872437</v>
      </c>
      <c r="G1573" s="51" t="s">
        <v>7953</v>
      </c>
      <c r="H1573" s="51" t="s">
        <v>7954</v>
      </c>
      <c r="I1573" s="14" t="s">
        <v>164</v>
      </c>
      <c r="J1573" s="14">
        <v>3.377482408</v>
      </c>
      <c r="K1573" s="14">
        <v>2.189831579</v>
      </c>
      <c r="L1573" s="14">
        <v>2.821221688</v>
      </c>
      <c r="M1573" s="14">
        <v>0.277716815</v>
      </c>
      <c r="N1573" s="14">
        <v>0.259235332</v>
      </c>
      <c r="O1573" s="14">
        <v>0.433272842</v>
      </c>
      <c r="P1573" s="14" t="s">
        <v>492</v>
      </c>
      <c r="Q1573" s="14" t="s">
        <v>493</v>
      </c>
      <c r="T1573" s="14" t="s">
        <v>494</v>
      </c>
      <c r="U1573" s="14" t="s">
        <v>495</v>
      </c>
    </row>
    <row r="1574" spans="1:21">
      <c r="A1574" s="14" t="s">
        <v>7955</v>
      </c>
      <c r="B1574" s="14">
        <v>5097.779335</v>
      </c>
      <c r="C1574" s="14">
        <v>8299.996631</v>
      </c>
      <c r="D1574" s="14">
        <v>1895.562038</v>
      </c>
      <c r="E1574" s="14">
        <v>0.228386141</v>
      </c>
      <c r="F1574" s="14">
        <v>-2.13045299</v>
      </c>
      <c r="G1574" s="51" t="s">
        <v>7956</v>
      </c>
      <c r="H1574" s="51" t="s">
        <v>7957</v>
      </c>
      <c r="I1574" s="14" t="s">
        <v>147</v>
      </c>
      <c r="J1574" s="14">
        <v>28.48899169</v>
      </c>
      <c r="K1574" s="14">
        <v>33.45961598</v>
      </c>
      <c r="L1574" s="14">
        <v>30.85554384</v>
      </c>
      <c r="M1574" s="14">
        <v>127.7683201</v>
      </c>
      <c r="N1574" s="14">
        <v>137.4960609</v>
      </c>
      <c r="O1574" s="14">
        <v>63.30173798</v>
      </c>
      <c r="P1574" s="14" t="s">
        <v>7958</v>
      </c>
      <c r="Q1574" s="14" t="s">
        <v>7959</v>
      </c>
      <c r="T1574" s="14" t="s">
        <v>7960</v>
      </c>
      <c r="U1574" s="14" t="s">
        <v>7961</v>
      </c>
    </row>
    <row r="1575" spans="1:15">
      <c r="A1575" s="14" t="s">
        <v>7962</v>
      </c>
      <c r="B1575" s="14">
        <v>1546.594092</v>
      </c>
      <c r="C1575" s="14">
        <v>2132.272758</v>
      </c>
      <c r="D1575" s="14">
        <v>960.9154254</v>
      </c>
      <c r="E1575" s="14">
        <v>0.450771276</v>
      </c>
      <c r="F1575" s="14">
        <v>-1.149532507</v>
      </c>
      <c r="G1575" s="51" t="s">
        <v>7963</v>
      </c>
      <c r="H1575" s="51" t="s">
        <v>1582</v>
      </c>
      <c r="I1575" s="14" t="s">
        <v>147</v>
      </c>
      <c r="J1575" s="14">
        <v>14.15162753</v>
      </c>
      <c r="K1575" s="14">
        <v>14.65149333</v>
      </c>
      <c r="L1575" s="14">
        <v>20.3819877</v>
      </c>
      <c r="M1575" s="14">
        <v>29.88770814</v>
      </c>
      <c r="N1575" s="14">
        <v>30.30745832</v>
      </c>
      <c r="O1575" s="14">
        <v>29.2698718</v>
      </c>
    </row>
    <row r="1576" spans="1:15">
      <c r="A1576" s="14" t="s">
        <v>7964</v>
      </c>
      <c r="B1576" s="14">
        <v>109.0566487</v>
      </c>
      <c r="C1576" s="14">
        <v>204.7171364</v>
      </c>
      <c r="D1576" s="14">
        <v>13.39616097</v>
      </c>
      <c r="E1576" s="14">
        <v>0.065403349</v>
      </c>
      <c r="F1576" s="14">
        <v>-3.934491684</v>
      </c>
      <c r="G1576" s="51" t="s">
        <v>7965</v>
      </c>
      <c r="H1576" s="51" t="s">
        <v>6398</v>
      </c>
      <c r="I1576" s="14" t="s">
        <v>147</v>
      </c>
      <c r="J1576" s="14">
        <v>0.040754266</v>
      </c>
      <c r="K1576" s="14">
        <v>0.300816167</v>
      </c>
      <c r="L1576" s="14">
        <v>0.209281186</v>
      </c>
      <c r="M1576" s="14">
        <v>1.383142328</v>
      </c>
      <c r="N1576" s="14">
        <v>1.728394395</v>
      </c>
      <c r="O1576" s="14">
        <v>4.014242638</v>
      </c>
    </row>
    <row r="1577" spans="1:21">
      <c r="A1577" s="14" t="s">
        <v>7966</v>
      </c>
      <c r="B1577" s="14">
        <v>3893.30799</v>
      </c>
      <c r="C1577" s="14">
        <v>1807.250602</v>
      </c>
      <c r="D1577" s="14">
        <v>5979.365377</v>
      </c>
      <c r="E1577" s="14">
        <v>3.308019136</v>
      </c>
      <c r="F1577" s="14">
        <v>1.72596758</v>
      </c>
      <c r="G1577" s="51" t="s">
        <v>4907</v>
      </c>
      <c r="H1577" s="51" t="s">
        <v>571</v>
      </c>
      <c r="I1577" s="14" t="s">
        <v>164</v>
      </c>
      <c r="J1577" s="14">
        <v>137.1330078</v>
      </c>
      <c r="K1577" s="14">
        <v>122.9446202</v>
      </c>
      <c r="L1577" s="14">
        <v>145.2832021</v>
      </c>
      <c r="M1577" s="14">
        <v>21.73987803</v>
      </c>
      <c r="N1577" s="14">
        <v>25.61204285</v>
      </c>
      <c r="O1577" s="14">
        <v>55.92718983</v>
      </c>
      <c r="P1577" s="14" t="s">
        <v>7967</v>
      </c>
      <c r="Q1577" s="14" t="s">
        <v>7968</v>
      </c>
      <c r="R1577" s="14" t="s">
        <v>3188</v>
      </c>
      <c r="S1577" s="14" t="s">
        <v>3189</v>
      </c>
      <c r="T1577" s="14" t="s">
        <v>7969</v>
      </c>
      <c r="U1577" s="14" t="s">
        <v>7970</v>
      </c>
    </row>
    <row r="1578" spans="1:21">
      <c r="A1578" s="14" t="s">
        <v>7971</v>
      </c>
      <c r="B1578" s="14">
        <v>233.1030665</v>
      </c>
      <c r="C1578" s="14">
        <v>411.0637113</v>
      </c>
      <c r="D1578" s="14">
        <v>55.14242169</v>
      </c>
      <c r="E1578" s="14">
        <v>0.133930871</v>
      </c>
      <c r="F1578" s="14">
        <v>-2.900439559</v>
      </c>
      <c r="G1578" s="51" t="s">
        <v>7972</v>
      </c>
      <c r="H1578" s="51" t="s">
        <v>7973</v>
      </c>
      <c r="I1578" s="14" t="s">
        <v>147</v>
      </c>
      <c r="J1578" s="14">
        <v>1.017868163</v>
      </c>
      <c r="K1578" s="14">
        <v>1.314471702</v>
      </c>
      <c r="L1578" s="14">
        <v>0.869104302</v>
      </c>
      <c r="M1578" s="14">
        <v>6.375517947</v>
      </c>
      <c r="N1578" s="14">
        <v>5.154929617</v>
      </c>
      <c r="O1578" s="14">
        <v>8.31157434</v>
      </c>
      <c r="P1578" s="14" t="s">
        <v>7974</v>
      </c>
      <c r="Q1578" s="14" t="s">
        <v>7975</v>
      </c>
      <c r="T1578" s="14" t="s">
        <v>7976</v>
      </c>
      <c r="U1578" s="14" t="s">
        <v>7977</v>
      </c>
    </row>
    <row r="1579" spans="1:21">
      <c r="A1579" s="14" t="s">
        <v>7978</v>
      </c>
      <c r="B1579" s="14">
        <v>40466.68398</v>
      </c>
      <c r="C1579" s="14">
        <v>66754.20718</v>
      </c>
      <c r="D1579" s="14">
        <v>14179.16078</v>
      </c>
      <c r="E1579" s="14">
        <v>0.212405342</v>
      </c>
      <c r="F1579" s="14">
        <v>-2.235108045</v>
      </c>
      <c r="G1579" s="51" t="s">
        <v>7979</v>
      </c>
      <c r="H1579" s="51" t="s">
        <v>7980</v>
      </c>
      <c r="I1579" s="14" t="s">
        <v>147</v>
      </c>
      <c r="J1579" s="14">
        <v>468.7640281</v>
      </c>
      <c r="K1579" s="14">
        <v>483.2165294</v>
      </c>
      <c r="L1579" s="14">
        <v>359.6362052</v>
      </c>
      <c r="M1579" s="14">
        <v>1654.615088</v>
      </c>
      <c r="N1579" s="14">
        <v>1534.102335</v>
      </c>
      <c r="O1579" s="14">
        <v>1918.763247</v>
      </c>
      <c r="P1579" s="14" t="s">
        <v>1448</v>
      </c>
      <c r="Q1579" s="14" t="s">
        <v>1449</v>
      </c>
      <c r="R1579" s="14" t="s">
        <v>1450</v>
      </c>
      <c r="S1579" s="14" t="s">
        <v>1451</v>
      </c>
      <c r="T1579" s="14" t="s">
        <v>1452</v>
      </c>
      <c r="U1579" s="14" t="s">
        <v>1453</v>
      </c>
    </row>
    <row r="1580" spans="1:21">
      <c r="A1580" s="14" t="s">
        <v>7981</v>
      </c>
      <c r="B1580" s="14">
        <v>10.71984023</v>
      </c>
      <c r="C1580" s="14">
        <v>1.289162782</v>
      </c>
      <c r="D1580" s="14">
        <v>20.15051768</v>
      </c>
      <c r="E1580" s="14">
        <v>15.35367126</v>
      </c>
      <c r="F1580" s="14">
        <v>3.940511759</v>
      </c>
      <c r="G1580" s="14">
        <v>0.003060361</v>
      </c>
      <c r="H1580" s="14">
        <v>0.009669068</v>
      </c>
      <c r="I1580" s="14" t="s">
        <v>164</v>
      </c>
      <c r="J1580" s="14">
        <v>0.451696375</v>
      </c>
      <c r="K1580" s="14">
        <v>0.06685969</v>
      </c>
      <c r="L1580" s="14">
        <v>0.294207612</v>
      </c>
      <c r="M1580" s="14">
        <v>0.011366736</v>
      </c>
      <c r="N1580" s="14">
        <v>0</v>
      </c>
      <c r="O1580" s="14">
        <v>0.033363072</v>
      </c>
      <c r="P1580" s="14" t="s">
        <v>7982</v>
      </c>
      <c r="Q1580" s="14" t="s">
        <v>7983</v>
      </c>
      <c r="R1580" s="14" t="s">
        <v>907</v>
      </c>
      <c r="S1580" s="14" t="s">
        <v>908</v>
      </c>
      <c r="T1580" s="14" t="s">
        <v>7984</v>
      </c>
      <c r="U1580" s="14" t="s">
        <v>7985</v>
      </c>
    </row>
    <row r="1581" spans="1:21">
      <c r="A1581" s="14" t="s">
        <v>7986</v>
      </c>
      <c r="B1581" s="14">
        <v>9.769286383</v>
      </c>
      <c r="C1581" s="14">
        <v>19.53857277</v>
      </c>
      <c r="D1581" s="14">
        <v>0</v>
      </c>
      <c r="E1581" s="14">
        <v>0.00922082</v>
      </c>
      <c r="F1581" s="14">
        <v>-6.760889203</v>
      </c>
      <c r="G1581" s="51" t="s">
        <v>7919</v>
      </c>
      <c r="H1581" s="51" t="s">
        <v>7920</v>
      </c>
      <c r="I1581" s="14" t="s">
        <v>147</v>
      </c>
      <c r="J1581" s="14">
        <v>0</v>
      </c>
      <c r="K1581" s="14">
        <v>0</v>
      </c>
      <c r="L1581" s="14">
        <v>0</v>
      </c>
      <c r="M1581" s="14">
        <v>1.096129478</v>
      </c>
      <c r="N1581" s="14">
        <v>0.553476896</v>
      </c>
      <c r="O1581" s="14">
        <v>1.693317959</v>
      </c>
      <c r="P1581" s="14" t="s">
        <v>1541</v>
      </c>
      <c r="Q1581" s="14" t="s">
        <v>1542</v>
      </c>
      <c r="T1581" s="14" t="s">
        <v>1543</v>
      </c>
      <c r="U1581" s="14" t="s">
        <v>1544</v>
      </c>
    </row>
    <row r="1582" spans="1:15">
      <c r="A1582" s="14" t="s">
        <v>7987</v>
      </c>
      <c r="B1582" s="14">
        <v>175.8066065</v>
      </c>
      <c r="C1582" s="14">
        <v>59.70999584</v>
      </c>
      <c r="D1582" s="14">
        <v>291.9032172</v>
      </c>
      <c r="E1582" s="14">
        <v>4.879802912</v>
      </c>
      <c r="F1582" s="14">
        <v>2.286822881</v>
      </c>
      <c r="G1582" s="51" t="s">
        <v>7988</v>
      </c>
      <c r="H1582" s="51" t="s">
        <v>7989</v>
      </c>
      <c r="I1582" s="14" t="s">
        <v>164</v>
      </c>
      <c r="J1582" s="14">
        <v>5.811186159</v>
      </c>
      <c r="K1582" s="14">
        <v>7.876831695</v>
      </c>
      <c r="L1582" s="14">
        <v>9.176287609</v>
      </c>
      <c r="M1582" s="14">
        <v>0.574544543</v>
      </c>
      <c r="N1582" s="14">
        <v>1.696022399</v>
      </c>
      <c r="O1582" s="14">
        <v>1.621513703</v>
      </c>
    </row>
    <row r="1583" spans="1:21">
      <c r="A1583" s="14" t="s">
        <v>7990</v>
      </c>
      <c r="B1583" s="14">
        <v>3.576828392</v>
      </c>
      <c r="C1583" s="14">
        <v>0</v>
      </c>
      <c r="D1583" s="14">
        <v>7.153656784</v>
      </c>
      <c r="E1583" s="14">
        <v>38.60146362</v>
      </c>
      <c r="F1583" s="14">
        <v>5.270583645</v>
      </c>
      <c r="G1583" s="14">
        <v>0.004383656</v>
      </c>
      <c r="H1583" s="14">
        <v>0.013192441</v>
      </c>
      <c r="I1583" s="14" t="s">
        <v>164</v>
      </c>
      <c r="J1583" s="14">
        <v>0.188523137</v>
      </c>
      <c r="K1583" s="14">
        <v>0.16264643</v>
      </c>
      <c r="L1583" s="14">
        <v>0.233382081</v>
      </c>
      <c r="M1583" s="14">
        <v>0</v>
      </c>
      <c r="N1583" s="14">
        <v>0</v>
      </c>
      <c r="O1583" s="14">
        <v>0</v>
      </c>
      <c r="P1583" s="14" t="s">
        <v>3735</v>
      </c>
      <c r="Q1583" s="14" t="s">
        <v>3736</v>
      </c>
      <c r="T1583" s="14" t="s">
        <v>3145</v>
      </c>
      <c r="U1583" s="14" t="s">
        <v>3146</v>
      </c>
    </row>
    <row r="1584" spans="1:15">
      <c r="A1584" s="14" t="s">
        <v>7991</v>
      </c>
      <c r="B1584" s="14">
        <v>402.6133265</v>
      </c>
      <c r="C1584" s="14">
        <v>555.2414361</v>
      </c>
      <c r="D1584" s="14">
        <v>249.9852168</v>
      </c>
      <c r="E1584" s="14">
        <v>0.450054149</v>
      </c>
      <c r="F1584" s="14">
        <v>-1.151829504</v>
      </c>
      <c r="G1584" s="51" t="s">
        <v>7992</v>
      </c>
      <c r="H1584" s="51" t="s">
        <v>7993</v>
      </c>
      <c r="I1584" s="14" t="s">
        <v>147</v>
      </c>
      <c r="J1584" s="14">
        <v>2.486940948</v>
      </c>
      <c r="K1584" s="14">
        <v>1.964861994</v>
      </c>
      <c r="L1584" s="14">
        <v>2.300140923</v>
      </c>
      <c r="M1584" s="14">
        <v>3.538729256</v>
      </c>
      <c r="N1584" s="14">
        <v>3.790097272</v>
      </c>
      <c r="O1584" s="14">
        <v>5.111271273</v>
      </c>
    </row>
    <row r="1585" spans="1:21">
      <c r="A1585" s="14" t="s">
        <v>7994</v>
      </c>
      <c r="B1585" s="14">
        <v>398.0958128</v>
      </c>
      <c r="C1585" s="14">
        <v>140.2153984</v>
      </c>
      <c r="D1585" s="14">
        <v>655.9762272</v>
      </c>
      <c r="E1585" s="14">
        <v>4.681443212</v>
      </c>
      <c r="F1585" s="14">
        <v>2.226953358</v>
      </c>
      <c r="G1585" s="51" t="s">
        <v>7995</v>
      </c>
      <c r="H1585" s="51" t="s">
        <v>7996</v>
      </c>
      <c r="I1585" s="14" t="s">
        <v>164</v>
      </c>
      <c r="J1585" s="14">
        <v>5.615421777</v>
      </c>
      <c r="K1585" s="14">
        <v>3.299274087</v>
      </c>
      <c r="L1585" s="14">
        <v>4.246382777</v>
      </c>
      <c r="M1585" s="14">
        <v>0.691217057</v>
      </c>
      <c r="N1585" s="14">
        <v>1.168649603</v>
      </c>
      <c r="O1585" s="14">
        <v>0.41574294</v>
      </c>
      <c r="P1585" s="14" t="s">
        <v>7997</v>
      </c>
      <c r="Q1585" s="14" t="s">
        <v>7998</v>
      </c>
      <c r="T1585" s="14" t="s">
        <v>7999</v>
      </c>
      <c r="U1585" s="14" t="s">
        <v>8000</v>
      </c>
    </row>
    <row r="1586" spans="1:21">
      <c r="A1586" s="14" t="s">
        <v>8001</v>
      </c>
      <c r="B1586" s="14">
        <v>205.3413708</v>
      </c>
      <c r="C1586" s="14">
        <v>82.82207255</v>
      </c>
      <c r="D1586" s="14">
        <v>327.860669</v>
      </c>
      <c r="E1586" s="14">
        <v>3.959038641</v>
      </c>
      <c r="F1586" s="14">
        <v>1.985150149</v>
      </c>
      <c r="G1586" s="51" t="s">
        <v>8002</v>
      </c>
      <c r="H1586" s="51" t="s">
        <v>8003</v>
      </c>
      <c r="I1586" s="14" t="s">
        <v>164</v>
      </c>
      <c r="J1586" s="14">
        <v>6.538999137</v>
      </c>
      <c r="K1586" s="14">
        <v>2.716256296</v>
      </c>
      <c r="L1586" s="14">
        <v>5.496570479</v>
      </c>
      <c r="M1586" s="14">
        <v>0.888052859</v>
      </c>
      <c r="N1586" s="14">
        <v>1.131917998</v>
      </c>
      <c r="O1586" s="14">
        <v>1.042627238</v>
      </c>
      <c r="P1586" s="14" t="s">
        <v>8004</v>
      </c>
      <c r="Q1586" s="14" t="s">
        <v>8005</v>
      </c>
      <c r="T1586" s="14" t="s">
        <v>8006</v>
      </c>
      <c r="U1586" s="14" t="s">
        <v>8007</v>
      </c>
    </row>
    <row r="1587" spans="1:21">
      <c r="A1587" s="14" t="s">
        <v>8008</v>
      </c>
      <c r="B1587" s="14">
        <v>4408.845097</v>
      </c>
      <c r="C1587" s="14">
        <v>6139.659055</v>
      </c>
      <c r="D1587" s="14">
        <v>2678.031139</v>
      </c>
      <c r="E1587" s="14">
        <v>0.436196153</v>
      </c>
      <c r="F1587" s="14">
        <v>-1.19695105</v>
      </c>
      <c r="G1587" s="14">
        <v>0.00346753</v>
      </c>
      <c r="H1587" s="14">
        <v>0.010789015</v>
      </c>
      <c r="I1587" s="14" t="s">
        <v>147</v>
      </c>
      <c r="J1587" s="14">
        <v>26.71708257</v>
      </c>
      <c r="K1587" s="14">
        <v>40.81402615</v>
      </c>
      <c r="L1587" s="14">
        <v>30.8694335</v>
      </c>
      <c r="M1587" s="14">
        <v>77.19066748</v>
      </c>
      <c r="N1587" s="14">
        <v>73.52695596</v>
      </c>
      <c r="O1587" s="14">
        <v>31.27013619</v>
      </c>
      <c r="P1587" s="14" t="s">
        <v>6680</v>
      </c>
      <c r="Q1587" s="14" t="s">
        <v>6681</v>
      </c>
      <c r="T1587" s="14" t="s">
        <v>6682</v>
      </c>
      <c r="U1587" s="14" t="s">
        <v>6683</v>
      </c>
    </row>
    <row r="1588" spans="1:21">
      <c r="A1588" s="14" t="s">
        <v>8009</v>
      </c>
      <c r="B1588" s="14">
        <v>45.49536663</v>
      </c>
      <c r="C1588" s="14">
        <v>12.54019838</v>
      </c>
      <c r="D1588" s="14">
        <v>78.45053488</v>
      </c>
      <c r="E1588" s="14">
        <v>6.286806113</v>
      </c>
      <c r="F1588" s="14">
        <v>2.652327271</v>
      </c>
      <c r="G1588" s="14">
        <v>0.002664109</v>
      </c>
      <c r="H1588" s="14">
        <v>0.008576862</v>
      </c>
      <c r="I1588" s="14" t="s">
        <v>164</v>
      </c>
      <c r="J1588" s="14">
        <v>3.399962404</v>
      </c>
      <c r="K1588" s="14">
        <v>1.904789238</v>
      </c>
      <c r="L1588" s="14">
        <v>2.316263128</v>
      </c>
      <c r="M1588" s="14">
        <v>0.439092802</v>
      </c>
      <c r="N1588" s="14">
        <v>0.500243181</v>
      </c>
      <c r="O1588" s="14">
        <v>0.026850065</v>
      </c>
      <c r="P1588" s="14" t="s">
        <v>8010</v>
      </c>
      <c r="Q1588" s="14" t="s">
        <v>8011</v>
      </c>
      <c r="T1588" s="14" t="s">
        <v>3007</v>
      </c>
      <c r="U1588" s="14" t="s">
        <v>3008</v>
      </c>
    </row>
    <row r="1589" spans="1:21">
      <c r="A1589" s="14" t="s">
        <v>8012</v>
      </c>
      <c r="B1589" s="14">
        <v>47175.78904</v>
      </c>
      <c r="C1589" s="14">
        <v>71713.75027</v>
      </c>
      <c r="D1589" s="14">
        <v>22637.82782</v>
      </c>
      <c r="E1589" s="14">
        <v>0.315670057</v>
      </c>
      <c r="F1589" s="14">
        <v>-1.663510674</v>
      </c>
      <c r="G1589" s="51" t="s">
        <v>8013</v>
      </c>
      <c r="H1589" s="51" t="s">
        <v>2887</v>
      </c>
      <c r="I1589" s="14" t="s">
        <v>147</v>
      </c>
      <c r="J1589" s="14">
        <v>192.6576173</v>
      </c>
      <c r="K1589" s="14">
        <v>232.8426867</v>
      </c>
      <c r="L1589" s="14">
        <v>178.9144194</v>
      </c>
      <c r="M1589" s="14">
        <v>633.967502</v>
      </c>
      <c r="N1589" s="14">
        <v>621.6841805</v>
      </c>
      <c r="O1589" s="14">
        <v>292.5886798</v>
      </c>
      <c r="P1589" s="14" t="s">
        <v>8014</v>
      </c>
      <c r="Q1589" s="14" t="s">
        <v>8015</v>
      </c>
      <c r="T1589" s="14" t="s">
        <v>8016</v>
      </c>
      <c r="U1589" s="14" t="s">
        <v>8017</v>
      </c>
    </row>
    <row r="1590" spans="1:21">
      <c r="A1590" s="14" t="s">
        <v>8018</v>
      </c>
      <c r="B1590" s="14">
        <v>2992.143299</v>
      </c>
      <c r="C1590" s="14">
        <v>1110.644047</v>
      </c>
      <c r="D1590" s="14">
        <v>4873.642551</v>
      </c>
      <c r="E1590" s="14">
        <v>4.389173782</v>
      </c>
      <c r="F1590" s="14">
        <v>2.133949393</v>
      </c>
      <c r="G1590" s="51" t="s">
        <v>8019</v>
      </c>
      <c r="H1590" s="51" t="s">
        <v>8020</v>
      </c>
      <c r="I1590" s="14" t="s">
        <v>164</v>
      </c>
      <c r="J1590" s="14">
        <v>59.66305546</v>
      </c>
      <c r="K1590" s="14">
        <v>60.02718521</v>
      </c>
      <c r="L1590" s="14">
        <v>67.12854039</v>
      </c>
      <c r="M1590" s="14">
        <v>14.29586763</v>
      </c>
      <c r="N1590" s="14">
        <v>13.05071238</v>
      </c>
      <c r="O1590" s="14">
        <v>7.072829135</v>
      </c>
      <c r="P1590" s="14" t="s">
        <v>8021</v>
      </c>
      <c r="Q1590" s="14" t="s">
        <v>8022</v>
      </c>
      <c r="T1590" s="14" t="s">
        <v>8023</v>
      </c>
      <c r="U1590" s="14" t="s">
        <v>8024</v>
      </c>
    </row>
    <row r="1591" spans="1:21">
      <c r="A1591" s="14" t="s">
        <v>8025</v>
      </c>
      <c r="B1591" s="14">
        <v>349.7838205</v>
      </c>
      <c r="C1591" s="14">
        <v>100.2812979</v>
      </c>
      <c r="D1591" s="14">
        <v>599.286343</v>
      </c>
      <c r="E1591" s="14">
        <v>5.968686563</v>
      </c>
      <c r="F1591" s="14">
        <v>2.577413495</v>
      </c>
      <c r="G1591" s="51" t="s">
        <v>8026</v>
      </c>
      <c r="H1591" s="51" t="s">
        <v>8027</v>
      </c>
      <c r="I1591" s="14" t="s">
        <v>164</v>
      </c>
      <c r="J1591" s="14">
        <v>12.60133728</v>
      </c>
      <c r="K1591" s="14">
        <v>21.12252649</v>
      </c>
      <c r="L1591" s="14">
        <v>11.72230557</v>
      </c>
      <c r="M1591" s="14">
        <v>1.868530784</v>
      </c>
      <c r="N1591" s="14">
        <v>1.401138794</v>
      </c>
      <c r="O1591" s="14">
        <v>3.109937947</v>
      </c>
      <c r="P1591" s="14" t="s">
        <v>8028</v>
      </c>
      <c r="Q1591" s="14" t="s">
        <v>8029</v>
      </c>
      <c r="T1591" s="14" t="s">
        <v>8030</v>
      </c>
      <c r="U1591" s="14" t="s">
        <v>8031</v>
      </c>
    </row>
    <row r="1592" spans="1:21">
      <c r="A1592" s="14" t="s">
        <v>8032</v>
      </c>
      <c r="B1592" s="14">
        <v>1106.795614</v>
      </c>
      <c r="C1592" s="14">
        <v>554.0792071</v>
      </c>
      <c r="D1592" s="14">
        <v>1659.51202</v>
      </c>
      <c r="E1592" s="14">
        <v>2.993813024</v>
      </c>
      <c r="F1592" s="14">
        <v>1.581984122</v>
      </c>
      <c r="G1592" s="14">
        <v>0.000334889</v>
      </c>
      <c r="H1592" s="14">
        <v>0.001395085</v>
      </c>
      <c r="I1592" s="14" t="s">
        <v>164</v>
      </c>
      <c r="J1592" s="14">
        <v>19.76590217</v>
      </c>
      <c r="K1592" s="14">
        <v>19.86088475</v>
      </c>
      <c r="L1592" s="14">
        <v>17.06430201</v>
      </c>
      <c r="M1592" s="14">
        <v>2.762260383</v>
      </c>
      <c r="N1592" s="14">
        <v>3.521059943</v>
      </c>
      <c r="O1592" s="14">
        <v>9.836901319</v>
      </c>
      <c r="P1592" s="14" t="s">
        <v>8033</v>
      </c>
      <c r="Q1592" s="14" t="s">
        <v>8034</v>
      </c>
      <c r="R1592" s="14" t="s">
        <v>8035</v>
      </c>
      <c r="S1592" s="14" t="s">
        <v>8036</v>
      </c>
      <c r="T1592" s="14" t="s">
        <v>8037</v>
      </c>
      <c r="U1592" s="14" t="s">
        <v>8038</v>
      </c>
    </row>
    <row r="1593" spans="1:21">
      <c r="A1593" s="14" t="s">
        <v>8039</v>
      </c>
      <c r="B1593" s="14">
        <v>4448.865082</v>
      </c>
      <c r="C1593" s="14">
        <v>6113.014372</v>
      </c>
      <c r="D1593" s="14">
        <v>2784.715792</v>
      </c>
      <c r="E1593" s="14">
        <v>0.455550998</v>
      </c>
      <c r="F1593" s="14">
        <v>-1.134315525</v>
      </c>
      <c r="G1593" s="51" t="s">
        <v>1890</v>
      </c>
      <c r="H1593" s="51" t="s">
        <v>8040</v>
      </c>
      <c r="I1593" s="14" t="s">
        <v>147</v>
      </c>
      <c r="J1593" s="14">
        <v>16.52033105</v>
      </c>
      <c r="K1593" s="14">
        <v>19.23884124</v>
      </c>
      <c r="L1593" s="14">
        <v>15.66567152</v>
      </c>
      <c r="M1593" s="14">
        <v>34.16453361</v>
      </c>
      <c r="N1593" s="14">
        <v>32.2458126</v>
      </c>
      <c r="O1593" s="14">
        <v>25.83452812</v>
      </c>
      <c r="P1593" s="14" t="s">
        <v>8041</v>
      </c>
      <c r="Q1593" s="14" t="s">
        <v>8042</v>
      </c>
      <c r="T1593" s="14" t="s">
        <v>8043</v>
      </c>
      <c r="U1593" s="14" t="s">
        <v>8044</v>
      </c>
    </row>
    <row r="1594" spans="1:21">
      <c r="A1594" s="14" t="s">
        <v>8045</v>
      </c>
      <c r="B1594" s="14">
        <v>34215.59822</v>
      </c>
      <c r="C1594" s="14">
        <v>19067.29415</v>
      </c>
      <c r="D1594" s="14">
        <v>49363.90228</v>
      </c>
      <c r="E1594" s="14">
        <v>2.588983073</v>
      </c>
      <c r="F1594" s="14">
        <v>1.372385533</v>
      </c>
      <c r="G1594" s="51" t="s">
        <v>4119</v>
      </c>
      <c r="H1594" s="51" t="s">
        <v>8046</v>
      </c>
      <c r="I1594" s="14" t="s">
        <v>164</v>
      </c>
      <c r="J1594" s="14">
        <v>1373.821718</v>
      </c>
      <c r="K1594" s="14">
        <v>1654.301254</v>
      </c>
      <c r="L1594" s="14">
        <v>1649.458763</v>
      </c>
      <c r="M1594" s="14">
        <v>546.8251631</v>
      </c>
      <c r="N1594" s="14">
        <v>504.7671809</v>
      </c>
      <c r="O1594" s="14">
        <v>424.2489653</v>
      </c>
      <c r="Q1594" s="14" t="s">
        <v>8047</v>
      </c>
      <c r="T1594" s="14" t="s">
        <v>8048</v>
      </c>
      <c r="U1594" s="14" t="s">
        <v>8049</v>
      </c>
    </row>
    <row r="1595" spans="1:15">
      <c r="A1595" s="14" t="s">
        <v>8050</v>
      </c>
      <c r="B1595" s="14">
        <v>89.9231788</v>
      </c>
      <c r="C1595" s="14">
        <v>45.49852131</v>
      </c>
      <c r="D1595" s="14">
        <v>134.3478363</v>
      </c>
      <c r="E1595" s="14">
        <v>2.943570451</v>
      </c>
      <c r="F1595" s="14">
        <v>1.557567157</v>
      </c>
      <c r="G1595" s="14">
        <v>0.003450817</v>
      </c>
      <c r="H1595" s="14">
        <v>0.010742642</v>
      </c>
      <c r="I1595" s="14" t="s">
        <v>164</v>
      </c>
      <c r="J1595" s="14">
        <v>1.961299067</v>
      </c>
      <c r="K1595" s="14">
        <v>1.410075782</v>
      </c>
      <c r="L1595" s="14">
        <v>1.814860286</v>
      </c>
      <c r="M1595" s="14">
        <v>0.305104925</v>
      </c>
      <c r="N1595" s="14">
        <v>0.261349959</v>
      </c>
      <c r="O1595" s="14">
        <v>0.927511799</v>
      </c>
    </row>
    <row r="1596" spans="1:21">
      <c r="A1596" s="14" t="s">
        <v>8051</v>
      </c>
      <c r="B1596" s="14">
        <v>4962.044951</v>
      </c>
      <c r="C1596" s="14">
        <v>7317.026549</v>
      </c>
      <c r="D1596" s="14">
        <v>2607.063353</v>
      </c>
      <c r="E1596" s="14">
        <v>0.356316117</v>
      </c>
      <c r="F1596" s="14">
        <v>-1.488770352</v>
      </c>
      <c r="G1596" s="51" t="s">
        <v>8052</v>
      </c>
      <c r="H1596" s="51" t="s">
        <v>8053</v>
      </c>
      <c r="I1596" s="14" t="s">
        <v>147</v>
      </c>
      <c r="J1596" s="14">
        <v>17.57777219</v>
      </c>
      <c r="K1596" s="14">
        <v>20.5641958</v>
      </c>
      <c r="L1596" s="14">
        <v>19.46802693</v>
      </c>
      <c r="M1596" s="14">
        <v>48.87664764</v>
      </c>
      <c r="N1596" s="14">
        <v>47.44835891</v>
      </c>
      <c r="O1596" s="14">
        <v>35.53676073</v>
      </c>
      <c r="P1596" s="14" t="s">
        <v>8054</v>
      </c>
      <c r="Q1596" s="14" t="s">
        <v>8055</v>
      </c>
      <c r="T1596" s="14" t="s">
        <v>399</v>
      </c>
      <c r="U1596" s="14" t="s">
        <v>400</v>
      </c>
    </row>
    <row r="1597" spans="1:21">
      <c r="A1597" s="14" t="s">
        <v>8056</v>
      </c>
      <c r="B1597" s="14">
        <v>4626.659415</v>
      </c>
      <c r="C1597" s="14">
        <v>6343.303184</v>
      </c>
      <c r="D1597" s="14">
        <v>2910.015647</v>
      </c>
      <c r="E1597" s="14">
        <v>0.458744544</v>
      </c>
      <c r="F1597" s="14">
        <v>-1.124237094</v>
      </c>
      <c r="G1597" s="51" t="s">
        <v>8057</v>
      </c>
      <c r="H1597" s="51" t="s">
        <v>8058</v>
      </c>
      <c r="I1597" s="14" t="s">
        <v>147</v>
      </c>
      <c r="J1597" s="14">
        <v>27.64817294</v>
      </c>
      <c r="K1597" s="14">
        <v>29.70877873</v>
      </c>
      <c r="L1597" s="14">
        <v>24.05686187</v>
      </c>
      <c r="M1597" s="14">
        <v>49.40782975</v>
      </c>
      <c r="N1597" s="14">
        <v>48.46357831</v>
      </c>
      <c r="O1597" s="14">
        <v>48.05339176</v>
      </c>
      <c r="P1597" s="14" t="s">
        <v>8059</v>
      </c>
      <c r="Q1597" s="14" t="s">
        <v>8060</v>
      </c>
      <c r="T1597" s="14" t="s">
        <v>8061</v>
      </c>
      <c r="U1597" s="14" t="s">
        <v>8062</v>
      </c>
    </row>
    <row r="1598" spans="1:21">
      <c r="A1598" s="14" t="s">
        <v>8063</v>
      </c>
      <c r="B1598" s="14">
        <v>60.30021396</v>
      </c>
      <c r="C1598" s="14">
        <v>9.912579935</v>
      </c>
      <c r="D1598" s="14">
        <v>110.687848</v>
      </c>
      <c r="E1598" s="14">
        <v>11.03671346</v>
      </c>
      <c r="F1598" s="14">
        <v>3.464238722</v>
      </c>
      <c r="G1598" s="51" t="s">
        <v>7906</v>
      </c>
      <c r="H1598" s="51" t="s">
        <v>8064</v>
      </c>
      <c r="I1598" s="14" t="s">
        <v>164</v>
      </c>
      <c r="J1598" s="14">
        <v>2.860050292</v>
      </c>
      <c r="K1598" s="14">
        <v>2.283127555</v>
      </c>
      <c r="L1598" s="14">
        <v>3.133631995</v>
      </c>
      <c r="M1598" s="14">
        <v>0.084380823</v>
      </c>
      <c r="N1598" s="14">
        <v>0.080953382</v>
      </c>
      <c r="O1598" s="14">
        <v>0.474701503</v>
      </c>
      <c r="P1598" s="14" t="s">
        <v>8065</v>
      </c>
      <c r="Q1598" s="14" t="s">
        <v>8066</v>
      </c>
      <c r="T1598" s="14" t="s">
        <v>8067</v>
      </c>
      <c r="U1598" s="14" t="s">
        <v>8068</v>
      </c>
    </row>
    <row r="1599" spans="1:21">
      <c r="A1599" s="14" t="s">
        <v>8069</v>
      </c>
      <c r="B1599" s="14">
        <v>1164.409733</v>
      </c>
      <c r="C1599" s="14">
        <v>47.42489739</v>
      </c>
      <c r="D1599" s="14">
        <v>2281.394568</v>
      </c>
      <c r="E1599" s="14">
        <v>47.94203644</v>
      </c>
      <c r="F1599" s="14">
        <v>5.583219287</v>
      </c>
      <c r="G1599" s="51" t="s">
        <v>8070</v>
      </c>
      <c r="H1599" s="51" t="s">
        <v>8071</v>
      </c>
      <c r="I1599" s="14" t="s">
        <v>164</v>
      </c>
      <c r="J1599" s="14">
        <v>48.1117011</v>
      </c>
      <c r="K1599" s="14">
        <v>21.62657079</v>
      </c>
      <c r="L1599" s="14">
        <v>51.82987654</v>
      </c>
      <c r="M1599" s="14">
        <v>0.330153322</v>
      </c>
      <c r="N1599" s="14">
        <v>0.547101403</v>
      </c>
      <c r="O1599" s="14">
        <v>1.262700772</v>
      </c>
      <c r="Q1599" s="14" t="s">
        <v>8072</v>
      </c>
      <c r="R1599" s="14" t="s">
        <v>5655</v>
      </c>
      <c r="S1599" s="14" t="s">
        <v>5656</v>
      </c>
      <c r="T1599" s="14" t="s">
        <v>6531</v>
      </c>
      <c r="U1599" s="14" t="s">
        <v>6532</v>
      </c>
    </row>
    <row r="1600" spans="1:21">
      <c r="A1600" s="14" t="s">
        <v>8073</v>
      </c>
      <c r="B1600" s="14">
        <v>197.2804885</v>
      </c>
      <c r="C1600" s="14">
        <v>282.0633987</v>
      </c>
      <c r="D1600" s="14">
        <v>112.4975782</v>
      </c>
      <c r="E1600" s="14">
        <v>0.39859177</v>
      </c>
      <c r="F1600" s="14">
        <v>-1.327016173</v>
      </c>
      <c r="G1600" s="14">
        <v>0.001576735</v>
      </c>
      <c r="H1600" s="14">
        <v>0.005457906</v>
      </c>
      <c r="I1600" s="14" t="s">
        <v>147</v>
      </c>
      <c r="J1600" s="14">
        <v>1.79165784</v>
      </c>
      <c r="K1600" s="14">
        <v>1.396147457</v>
      </c>
      <c r="L1600" s="14">
        <v>1.739008813</v>
      </c>
      <c r="M1600" s="14">
        <v>2.20050053</v>
      </c>
      <c r="N1600" s="14">
        <v>2.348323401</v>
      </c>
      <c r="O1600" s="14">
        <v>5.890327472</v>
      </c>
      <c r="P1600" s="14" t="s">
        <v>8074</v>
      </c>
      <c r="Q1600" s="14" t="s">
        <v>8075</v>
      </c>
      <c r="R1600" s="14" t="s">
        <v>8076</v>
      </c>
      <c r="S1600" s="14" t="s">
        <v>8077</v>
      </c>
      <c r="T1600" s="14" t="s">
        <v>8078</v>
      </c>
      <c r="U1600" s="14" t="s">
        <v>8079</v>
      </c>
    </row>
    <row r="1601" spans="1:15">
      <c r="A1601" s="14" t="s">
        <v>8080</v>
      </c>
      <c r="B1601" s="14">
        <v>2558.415863</v>
      </c>
      <c r="C1601" s="14">
        <v>3609.640003</v>
      </c>
      <c r="D1601" s="14">
        <v>1507.191723</v>
      </c>
      <c r="E1601" s="14">
        <v>0.417547316</v>
      </c>
      <c r="F1601" s="14">
        <v>-1.259988402</v>
      </c>
      <c r="G1601" s="51" t="s">
        <v>8081</v>
      </c>
      <c r="H1601" s="14">
        <v>0.000128868</v>
      </c>
      <c r="I1601" s="14" t="s">
        <v>147</v>
      </c>
      <c r="J1601" s="14">
        <v>21.33995899</v>
      </c>
      <c r="K1601" s="14">
        <v>34.703955</v>
      </c>
      <c r="L1601" s="14">
        <v>21.7974355</v>
      </c>
      <c r="M1601" s="14">
        <v>56.93858763</v>
      </c>
      <c r="N1601" s="14">
        <v>55.07460231</v>
      </c>
      <c r="O1601" s="14">
        <v>40.20398269</v>
      </c>
    </row>
    <row r="1602" spans="1:21">
      <c r="A1602" s="14" t="s">
        <v>8082</v>
      </c>
      <c r="B1602" s="14">
        <v>7.007508302</v>
      </c>
      <c r="C1602" s="14">
        <v>1.598251628</v>
      </c>
      <c r="D1602" s="14">
        <v>12.41676498</v>
      </c>
      <c r="E1602" s="14">
        <v>7.589109988</v>
      </c>
      <c r="F1602" s="14">
        <v>2.923930704</v>
      </c>
      <c r="G1602" s="14">
        <v>0.011845178</v>
      </c>
      <c r="H1602" s="14">
        <v>0.031199158</v>
      </c>
      <c r="I1602" s="14" t="s">
        <v>164</v>
      </c>
      <c r="J1602" s="14">
        <v>0.172755747</v>
      </c>
      <c r="K1602" s="14">
        <v>0.188374138</v>
      </c>
      <c r="L1602" s="14">
        <v>0.180199255</v>
      </c>
      <c r="M1602" s="14">
        <v>0.012317408</v>
      </c>
      <c r="N1602" s="14">
        <v>0</v>
      </c>
      <c r="O1602" s="14">
        <v>0.048204584</v>
      </c>
      <c r="P1602" s="14" t="s">
        <v>8083</v>
      </c>
      <c r="Q1602" s="14" t="s">
        <v>8084</v>
      </c>
      <c r="R1602" s="14" t="s">
        <v>8085</v>
      </c>
      <c r="S1602" s="14" t="s">
        <v>8086</v>
      </c>
      <c r="T1602" s="14" t="s">
        <v>8087</v>
      </c>
      <c r="U1602" s="14" t="s">
        <v>8088</v>
      </c>
    </row>
    <row r="1603" spans="1:21">
      <c r="A1603" s="14" t="s">
        <v>8089</v>
      </c>
      <c r="B1603" s="14">
        <v>8685.751767</v>
      </c>
      <c r="C1603" s="14">
        <v>13572.57761</v>
      </c>
      <c r="D1603" s="14">
        <v>3798.92592</v>
      </c>
      <c r="E1603" s="14">
        <v>0.279896255</v>
      </c>
      <c r="F1603" s="14">
        <v>-1.837035912</v>
      </c>
      <c r="G1603" s="51" t="s">
        <v>1318</v>
      </c>
      <c r="H1603" s="51" t="s">
        <v>1319</v>
      </c>
      <c r="I1603" s="14" t="s">
        <v>147</v>
      </c>
      <c r="J1603" s="14">
        <v>36.828987</v>
      </c>
      <c r="K1603" s="14">
        <v>67.49454173</v>
      </c>
      <c r="L1603" s="14">
        <v>40.03713363</v>
      </c>
      <c r="M1603" s="14">
        <v>162.082621</v>
      </c>
      <c r="N1603" s="14">
        <v>155.8396318</v>
      </c>
      <c r="O1603" s="14">
        <v>102.2247754</v>
      </c>
      <c r="P1603" s="14" t="s">
        <v>8090</v>
      </c>
      <c r="Q1603" s="14" t="s">
        <v>8091</v>
      </c>
      <c r="T1603" s="14" t="s">
        <v>8092</v>
      </c>
      <c r="U1603" s="14" t="s">
        <v>8093</v>
      </c>
    </row>
    <row r="1604" spans="1:21">
      <c r="A1604" s="14" t="s">
        <v>8094</v>
      </c>
      <c r="B1604" s="14">
        <v>222.267702</v>
      </c>
      <c r="C1604" s="14">
        <v>110.7522192</v>
      </c>
      <c r="D1604" s="14">
        <v>333.7831848</v>
      </c>
      <c r="E1604" s="14">
        <v>3.013573119</v>
      </c>
      <c r="F1604" s="14">
        <v>1.59147507</v>
      </c>
      <c r="G1604" s="51" t="s">
        <v>8095</v>
      </c>
      <c r="H1604" s="51" t="s">
        <v>8096</v>
      </c>
      <c r="I1604" s="14" t="s">
        <v>164</v>
      </c>
      <c r="J1604" s="14">
        <v>6.028555624</v>
      </c>
      <c r="K1604" s="14">
        <v>5.262992969</v>
      </c>
      <c r="L1604" s="14">
        <v>4.234982493</v>
      </c>
      <c r="M1604" s="14">
        <v>1.4210817</v>
      </c>
      <c r="N1604" s="14">
        <v>1.287617005</v>
      </c>
      <c r="O1604" s="14">
        <v>1.544847239</v>
      </c>
      <c r="P1604" s="14" t="s">
        <v>8097</v>
      </c>
      <c r="Q1604" s="14" t="s">
        <v>8098</v>
      </c>
      <c r="R1604" s="14" t="s">
        <v>8099</v>
      </c>
      <c r="S1604" s="14" t="s">
        <v>8100</v>
      </c>
      <c r="T1604" s="14" t="s">
        <v>8101</v>
      </c>
      <c r="U1604" s="14" t="s">
        <v>8102</v>
      </c>
    </row>
    <row r="1605" spans="1:21">
      <c r="A1605" s="14" t="s">
        <v>8103</v>
      </c>
      <c r="B1605" s="14">
        <v>4355.814581</v>
      </c>
      <c r="C1605" s="14">
        <v>6736.152899</v>
      </c>
      <c r="D1605" s="14">
        <v>1975.476263</v>
      </c>
      <c r="E1605" s="14">
        <v>0.293264153</v>
      </c>
      <c r="F1605" s="14">
        <v>-1.769727358</v>
      </c>
      <c r="G1605" s="51" t="s">
        <v>8104</v>
      </c>
      <c r="H1605" s="51" t="s">
        <v>8105</v>
      </c>
      <c r="I1605" s="14" t="s">
        <v>147</v>
      </c>
      <c r="J1605" s="14">
        <v>13.01312725</v>
      </c>
      <c r="K1605" s="14">
        <v>14.18199201</v>
      </c>
      <c r="L1605" s="14">
        <v>11.58027462</v>
      </c>
      <c r="M1605" s="14">
        <v>38.48044044</v>
      </c>
      <c r="N1605" s="14">
        <v>38.48292985</v>
      </c>
      <c r="O1605" s="14">
        <v>31.22451363</v>
      </c>
      <c r="Q1605" s="14" t="s">
        <v>8106</v>
      </c>
      <c r="R1605" s="14" t="s">
        <v>5978</v>
      </c>
      <c r="S1605" s="14" t="s">
        <v>5979</v>
      </c>
      <c r="T1605" s="14" t="s">
        <v>8107</v>
      </c>
      <c r="U1605" s="14" t="s">
        <v>8108</v>
      </c>
    </row>
    <row r="1606" spans="1:21">
      <c r="A1606" s="14" t="s">
        <v>8109</v>
      </c>
      <c r="B1606" s="14">
        <v>10.47033499</v>
      </c>
      <c r="C1606" s="14">
        <v>1.710857085</v>
      </c>
      <c r="D1606" s="14">
        <v>19.2298129</v>
      </c>
      <c r="E1606" s="14">
        <v>11.37879541</v>
      </c>
      <c r="F1606" s="14">
        <v>3.508275933</v>
      </c>
      <c r="G1606" s="14">
        <v>0.001234523</v>
      </c>
      <c r="H1606" s="14">
        <v>0.004403397</v>
      </c>
      <c r="I1606" s="14" t="s">
        <v>164</v>
      </c>
      <c r="J1606" s="14">
        <v>0.24387353</v>
      </c>
      <c r="K1606" s="14">
        <v>0.245465992</v>
      </c>
      <c r="L1606" s="14">
        <v>0.811173877</v>
      </c>
      <c r="M1606" s="14">
        <v>0.037937618</v>
      </c>
      <c r="N1606" s="14">
        <v>0.036396641</v>
      </c>
      <c r="O1606" s="14">
        <v>0.018558765</v>
      </c>
      <c r="P1606" s="14" t="s">
        <v>8110</v>
      </c>
      <c r="Q1606" s="14" t="s">
        <v>8111</v>
      </c>
      <c r="T1606" s="14" t="s">
        <v>8112</v>
      </c>
      <c r="U1606" s="14" t="s">
        <v>8113</v>
      </c>
    </row>
    <row r="1607" spans="1:21">
      <c r="A1607" s="14" t="s">
        <v>8114</v>
      </c>
      <c r="B1607" s="14">
        <v>935.1573295</v>
      </c>
      <c r="C1607" s="14">
        <v>1515.8297</v>
      </c>
      <c r="D1607" s="14">
        <v>354.4849586</v>
      </c>
      <c r="E1607" s="14">
        <v>0.233864789</v>
      </c>
      <c r="F1607" s="14">
        <v>-2.096253432</v>
      </c>
      <c r="G1607" s="51" t="s">
        <v>8115</v>
      </c>
      <c r="H1607" s="14">
        <v>0.000451503</v>
      </c>
      <c r="I1607" s="14" t="s">
        <v>147</v>
      </c>
      <c r="J1607" s="14">
        <v>1.355452511</v>
      </c>
      <c r="K1607" s="14">
        <v>3.329934935</v>
      </c>
      <c r="L1607" s="14">
        <v>2.201964079</v>
      </c>
      <c r="M1607" s="14">
        <v>10.09669166</v>
      </c>
      <c r="N1607" s="14">
        <v>10.26661152</v>
      </c>
      <c r="O1607" s="14">
        <v>3.323283689</v>
      </c>
      <c r="P1607" s="14" t="s">
        <v>4934</v>
      </c>
      <c r="Q1607" s="14" t="s">
        <v>4935</v>
      </c>
      <c r="T1607" s="14" t="s">
        <v>4936</v>
      </c>
      <c r="U1607" s="14" t="s">
        <v>4937</v>
      </c>
    </row>
    <row r="1608" spans="1:15">
      <c r="A1608" s="14" t="s">
        <v>8116</v>
      </c>
      <c r="B1608" s="14">
        <v>226.9214192</v>
      </c>
      <c r="C1608" s="14">
        <v>311.1935257</v>
      </c>
      <c r="D1608" s="14">
        <v>142.6493126</v>
      </c>
      <c r="E1608" s="14">
        <v>0.458783605</v>
      </c>
      <c r="F1608" s="14">
        <v>-1.12411426</v>
      </c>
      <c r="G1608" s="51" t="s">
        <v>8117</v>
      </c>
      <c r="H1608" s="14">
        <v>0.000367539</v>
      </c>
      <c r="I1608" s="14" t="s">
        <v>147</v>
      </c>
      <c r="J1608" s="14">
        <v>30.2908454</v>
      </c>
      <c r="K1608" s="14">
        <v>30.48864067</v>
      </c>
      <c r="L1608" s="14">
        <v>32.06139102</v>
      </c>
      <c r="M1608" s="14">
        <v>63.59697613</v>
      </c>
      <c r="N1608" s="14">
        <v>59.60302591</v>
      </c>
      <c r="O1608" s="14">
        <v>41.54142128</v>
      </c>
    </row>
    <row r="1609" spans="1:15">
      <c r="A1609" s="14" t="s">
        <v>8118</v>
      </c>
      <c r="B1609" s="14">
        <v>180.6074057</v>
      </c>
      <c r="C1609" s="14">
        <v>327.7758722</v>
      </c>
      <c r="D1609" s="14">
        <v>33.43893911</v>
      </c>
      <c r="E1609" s="14">
        <v>0.102006491</v>
      </c>
      <c r="F1609" s="14">
        <v>-3.293267134</v>
      </c>
      <c r="G1609" s="51" t="s">
        <v>8119</v>
      </c>
      <c r="H1609" s="51" t="s">
        <v>8120</v>
      </c>
      <c r="I1609" s="14" t="s">
        <v>147</v>
      </c>
      <c r="J1609" s="14">
        <v>3.866916433</v>
      </c>
      <c r="K1609" s="14">
        <v>1.585697623</v>
      </c>
      <c r="L1609" s="14">
        <v>1.792679928</v>
      </c>
      <c r="M1609" s="14">
        <v>24.75258031</v>
      </c>
      <c r="N1609" s="14">
        <v>22.74790042</v>
      </c>
      <c r="O1609" s="14">
        <v>9.770925929</v>
      </c>
    </row>
    <row r="1610" spans="1:21">
      <c r="A1610" s="14" t="s">
        <v>8121</v>
      </c>
      <c r="B1610" s="14">
        <v>1182.797231</v>
      </c>
      <c r="C1610" s="14">
        <v>2001.179225</v>
      </c>
      <c r="D1610" s="14">
        <v>364.4152379</v>
      </c>
      <c r="E1610" s="14">
        <v>0.182131583</v>
      </c>
      <c r="F1610" s="14">
        <v>-2.456946979</v>
      </c>
      <c r="G1610" s="51" t="s">
        <v>8122</v>
      </c>
      <c r="H1610" s="51" t="s">
        <v>8123</v>
      </c>
      <c r="I1610" s="14" t="s">
        <v>147</v>
      </c>
      <c r="J1610" s="14">
        <v>2.501116075</v>
      </c>
      <c r="K1610" s="14">
        <v>2.382825147</v>
      </c>
      <c r="L1610" s="14">
        <v>2.498344662</v>
      </c>
      <c r="M1610" s="14">
        <v>12.73665811</v>
      </c>
      <c r="N1610" s="14">
        <v>11.69782234</v>
      </c>
      <c r="O1610" s="14">
        <v>8.570665106</v>
      </c>
      <c r="P1610" s="14" t="s">
        <v>8124</v>
      </c>
      <c r="Q1610" s="14" t="s">
        <v>8125</v>
      </c>
      <c r="T1610" s="14" t="s">
        <v>4108</v>
      </c>
      <c r="U1610" s="14" t="s">
        <v>4109</v>
      </c>
    </row>
    <row r="1611" spans="1:15">
      <c r="A1611" s="14" t="s">
        <v>8126</v>
      </c>
      <c r="B1611" s="14">
        <v>367.0405748</v>
      </c>
      <c r="C1611" s="14">
        <v>165.8352827</v>
      </c>
      <c r="D1611" s="14">
        <v>568.2458669</v>
      </c>
      <c r="E1611" s="14">
        <v>3.423093699</v>
      </c>
      <c r="F1611" s="14">
        <v>1.775300783</v>
      </c>
      <c r="G1611" s="14">
        <v>0.000418844</v>
      </c>
      <c r="H1611" s="14">
        <v>0.001700289</v>
      </c>
      <c r="I1611" s="14" t="s">
        <v>164</v>
      </c>
      <c r="J1611" s="14">
        <v>15.36700701</v>
      </c>
      <c r="K1611" s="14">
        <v>15.17496306</v>
      </c>
      <c r="L1611" s="14">
        <v>19.52303895</v>
      </c>
      <c r="M1611" s="14">
        <v>2.559993886</v>
      </c>
      <c r="N1611" s="14">
        <v>1.955270267</v>
      </c>
      <c r="O1611" s="14">
        <v>7.927354999</v>
      </c>
    </row>
    <row r="1612" spans="1:21">
      <c r="A1612" s="14" t="s">
        <v>8127</v>
      </c>
      <c r="B1612" s="14">
        <v>17.10815727</v>
      </c>
      <c r="C1612" s="14">
        <v>6.414743374</v>
      </c>
      <c r="D1612" s="14">
        <v>27.80157118</v>
      </c>
      <c r="E1612" s="14">
        <v>4.343673487</v>
      </c>
      <c r="F1612" s="14">
        <v>2.11891566</v>
      </c>
      <c r="G1612" s="14">
        <v>0.006616177</v>
      </c>
      <c r="H1612" s="14">
        <v>0.018859651</v>
      </c>
      <c r="I1612" s="14" t="s">
        <v>164</v>
      </c>
      <c r="J1612" s="14">
        <v>0.334490589</v>
      </c>
      <c r="K1612" s="14">
        <v>0.100286101</v>
      </c>
      <c r="L1612" s="14">
        <v>0.164458251</v>
      </c>
      <c r="M1612" s="14">
        <v>0.048712915</v>
      </c>
      <c r="N1612" s="14">
        <v>0.023367129</v>
      </c>
      <c r="O1612" s="14">
        <v>0.041702412</v>
      </c>
      <c r="P1612" s="14" t="s">
        <v>8128</v>
      </c>
      <c r="Q1612" s="14" t="s">
        <v>8129</v>
      </c>
      <c r="T1612" s="14" t="s">
        <v>8130</v>
      </c>
      <c r="U1612" s="14" t="s">
        <v>8131</v>
      </c>
    </row>
    <row r="1613" spans="1:21">
      <c r="A1613" s="14" t="s">
        <v>8132</v>
      </c>
      <c r="B1613" s="14">
        <v>203.2478394</v>
      </c>
      <c r="C1613" s="14">
        <v>40.54336949</v>
      </c>
      <c r="D1613" s="14">
        <v>365.9523093</v>
      </c>
      <c r="E1613" s="14">
        <v>9.045690688</v>
      </c>
      <c r="F1613" s="14">
        <v>3.177230665</v>
      </c>
      <c r="G1613" s="51" t="s">
        <v>8133</v>
      </c>
      <c r="H1613" s="51" t="s">
        <v>8134</v>
      </c>
      <c r="I1613" s="14" t="s">
        <v>164</v>
      </c>
      <c r="J1613" s="14">
        <v>4.931863891</v>
      </c>
      <c r="K1613" s="14">
        <v>3.526810231</v>
      </c>
      <c r="L1613" s="14">
        <v>3.712190362</v>
      </c>
      <c r="M1613" s="14">
        <v>0.328928021</v>
      </c>
      <c r="N1613" s="14">
        <v>0.577037506</v>
      </c>
      <c r="O1613" s="14">
        <v>0.183895807</v>
      </c>
      <c r="P1613" s="14" t="s">
        <v>8135</v>
      </c>
      <c r="Q1613" s="14" t="s">
        <v>8136</v>
      </c>
      <c r="T1613" s="14" t="s">
        <v>8137</v>
      </c>
      <c r="U1613" s="14" t="s">
        <v>8138</v>
      </c>
    </row>
    <row r="1614" spans="1:21">
      <c r="A1614" s="14" t="s">
        <v>8139</v>
      </c>
      <c r="B1614" s="14">
        <v>3876.124116</v>
      </c>
      <c r="C1614" s="14">
        <v>5607.67201</v>
      </c>
      <c r="D1614" s="14">
        <v>2144.576221</v>
      </c>
      <c r="E1614" s="14">
        <v>0.382443998</v>
      </c>
      <c r="F1614" s="14">
        <v>-1.386679588</v>
      </c>
      <c r="G1614" s="51" t="s">
        <v>8140</v>
      </c>
      <c r="H1614" s="51" t="s">
        <v>8141</v>
      </c>
      <c r="I1614" s="14" t="s">
        <v>147</v>
      </c>
      <c r="J1614" s="14">
        <v>8.937433465</v>
      </c>
      <c r="K1614" s="14">
        <v>11.75665115</v>
      </c>
      <c r="L1614" s="14">
        <v>8.966345507</v>
      </c>
      <c r="M1614" s="14">
        <v>23.83226527</v>
      </c>
      <c r="N1614" s="14">
        <v>23.76483889</v>
      </c>
      <c r="O1614" s="14">
        <v>15.54855277</v>
      </c>
      <c r="P1614" s="14" t="s">
        <v>8142</v>
      </c>
      <c r="Q1614" s="14" t="s">
        <v>8143</v>
      </c>
      <c r="T1614" s="14" t="s">
        <v>8144</v>
      </c>
      <c r="U1614" s="14" t="s">
        <v>8145</v>
      </c>
    </row>
    <row r="1615" spans="1:21">
      <c r="A1615" s="14" t="s">
        <v>8146</v>
      </c>
      <c r="B1615" s="14">
        <v>178.1102296</v>
      </c>
      <c r="C1615" s="14">
        <v>100.0638042</v>
      </c>
      <c r="D1615" s="14">
        <v>256.1566551</v>
      </c>
      <c r="E1615" s="14">
        <v>2.564297417</v>
      </c>
      <c r="F1615" s="14">
        <v>1.358563601</v>
      </c>
      <c r="G1615" s="51" t="s">
        <v>8147</v>
      </c>
      <c r="H1615" s="51" t="s">
        <v>8148</v>
      </c>
      <c r="I1615" s="14" t="s">
        <v>164</v>
      </c>
      <c r="J1615" s="14">
        <v>8.637787358</v>
      </c>
      <c r="K1615" s="14">
        <v>5.886691811</v>
      </c>
      <c r="L1615" s="14">
        <v>8.778938068</v>
      </c>
      <c r="M1615" s="14">
        <v>2.771416909</v>
      </c>
      <c r="N1615" s="14">
        <v>2.363418225</v>
      </c>
      <c r="O1615" s="14">
        <v>2.309802982</v>
      </c>
      <c r="P1615" s="14" t="s">
        <v>8149</v>
      </c>
      <c r="Q1615" s="14" t="s">
        <v>8150</v>
      </c>
      <c r="T1615" s="14" t="s">
        <v>209</v>
      </c>
      <c r="U1615" s="14" t="s">
        <v>210</v>
      </c>
    </row>
    <row r="1616" spans="1:19">
      <c r="A1616" s="14" t="s">
        <v>8151</v>
      </c>
      <c r="B1616" s="14">
        <v>208.2342219</v>
      </c>
      <c r="C1616" s="14">
        <v>138.5970064</v>
      </c>
      <c r="D1616" s="14">
        <v>277.8714374</v>
      </c>
      <c r="E1616" s="14">
        <v>2.003525528</v>
      </c>
      <c r="F1616" s="14">
        <v>1.002540892</v>
      </c>
      <c r="G1616" s="14">
        <v>0.005628591</v>
      </c>
      <c r="H1616" s="14">
        <v>0.016422948</v>
      </c>
      <c r="I1616" s="14" t="s">
        <v>164</v>
      </c>
      <c r="J1616" s="14">
        <v>4.280854642</v>
      </c>
      <c r="K1616" s="14">
        <v>4.906680954</v>
      </c>
      <c r="L1616" s="14">
        <v>8.105585629</v>
      </c>
      <c r="M1616" s="14">
        <v>1.875150194</v>
      </c>
      <c r="N1616" s="14">
        <v>1.933487471</v>
      </c>
      <c r="O1616" s="14">
        <v>3.377750067</v>
      </c>
      <c r="P1616" s="14" t="s">
        <v>8152</v>
      </c>
      <c r="Q1616" s="14" t="s">
        <v>8153</v>
      </c>
      <c r="R1616" s="14" t="s">
        <v>8154</v>
      </c>
      <c r="S1616" s="14" t="s">
        <v>8155</v>
      </c>
    </row>
    <row r="1617" spans="1:15">
      <c r="A1617" s="14" t="s">
        <v>8156</v>
      </c>
      <c r="B1617" s="14">
        <v>114.3570006</v>
      </c>
      <c r="C1617" s="14">
        <v>71.51047402</v>
      </c>
      <c r="D1617" s="14">
        <v>157.2035271</v>
      </c>
      <c r="E1617" s="14">
        <v>2.191863048</v>
      </c>
      <c r="F1617" s="14">
        <v>1.132157659</v>
      </c>
      <c r="G1617" s="51" t="s">
        <v>8157</v>
      </c>
      <c r="H1617" s="14">
        <v>0.00033716</v>
      </c>
      <c r="I1617" s="14" t="s">
        <v>164</v>
      </c>
      <c r="J1617" s="14">
        <v>2.366938173</v>
      </c>
      <c r="K1617" s="14">
        <v>2.169680223</v>
      </c>
      <c r="L1617" s="14">
        <v>2.170481036</v>
      </c>
      <c r="M1617" s="14">
        <v>0.578611359</v>
      </c>
      <c r="N1617" s="14">
        <v>0.855792898</v>
      </c>
      <c r="O1617" s="14">
        <v>1.108619658</v>
      </c>
    </row>
    <row r="1618" spans="1:21">
      <c r="A1618" s="14" t="s">
        <v>8158</v>
      </c>
      <c r="B1618" s="14">
        <v>11.76576356</v>
      </c>
      <c r="C1618" s="14">
        <v>1.009972965</v>
      </c>
      <c r="D1618" s="14">
        <v>22.52155415</v>
      </c>
      <c r="E1618" s="14">
        <v>22.37527698</v>
      </c>
      <c r="F1618" s="14">
        <v>4.483833636</v>
      </c>
      <c r="G1618" s="51" t="s">
        <v>2299</v>
      </c>
      <c r="H1618" s="51" t="s">
        <v>7734</v>
      </c>
      <c r="I1618" s="14" t="s">
        <v>164</v>
      </c>
      <c r="J1618" s="14">
        <v>0.566147111</v>
      </c>
      <c r="K1618" s="14">
        <v>0.683812774</v>
      </c>
      <c r="L1618" s="14">
        <v>0.681393035</v>
      </c>
      <c r="M1618" s="14">
        <v>0.024219623</v>
      </c>
      <c r="N1618" s="14">
        <v>0.023235853</v>
      </c>
      <c r="O1618" s="14">
        <v>0.023696074</v>
      </c>
      <c r="P1618" s="14" t="s">
        <v>8159</v>
      </c>
      <c r="Q1618" s="14" t="s">
        <v>8160</v>
      </c>
      <c r="T1618" s="14" t="s">
        <v>8161</v>
      </c>
      <c r="U1618" s="14" t="s">
        <v>8162</v>
      </c>
    </row>
    <row r="1619" spans="1:17">
      <c r="A1619" s="14" t="s">
        <v>8163</v>
      </c>
      <c r="B1619" s="14">
        <v>872.7782755</v>
      </c>
      <c r="C1619" s="14">
        <v>145.4515897</v>
      </c>
      <c r="D1619" s="14">
        <v>1600.104961</v>
      </c>
      <c r="E1619" s="14">
        <v>11.01077938</v>
      </c>
      <c r="F1619" s="14">
        <v>3.460844686</v>
      </c>
      <c r="G1619" s="51" t="s">
        <v>8164</v>
      </c>
      <c r="H1619" s="51" t="s">
        <v>8165</v>
      </c>
      <c r="I1619" s="14" t="s">
        <v>164</v>
      </c>
      <c r="J1619" s="14">
        <v>41.99048915</v>
      </c>
      <c r="K1619" s="14">
        <v>32.09138248</v>
      </c>
      <c r="L1619" s="14">
        <v>25.31852452</v>
      </c>
      <c r="M1619" s="14">
        <v>2.8650073</v>
      </c>
      <c r="N1619" s="14">
        <v>3.440008662</v>
      </c>
      <c r="O1619" s="14">
        <v>0.963019673</v>
      </c>
      <c r="P1619" s="14" t="s">
        <v>8166</v>
      </c>
      <c r="Q1619" s="14" t="s">
        <v>8167</v>
      </c>
    </row>
    <row r="1620" spans="1:21">
      <c r="A1620" s="14" t="s">
        <v>8168</v>
      </c>
      <c r="B1620" s="14">
        <v>1337.524164</v>
      </c>
      <c r="C1620" s="14">
        <v>875.1387111</v>
      </c>
      <c r="D1620" s="14">
        <v>1799.909616</v>
      </c>
      <c r="E1620" s="14">
        <v>2.056082374</v>
      </c>
      <c r="F1620" s="14">
        <v>1.039898065</v>
      </c>
      <c r="G1620" s="14">
        <v>0.000614945</v>
      </c>
      <c r="H1620" s="14">
        <v>0.002385975</v>
      </c>
      <c r="I1620" s="14" t="s">
        <v>164</v>
      </c>
      <c r="J1620" s="14">
        <v>35.73548493</v>
      </c>
      <c r="K1620" s="14">
        <v>26.45248874</v>
      </c>
      <c r="L1620" s="14">
        <v>26.47966153</v>
      </c>
      <c r="M1620" s="14">
        <v>9.008235074</v>
      </c>
      <c r="N1620" s="14">
        <v>8.949555656</v>
      </c>
      <c r="O1620" s="14">
        <v>18.24000742</v>
      </c>
      <c r="P1620" s="14" t="s">
        <v>8169</v>
      </c>
      <c r="Q1620" s="14" t="s">
        <v>8170</v>
      </c>
      <c r="T1620" s="14" t="s">
        <v>8171</v>
      </c>
      <c r="U1620" s="14" t="s">
        <v>8172</v>
      </c>
    </row>
    <row r="1621" spans="1:21">
      <c r="A1621" s="14" t="s">
        <v>8173</v>
      </c>
      <c r="B1621" s="14">
        <v>135.4409353</v>
      </c>
      <c r="C1621" s="14">
        <v>82.4780304</v>
      </c>
      <c r="D1621" s="14">
        <v>188.4038401</v>
      </c>
      <c r="E1621" s="14">
        <v>2.285145771</v>
      </c>
      <c r="F1621" s="14">
        <v>1.192286199</v>
      </c>
      <c r="G1621" s="51" t="s">
        <v>8174</v>
      </c>
      <c r="H1621" s="51" t="s">
        <v>8175</v>
      </c>
      <c r="I1621" s="14" t="s">
        <v>164</v>
      </c>
      <c r="J1621" s="14">
        <v>2.74673826</v>
      </c>
      <c r="K1621" s="14">
        <v>2.795564316</v>
      </c>
      <c r="L1621" s="14">
        <v>3.220913936</v>
      </c>
      <c r="M1621" s="14">
        <v>0.98467655</v>
      </c>
      <c r="N1621" s="14">
        <v>1.045446143</v>
      </c>
      <c r="O1621" s="14">
        <v>1.13037881</v>
      </c>
      <c r="P1621" s="14" t="s">
        <v>8176</v>
      </c>
      <c r="Q1621" s="14" t="s">
        <v>8177</v>
      </c>
      <c r="T1621" s="14" t="s">
        <v>4373</v>
      </c>
      <c r="U1621" s="14" t="s">
        <v>4374</v>
      </c>
    </row>
    <row r="1622" spans="1:15">
      <c r="A1622" s="14" t="s">
        <v>8178</v>
      </c>
      <c r="B1622" s="14">
        <v>474.6683567</v>
      </c>
      <c r="C1622" s="14">
        <v>929.2407199</v>
      </c>
      <c r="D1622" s="14">
        <v>20.09599356</v>
      </c>
      <c r="E1622" s="14">
        <v>0.021595519</v>
      </c>
      <c r="F1622" s="14">
        <v>-5.533124172</v>
      </c>
      <c r="G1622" s="51" t="s">
        <v>8179</v>
      </c>
      <c r="H1622" s="51" t="s">
        <v>8180</v>
      </c>
      <c r="I1622" s="14" t="s">
        <v>147</v>
      </c>
      <c r="J1622" s="14">
        <v>0.394022291</v>
      </c>
      <c r="K1622" s="14">
        <v>0.396595205</v>
      </c>
      <c r="L1622" s="14">
        <v>0.205499743</v>
      </c>
      <c r="M1622" s="14">
        <v>15.5779097</v>
      </c>
      <c r="N1622" s="14">
        <v>16.84530541</v>
      </c>
      <c r="O1622" s="14">
        <v>4.631445311</v>
      </c>
    </row>
    <row r="1623" spans="1:21">
      <c r="A1623" s="14" t="s">
        <v>8181</v>
      </c>
      <c r="B1623" s="14">
        <v>839.6066091</v>
      </c>
      <c r="C1623" s="14">
        <v>1148.319259</v>
      </c>
      <c r="D1623" s="14">
        <v>530.8939589</v>
      </c>
      <c r="E1623" s="14">
        <v>0.462427195</v>
      </c>
      <c r="F1623" s="14">
        <v>-1.11270185</v>
      </c>
      <c r="G1623" s="51" t="s">
        <v>458</v>
      </c>
      <c r="H1623" s="51" t="s">
        <v>8182</v>
      </c>
      <c r="I1623" s="14" t="s">
        <v>147</v>
      </c>
      <c r="J1623" s="14">
        <v>16.95413034</v>
      </c>
      <c r="K1623" s="14">
        <v>16.03060596</v>
      </c>
      <c r="L1623" s="14">
        <v>15.59681163</v>
      </c>
      <c r="M1623" s="14">
        <v>31.85601522</v>
      </c>
      <c r="N1623" s="14">
        <v>31.20704332</v>
      </c>
      <c r="O1623" s="14">
        <v>22.59129907</v>
      </c>
      <c r="P1623" s="14" t="s">
        <v>8183</v>
      </c>
      <c r="Q1623" s="14" t="s">
        <v>8184</v>
      </c>
      <c r="T1623" s="14" t="s">
        <v>8185</v>
      </c>
      <c r="U1623" s="14" t="s">
        <v>8186</v>
      </c>
    </row>
    <row r="1624" spans="1:21">
      <c r="A1624" s="14" t="s">
        <v>8187</v>
      </c>
      <c r="B1624" s="14">
        <v>5378.183074</v>
      </c>
      <c r="C1624" s="14">
        <v>7317.96821</v>
      </c>
      <c r="D1624" s="14">
        <v>3438.397938</v>
      </c>
      <c r="E1624" s="14">
        <v>0.469874289</v>
      </c>
      <c r="F1624" s="14">
        <v>-1.089653267</v>
      </c>
      <c r="G1624" s="51" t="s">
        <v>8188</v>
      </c>
      <c r="H1624" s="51" t="s">
        <v>4442</v>
      </c>
      <c r="I1624" s="14" t="s">
        <v>147</v>
      </c>
      <c r="J1624" s="14">
        <v>38.98400289</v>
      </c>
      <c r="K1624" s="14">
        <v>49.32701462</v>
      </c>
      <c r="L1624" s="14">
        <v>44.28013847</v>
      </c>
      <c r="M1624" s="14">
        <v>83.10840231</v>
      </c>
      <c r="N1624" s="14">
        <v>80.39124735</v>
      </c>
      <c r="O1624" s="14">
        <v>67.29258021</v>
      </c>
      <c r="P1624" s="14" t="s">
        <v>8189</v>
      </c>
      <c r="Q1624" s="14" t="s">
        <v>8190</v>
      </c>
      <c r="T1624" s="14" t="s">
        <v>8191</v>
      </c>
      <c r="U1624" s="14" t="s">
        <v>8192</v>
      </c>
    </row>
    <row r="1625" spans="1:15">
      <c r="A1625" s="14" t="s">
        <v>8193</v>
      </c>
      <c r="B1625" s="14">
        <v>18.1877978</v>
      </c>
      <c r="C1625" s="14">
        <v>32.50475485</v>
      </c>
      <c r="D1625" s="14">
        <v>3.870840754</v>
      </c>
      <c r="E1625" s="14">
        <v>0.119776336</v>
      </c>
      <c r="F1625" s="14">
        <v>-3.061585184</v>
      </c>
      <c r="G1625" s="51" t="s">
        <v>7702</v>
      </c>
      <c r="H1625" s="14">
        <v>0.000271258</v>
      </c>
      <c r="I1625" s="14" t="s">
        <v>147</v>
      </c>
      <c r="J1625" s="14">
        <v>0.360845066</v>
      </c>
      <c r="K1625" s="14">
        <v>0.072640268</v>
      </c>
      <c r="L1625" s="14">
        <v>0.416927363</v>
      </c>
      <c r="M1625" s="14">
        <v>1.481938208</v>
      </c>
      <c r="N1625" s="14">
        <v>2.488051608</v>
      </c>
      <c r="O1625" s="14">
        <v>1.872792024</v>
      </c>
    </row>
    <row r="1626" spans="1:15">
      <c r="A1626" s="14" t="s">
        <v>8194</v>
      </c>
      <c r="B1626" s="14">
        <v>259.6121747</v>
      </c>
      <c r="C1626" s="14">
        <v>148.5686195</v>
      </c>
      <c r="D1626" s="14">
        <v>370.6557299</v>
      </c>
      <c r="E1626" s="14">
        <v>2.493556682</v>
      </c>
      <c r="F1626" s="14">
        <v>1.318204998</v>
      </c>
      <c r="G1626" s="14">
        <v>0.012601719</v>
      </c>
      <c r="H1626" s="14">
        <v>0.032860249</v>
      </c>
      <c r="I1626" s="14" t="s">
        <v>164</v>
      </c>
      <c r="J1626" s="14">
        <v>19.01666718</v>
      </c>
      <c r="K1626" s="14">
        <v>5.074707629</v>
      </c>
      <c r="L1626" s="14">
        <v>13.9769935</v>
      </c>
      <c r="M1626" s="14">
        <v>3.010922074</v>
      </c>
      <c r="N1626" s="14">
        <v>3.416351345</v>
      </c>
      <c r="O1626" s="14">
        <v>6.344876866</v>
      </c>
    </row>
    <row r="1627" spans="1:21">
      <c r="A1627" s="14" t="s">
        <v>8195</v>
      </c>
      <c r="B1627" s="14">
        <v>79.23335697</v>
      </c>
      <c r="C1627" s="14">
        <v>29.02170286</v>
      </c>
      <c r="D1627" s="14">
        <v>129.4450111</v>
      </c>
      <c r="E1627" s="14">
        <v>4.444787331</v>
      </c>
      <c r="F1627" s="14">
        <v>2.152114392</v>
      </c>
      <c r="G1627" s="14">
        <v>0.002438009</v>
      </c>
      <c r="H1627" s="14">
        <v>0.007948068</v>
      </c>
      <c r="I1627" s="14" t="s">
        <v>164</v>
      </c>
      <c r="J1627" s="14">
        <v>3.5009649</v>
      </c>
      <c r="K1627" s="14">
        <v>1.335344493</v>
      </c>
      <c r="L1627" s="14">
        <v>2.395114639</v>
      </c>
      <c r="M1627" s="14">
        <v>0.252244801</v>
      </c>
      <c r="N1627" s="14">
        <v>0.181499205</v>
      </c>
      <c r="O1627" s="14">
        <v>0.956319331</v>
      </c>
      <c r="P1627" s="14" t="s">
        <v>8196</v>
      </c>
      <c r="Q1627" s="14" t="s">
        <v>8197</v>
      </c>
      <c r="T1627" s="14" t="s">
        <v>8198</v>
      </c>
      <c r="U1627" s="14" t="s">
        <v>8199</v>
      </c>
    </row>
    <row r="1628" spans="1:21">
      <c r="A1628" s="14" t="s">
        <v>8200</v>
      </c>
      <c r="B1628" s="14">
        <v>880.9555647</v>
      </c>
      <c r="C1628" s="14">
        <v>1401.26515</v>
      </c>
      <c r="D1628" s="14">
        <v>360.6459792</v>
      </c>
      <c r="E1628" s="14">
        <v>0.257403695</v>
      </c>
      <c r="F1628" s="14">
        <v>-1.957895331</v>
      </c>
      <c r="G1628" s="51" t="s">
        <v>8201</v>
      </c>
      <c r="H1628" s="51" t="s">
        <v>8202</v>
      </c>
      <c r="I1628" s="14" t="s">
        <v>147</v>
      </c>
      <c r="J1628" s="14">
        <v>10.83837889</v>
      </c>
      <c r="K1628" s="14">
        <v>13.62804846</v>
      </c>
      <c r="L1628" s="14">
        <v>11.94489369</v>
      </c>
      <c r="M1628" s="14">
        <v>43.68418574</v>
      </c>
      <c r="N1628" s="14">
        <v>43.85335316</v>
      </c>
      <c r="O1628" s="14">
        <v>27.46965192</v>
      </c>
      <c r="P1628" s="14" t="s">
        <v>8203</v>
      </c>
      <c r="Q1628" s="14" t="s">
        <v>8204</v>
      </c>
      <c r="T1628" s="14" t="s">
        <v>8205</v>
      </c>
      <c r="U1628" s="14" t="s">
        <v>8206</v>
      </c>
    </row>
    <row r="1629" spans="1:21">
      <c r="A1629" s="14" t="s">
        <v>8207</v>
      </c>
      <c r="B1629" s="14">
        <v>375.3833464</v>
      </c>
      <c r="C1629" s="14">
        <v>171.5183246</v>
      </c>
      <c r="D1629" s="14">
        <v>579.2483682</v>
      </c>
      <c r="E1629" s="14">
        <v>3.380715388</v>
      </c>
      <c r="F1629" s="14">
        <v>1.757328565</v>
      </c>
      <c r="G1629" s="51" t="s">
        <v>8208</v>
      </c>
      <c r="H1629" s="51" t="s">
        <v>4323</v>
      </c>
      <c r="I1629" s="14" t="s">
        <v>164</v>
      </c>
      <c r="J1629" s="14">
        <v>6.047971378</v>
      </c>
      <c r="K1629" s="14">
        <v>4.329486573</v>
      </c>
      <c r="L1629" s="14">
        <v>5.939572651</v>
      </c>
      <c r="M1629" s="14">
        <v>1.359229949</v>
      </c>
      <c r="N1629" s="14">
        <v>1.631931173</v>
      </c>
      <c r="O1629" s="14">
        <v>0.933226525</v>
      </c>
      <c r="P1629" s="14" t="s">
        <v>8209</v>
      </c>
      <c r="Q1629" s="14" t="s">
        <v>8210</v>
      </c>
      <c r="T1629" s="14" t="s">
        <v>8211</v>
      </c>
      <c r="U1629" s="14" t="s">
        <v>8212</v>
      </c>
    </row>
    <row r="1630" spans="1:21">
      <c r="A1630" s="14" t="s">
        <v>8213</v>
      </c>
      <c r="B1630" s="14">
        <v>12503.27825</v>
      </c>
      <c r="C1630" s="14">
        <v>17695.6307</v>
      </c>
      <c r="D1630" s="14">
        <v>7310.925806</v>
      </c>
      <c r="E1630" s="14">
        <v>0.413143717</v>
      </c>
      <c r="F1630" s="14">
        <v>-1.275284367</v>
      </c>
      <c r="G1630" s="51" t="s">
        <v>8214</v>
      </c>
      <c r="H1630" s="51" t="s">
        <v>8215</v>
      </c>
      <c r="I1630" s="14" t="s">
        <v>147</v>
      </c>
      <c r="J1630" s="14">
        <v>55.18665535</v>
      </c>
      <c r="K1630" s="14">
        <v>52.85674599</v>
      </c>
      <c r="L1630" s="14">
        <v>47.6033695</v>
      </c>
      <c r="M1630" s="14">
        <v>104.623333</v>
      </c>
      <c r="N1630" s="14">
        <v>97.98917917</v>
      </c>
      <c r="O1630" s="14">
        <v>107.6431912</v>
      </c>
      <c r="P1630" s="14" t="s">
        <v>8216</v>
      </c>
      <c r="Q1630" s="14" t="s">
        <v>8217</v>
      </c>
      <c r="T1630" s="14" t="s">
        <v>8218</v>
      </c>
      <c r="U1630" s="14" t="s">
        <v>8219</v>
      </c>
    </row>
    <row r="1631" spans="1:15">
      <c r="A1631" s="14" t="s">
        <v>8220</v>
      </c>
      <c r="B1631" s="14">
        <v>25.14002724</v>
      </c>
      <c r="C1631" s="14">
        <v>12.87260222</v>
      </c>
      <c r="D1631" s="14">
        <v>37.40745225</v>
      </c>
      <c r="E1631" s="14">
        <v>2.889395003</v>
      </c>
      <c r="F1631" s="14">
        <v>1.530767445</v>
      </c>
      <c r="G1631" s="14">
        <v>0.005289121</v>
      </c>
      <c r="H1631" s="14">
        <v>0.015549613</v>
      </c>
      <c r="I1631" s="14" t="s">
        <v>164</v>
      </c>
      <c r="J1631" s="14">
        <v>2.860686566</v>
      </c>
      <c r="K1631" s="14">
        <v>2.159524857</v>
      </c>
      <c r="L1631" s="14">
        <v>1.721506531</v>
      </c>
      <c r="M1631" s="14">
        <v>0.356939956</v>
      </c>
      <c r="N1631" s="14">
        <v>0.733803239</v>
      </c>
      <c r="O1631" s="14">
        <v>0.848115597</v>
      </c>
    </row>
    <row r="1632" spans="1:21">
      <c r="A1632" s="14" t="s">
        <v>8221</v>
      </c>
      <c r="B1632" s="14">
        <v>236.5146375</v>
      </c>
      <c r="C1632" s="14">
        <v>373.3009615</v>
      </c>
      <c r="D1632" s="14">
        <v>99.72831357</v>
      </c>
      <c r="E1632" s="14">
        <v>0.266881469</v>
      </c>
      <c r="F1632" s="14">
        <v>-1.90572896</v>
      </c>
      <c r="G1632" s="51" t="s">
        <v>8222</v>
      </c>
      <c r="H1632" s="51" t="s">
        <v>8223</v>
      </c>
      <c r="I1632" s="14" t="s">
        <v>147</v>
      </c>
      <c r="J1632" s="14">
        <v>3.196291509</v>
      </c>
      <c r="K1632" s="14">
        <v>4.878774471</v>
      </c>
      <c r="L1632" s="14">
        <v>2.502621028</v>
      </c>
      <c r="M1632" s="14">
        <v>10.30782875</v>
      </c>
      <c r="N1632" s="14">
        <v>11.0712215</v>
      </c>
      <c r="O1632" s="14">
        <v>11.31990567</v>
      </c>
      <c r="P1632" s="14" t="s">
        <v>8224</v>
      </c>
      <c r="Q1632" s="14" t="s">
        <v>8225</v>
      </c>
      <c r="T1632" s="14" t="s">
        <v>8226</v>
      </c>
      <c r="U1632" s="14" t="s">
        <v>8227</v>
      </c>
    </row>
    <row r="1633" spans="1:21">
      <c r="A1633" s="14" t="s">
        <v>8228</v>
      </c>
      <c r="B1633" s="14">
        <v>166.8287245</v>
      </c>
      <c r="C1633" s="14">
        <v>223.455989</v>
      </c>
      <c r="D1633" s="14">
        <v>110.20146</v>
      </c>
      <c r="E1633" s="14">
        <v>0.493627981</v>
      </c>
      <c r="F1633" s="14">
        <v>-1.018503919</v>
      </c>
      <c r="G1633" s="14">
        <v>0.003995225</v>
      </c>
      <c r="H1633" s="14">
        <v>0.012200746</v>
      </c>
      <c r="I1633" s="14" t="s">
        <v>147</v>
      </c>
      <c r="J1633" s="14">
        <v>1.021673774</v>
      </c>
      <c r="K1633" s="14">
        <v>1.221159889</v>
      </c>
      <c r="L1633" s="14">
        <v>1.311624024</v>
      </c>
      <c r="M1633" s="14">
        <v>2.176241055</v>
      </c>
      <c r="N1633" s="14">
        <v>2.358653269</v>
      </c>
      <c r="O1633" s="14">
        <v>1.30959026</v>
      </c>
      <c r="P1633" s="14" t="s">
        <v>8229</v>
      </c>
      <c r="Q1633" s="14" t="s">
        <v>8230</v>
      </c>
      <c r="T1633" s="14" t="s">
        <v>8231</v>
      </c>
      <c r="U1633" s="14" t="s">
        <v>8232</v>
      </c>
    </row>
    <row r="1634" spans="1:21">
      <c r="A1634" s="14" t="s">
        <v>8233</v>
      </c>
      <c r="B1634" s="14">
        <v>246.3287122</v>
      </c>
      <c r="C1634" s="14">
        <v>335.0123357</v>
      </c>
      <c r="D1634" s="14">
        <v>157.6450886</v>
      </c>
      <c r="E1634" s="14">
        <v>0.470836453</v>
      </c>
      <c r="F1634" s="14">
        <v>-1.086702075</v>
      </c>
      <c r="G1634" s="14">
        <v>0.01063084</v>
      </c>
      <c r="H1634" s="14">
        <v>0.028454868</v>
      </c>
      <c r="I1634" s="14" t="s">
        <v>147</v>
      </c>
      <c r="J1634" s="14">
        <v>1.082749351</v>
      </c>
      <c r="K1634" s="14">
        <v>0.965662904</v>
      </c>
      <c r="L1634" s="14">
        <v>1.227275799</v>
      </c>
      <c r="M1634" s="14">
        <v>2.128362293</v>
      </c>
      <c r="N1634" s="14">
        <v>2.491918864</v>
      </c>
      <c r="O1634" s="14">
        <v>0.992416641</v>
      </c>
      <c r="P1634" s="14" t="s">
        <v>8234</v>
      </c>
      <c r="Q1634" s="14" t="s">
        <v>8235</v>
      </c>
      <c r="T1634" s="14" t="s">
        <v>8236</v>
      </c>
      <c r="U1634" s="14" t="s">
        <v>8237</v>
      </c>
    </row>
    <row r="1635" spans="1:15">
      <c r="A1635" s="14" t="s">
        <v>8238</v>
      </c>
      <c r="B1635" s="14">
        <v>101.4280407</v>
      </c>
      <c r="C1635" s="14">
        <v>142.2784782</v>
      </c>
      <c r="D1635" s="14">
        <v>60.57760319</v>
      </c>
      <c r="E1635" s="14">
        <v>0.425689927</v>
      </c>
      <c r="F1635" s="14">
        <v>-1.232125143</v>
      </c>
      <c r="G1635" s="51" t="s">
        <v>8239</v>
      </c>
      <c r="H1635" s="51" t="s">
        <v>8240</v>
      </c>
      <c r="I1635" s="14" t="s">
        <v>147</v>
      </c>
      <c r="J1635" s="14">
        <v>0.56301605</v>
      </c>
      <c r="K1635" s="14">
        <v>0.619163996</v>
      </c>
      <c r="L1635" s="14">
        <v>0.732838465</v>
      </c>
      <c r="M1635" s="14">
        <v>1.05263331</v>
      </c>
      <c r="N1635" s="14">
        <v>1.16392568</v>
      </c>
      <c r="O1635" s="14">
        <v>1.509907033</v>
      </c>
    </row>
    <row r="1636" spans="1:21">
      <c r="A1636" s="14" t="s">
        <v>8241</v>
      </c>
      <c r="B1636" s="14">
        <v>3621.877034</v>
      </c>
      <c r="C1636" s="14">
        <v>660.7992645</v>
      </c>
      <c r="D1636" s="14">
        <v>6582.954803</v>
      </c>
      <c r="E1636" s="14">
        <v>9.963450214</v>
      </c>
      <c r="F1636" s="14">
        <v>3.316645415</v>
      </c>
      <c r="G1636" s="51" t="s">
        <v>8242</v>
      </c>
      <c r="H1636" s="51" t="s">
        <v>8243</v>
      </c>
      <c r="I1636" s="14" t="s">
        <v>164</v>
      </c>
      <c r="J1636" s="14">
        <v>177.0968269</v>
      </c>
      <c r="K1636" s="14">
        <v>175.1725027</v>
      </c>
      <c r="L1636" s="14">
        <v>119.8694725</v>
      </c>
      <c r="M1636" s="14">
        <v>11.83520514</v>
      </c>
      <c r="N1636" s="14">
        <v>15.56127777</v>
      </c>
      <c r="O1636" s="14">
        <v>11.49991956</v>
      </c>
      <c r="P1636" s="14" t="s">
        <v>8244</v>
      </c>
      <c r="Q1636" s="14" t="s">
        <v>8245</v>
      </c>
      <c r="T1636" s="14" t="s">
        <v>8246</v>
      </c>
      <c r="U1636" s="14" t="s">
        <v>8247</v>
      </c>
    </row>
    <row r="1637" spans="1:21">
      <c r="A1637" s="14" t="s">
        <v>8248</v>
      </c>
      <c r="B1637" s="14">
        <v>196.9884971</v>
      </c>
      <c r="C1637" s="14">
        <v>41.6003307</v>
      </c>
      <c r="D1637" s="14">
        <v>352.3766636</v>
      </c>
      <c r="E1637" s="14">
        <v>8.484991517</v>
      </c>
      <c r="F1637" s="14">
        <v>3.084913217</v>
      </c>
      <c r="G1637" s="51" t="s">
        <v>8249</v>
      </c>
      <c r="H1637" s="51" t="s">
        <v>8250</v>
      </c>
      <c r="I1637" s="14" t="s">
        <v>164</v>
      </c>
      <c r="J1637" s="14">
        <v>26.3113291</v>
      </c>
      <c r="K1637" s="14">
        <v>23.66169046</v>
      </c>
      <c r="L1637" s="14">
        <v>17.9115829</v>
      </c>
      <c r="M1637" s="14">
        <v>1.907782521</v>
      </c>
      <c r="N1637" s="14">
        <v>3.033053389</v>
      </c>
      <c r="O1637" s="14">
        <v>1.59989352</v>
      </c>
      <c r="P1637" s="14" t="s">
        <v>8244</v>
      </c>
      <c r="Q1637" s="14" t="s">
        <v>8245</v>
      </c>
      <c r="T1637" s="14" t="s">
        <v>8246</v>
      </c>
      <c r="U1637" s="14" t="s">
        <v>8247</v>
      </c>
    </row>
    <row r="1638" spans="1:15">
      <c r="A1638" s="14" t="s">
        <v>8251</v>
      </c>
      <c r="B1638" s="14">
        <v>804.3078284</v>
      </c>
      <c r="C1638" s="14">
        <v>284.4842618</v>
      </c>
      <c r="D1638" s="14">
        <v>1324.131395</v>
      </c>
      <c r="E1638" s="14">
        <v>4.654936455</v>
      </c>
      <c r="F1638" s="14">
        <v>2.218761474</v>
      </c>
      <c r="G1638" s="51" t="s">
        <v>4365</v>
      </c>
      <c r="H1638" s="51" t="s">
        <v>7896</v>
      </c>
      <c r="I1638" s="14" t="s">
        <v>164</v>
      </c>
      <c r="J1638" s="14">
        <v>272.8748376</v>
      </c>
      <c r="K1638" s="14">
        <v>122.0968202</v>
      </c>
      <c r="L1638" s="14">
        <v>91.28514895</v>
      </c>
      <c r="M1638" s="14">
        <v>29.01479018</v>
      </c>
      <c r="N1638" s="14">
        <v>29.63213344</v>
      </c>
      <c r="O1638" s="14">
        <v>27.26836061</v>
      </c>
    </row>
    <row r="1639" spans="1:21">
      <c r="A1639" s="14" t="s">
        <v>8252</v>
      </c>
      <c r="B1639" s="14">
        <v>16.11888384</v>
      </c>
      <c r="C1639" s="14">
        <v>30.9208428</v>
      </c>
      <c r="D1639" s="14">
        <v>1.316924887</v>
      </c>
      <c r="E1639" s="14">
        <v>0.042480121</v>
      </c>
      <c r="F1639" s="14">
        <v>-4.5570683</v>
      </c>
      <c r="G1639" s="14">
        <v>0.000381116</v>
      </c>
      <c r="H1639" s="14">
        <v>0.001564244</v>
      </c>
      <c r="I1639" s="14" t="s">
        <v>147</v>
      </c>
      <c r="J1639" s="14">
        <v>0.023171322</v>
      </c>
      <c r="K1639" s="14">
        <v>0.046645255</v>
      </c>
      <c r="L1639" s="14">
        <v>0.022310494</v>
      </c>
      <c r="M1639" s="14">
        <v>0.753359892</v>
      </c>
      <c r="N1639" s="14">
        <v>0.893939231</v>
      </c>
      <c r="O1639" s="14">
        <v>0.07758681</v>
      </c>
      <c r="P1639" s="14" t="s">
        <v>8253</v>
      </c>
      <c r="Q1639" s="14" t="s">
        <v>8254</v>
      </c>
      <c r="R1639" s="14" t="s">
        <v>556</v>
      </c>
      <c r="S1639" s="14" t="s">
        <v>557</v>
      </c>
      <c r="T1639" s="14" t="s">
        <v>558</v>
      </c>
      <c r="U1639" s="14" t="s">
        <v>559</v>
      </c>
    </row>
    <row r="1640" spans="1:21">
      <c r="A1640" s="14" t="s">
        <v>8255</v>
      </c>
      <c r="B1640" s="14">
        <v>1153.554817</v>
      </c>
      <c r="C1640" s="14">
        <v>1562.696871</v>
      </c>
      <c r="D1640" s="14">
        <v>744.4127628</v>
      </c>
      <c r="E1640" s="14">
        <v>0.47634703</v>
      </c>
      <c r="F1640" s="14">
        <v>-1.069915101</v>
      </c>
      <c r="G1640" s="51" t="s">
        <v>8256</v>
      </c>
      <c r="H1640" s="51" t="s">
        <v>8257</v>
      </c>
      <c r="I1640" s="14" t="s">
        <v>147</v>
      </c>
      <c r="J1640" s="14">
        <v>9.104526588</v>
      </c>
      <c r="K1640" s="14">
        <v>7.338072577</v>
      </c>
      <c r="L1640" s="14">
        <v>9.304569162</v>
      </c>
      <c r="M1640" s="14">
        <v>13.11963739</v>
      </c>
      <c r="N1640" s="14">
        <v>13.76674089</v>
      </c>
      <c r="O1640" s="14">
        <v>17.85965945</v>
      </c>
      <c r="P1640" s="14" t="s">
        <v>8258</v>
      </c>
      <c r="Q1640" s="14" t="s">
        <v>8259</v>
      </c>
      <c r="R1640" s="14" t="s">
        <v>8260</v>
      </c>
      <c r="S1640" s="14" t="s">
        <v>8261</v>
      </c>
      <c r="T1640" s="14" t="s">
        <v>8262</v>
      </c>
      <c r="U1640" s="14" t="s">
        <v>8263</v>
      </c>
    </row>
    <row r="1641" spans="1:15">
      <c r="A1641" s="14" t="s">
        <v>8264</v>
      </c>
      <c r="B1641" s="14">
        <v>94.0111713</v>
      </c>
      <c r="C1641" s="14">
        <v>4.997057429</v>
      </c>
      <c r="D1641" s="14">
        <v>183.0252852</v>
      </c>
      <c r="E1641" s="14">
        <v>36.50402178</v>
      </c>
      <c r="F1641" s="14">
        <v>5.189983514</v>
      </c>
      <c r="G1641" s="51" t="s">
        <v>8265</v>
      </c>
      <c r="H1641" s="51" t="s">
        <v>8266</v>
      </c>
      <c r="I1641" s="14" t="s">
        <v>164</v>
      </c>
      <c r="J1641" s="14">
        <v>6.830644639</v>
      </c>
      <c r="K1641" s="14">
        <v>2.381782294</v>
      </c>
      <c r="L1641" s="14">
        <v>4.321951256</v>
      </c>
      <c r="M1641" s="14">
        <v>0.083489477</v>
      </c>
      <c r="N1641" s="14">
        <v>0.100122801</v>
      </c>
      <c r="O1641" s="14">
        <v>0.122527057</v>
      </c>
    </row>
    <row r="1642" spans="1:15">
      <c r="A1642" s="14" t="s">
        <v>8267</v>
      </c>
      <c r="B1642" s="14">
        <v>237.2101984</v>
      </c>
      <c r="C1642" s="14">
        <v>65.52595537</v>
      </c>
      <c r="D1642" s="14">
        <v>408.8944415</v>
      </c>
      <c r="E1642" s="14">
        <v>6.241263782</v>
      </c>
      <c r="F1642" s="14">
        <v>2.641838187</v>
      </c>
      <c r="G1642" s="51" t="s">
        <v>8268</v>
      </c>
      <c r="H1642" s="51" t="s">
        <v>8269</v>
      </c>
      <c r="I1642" s="14" t="s">
        <v>164</v>
      </c>
      <c r="J1642" s="14">
        <v>11.45659532</v>
      </c>
      <c r="K1642" s="14">
        <v>9.273677603</v>
      </c>
      <c r="L1642" s="14">
        <v>9.126681492</v>
      </c>
      <c r="M1642" s="14">
        <v>0.907993471</v>
      </c>
      <c r="N1642" s="14">
        <v>1.940203865</v>
      </c>
      <c r="O1642" s="14">
        <v>1.070076736</v>
      </c>
    </row>
    <row r="1643" spans="1:21">
      <c r="A1643" s="14" t="s">
        <v>8270</v>
      </c>
      <c r="B1643" s="14">
        <v>35.09295344</v>
      </c>
      <c r="C1643" s="14">
        <v>7.341245033</v>
      </c>
      <c r="D1643" s="14">
        <v>62.84466185</v>
      </c>
      <c r="E1643" s="14">
        <v>8.455104009</v>
      </c>
      <c r="F1643" s="14">
        <v>3.079822502</v>
      </c>
      <c r="G1643" s="14">
        <v>0.000175309</v>
      </c>
      <c r="H1643" s="14">
        <v>0.000782455</v>
      </c>
      <c r="I1643" s="14" t="s">
        <v>164</v>
      </c>
      <c r="J1643" s="14">
        <v>1.058394379</v>
      </c>
      <c r="K1643" s="14">
        <v>0.599999681</v>
      </c>
      <c r="L1643" s="14">
        <v>0.655955957</v>
      </c>
      <c r="M1643" s="14">
        <v>0.010408697</v>
      </c>
      <c r="N1643" s="14">
        <v>0.059915453</v>
      </c>
      <c r="O1643" s="14">
        <v>0.162939112</v>
      </c>
      <c r="P1643" s="14" t="s">
        <v>7681</v>
      </c>
      <c r="Q1643" s="14" t="s">
        <v>7682</v>
      </c>
      <c r="T1643" s="14" t="s">
        <v>7683</v>
      </c>
      <c r="U1643" s="14" t="s">
        <v>7684</v>
      </c>
    </row>
    <row r="1644" spans="1:21">
      <c r="A1644" s="14" t="s">
        <v>8271</v>
      </c>
      <c r="B1644" s="14">
        <v>402.3121648</v>
      </c>
      <c r="C1644" s="14">
        <v>78.72627542</v>
      </c>
      <c r="D1644" s="14">
        <v>725.8980542</v>
      </c>
      <c r="E1644" s="14">
        <v>9.224134317</v>
      </c>
      <c r="F1644" s="14">
        <v>3.205413521</v>
      </c>
      <c r="G1644" s="51" t="s">
        <v>562</v>
      </c>
      <c r="H1644" s="51" t="s">
        <v>8272</v>
      </c>
      <c r="I1644" s="14" t="s">
        <v>164</v>
      </c>
      <c r="J1644" s="14">
        <v>14.27840533</v>
      </c>
      <c r="K1644" s="14">
        <v>4.493706767</v>
      </c>
      <c r="L1644" s="14">
        <v>11.2185406</v>
      </c>
      <c r="M1644" s="14">
        <v>0.628877511</v>
      </c>
      <c r="N1644" s="14">
        <v>1.441296245</v>
      </c>
      <c r="O1644" s="14">
        <v>0.569706681</v>
      </c>
      <c r="P1644" s="14" t="s">
        <v>8273</v>
      </c>
      <c r="Q1644" s="14" t="s">
        <v>8274</v>
      </c>
      <c r="R1644" s="14" t="s">
        <v>4959</v>
      </c>
      <c r="S1644" s="14" t="s">
        <v>4960</v>
      </c>
      <c r="T1644" s="14" t="s">
        <v>8275</v>
      </c>
      <c r="U1644" s="14" t="s">
        <v>8276</v>
      </c>
    </row>
    <row r="1645" spans="1:21">
      <c r="A1645" s="14" t="s">
        <v>8277</v>
      </c>
      <c r="B1645" s="14">
        <v>5225.571205</v>
      </c>
      <c r="C1645" s="14">
        <v>1887.740307</v>
      </c>
      <c r="D1645" s="14">
        <v>8563.402103</v>
      </c>
      <c r="E1645" s="14">
        <v>4.535744984</v>
      </c>
      <c r="F1645" s="14">
        <v>2.181339529</v>
      </c>
      <c r="G1645" s="51" t="s">
        <v>8278</v>
      </c>
      <c r="H1645" s="51" t="s">
        <v>8279</v>
      </c>
      <c r="I1645" s="14" t="s">
        <v>164</v>
      </c>
      <c r="J1645" s="14">
        <v>262.1480343</v>
      </c>
      <c r="K1645" s="14">
        <v>382.2648617</v>
      </c>
      <c r="L1645" s="14">
        <v>344.1675165</v>
      </c>
      <c r="M1645" s="14">
        <v>37.11572338</v>
      </c>
      <c r="N1645" s="14">
        <v>41.08389718</v>
      </c>
      <c r="O1645" s="14">
        <v>106.4193272</v>
      </c>
      <c r="P1645" s="14" t="s">
        <v>8280</v>
      </c>
      <c r="Q1645" s="14" t="s">
        <v>8281</v>
      </c>
      <c r="T1645" s="14" t="s">
        <v>8282</v>
      </c>
      <c r="U1645" s="14" t="s">
        <v>8283</v>
      </c>
    </row>
    <row r="1646" spans="1:21">
      <c r="A1646" s="14" t="s">
        <v>8284</v>
      </c>
      <c r="B1646" s="14">
        <v>1036.365123</v>
      </c>
      <c r="C1646" s="14">
        <v>596.5949171</v>
      </c>
      <c r="D1646" s="14">
        <v>1476.135329</v>
      </c>
      <c r="E1646" s="14">
        <v>2.475358138</v>
      </c>
      <c r="F1646" s="14">
        <v>1.307637271</v>
      </c>
      <c r="G1646" s="51" t="s">
        <v>347</v>
      </c>
      <c r="H1646" s="51" t="s">
        <v>6795</v>
      </c>
      <c r="I1646" s="14" t="s">
        <v>164</v>
      </c>
      <c r="J1646" s="14">
        <v>15.15224766</v>
      </c>
      <c r="K1646" s="14">
        <v>11.30660321</v>
      </c>
      <c r="L1646" s="14">
        <v>13.93724732</v>
      </c>
      <c r="M1646" s="14">
        <v>4.960074707</v>
      </c>
      <c r="N1646" s="14">
        <v>5.018028213</v>
      </c>
      <c r="O1646" s="14">
        <v>3.295707668</v>
      </c>
      <c r="P1646" s="14" t="s">
        <v>8285</v>
      </c>
      <c r="Q1646" s="14" t="s">
        <v>8286</v>
      </c>
      <c r="T1646" s="14" t="s">
        <v>8287</v>
      </c>
      <c r="U1646" s="14" t="s">
        <v>8288</v>
      </c>
    </row>
    <row r="1647" spans="1:21">
      <c r="A1647" s="14" t="s">
        <v>8289</v>
      </c>
      <c r="B1647" s="14">
        <v>985.8600091</v>
      </c>
      <c r="C1647" s="14">
        <v>1422.306762</v>
      </c>
      <c r="D1647" s="14">
        <v>549.4132565</v>
      </c>
      <c r="E1647" s="14">
        <v>0.386309226</v>
      </c>
      <c r="F1647" s="14">
        <v>-1.372171963</v>
      </c>
      <c r="G1647" s="14">
        <v>0.003171611</v>
      </c>
      <c r="H1647" s="14">
        <v>0.009968484</v>
      </c>
      <c r="I1647" s="14" t="s">
        <v>147</v>
      </c>
      <c r="J1647" s="14">
        <v>7.592575646</v>
      </c>
      <c r="K1647" s="14">
        <v>17.1049392</v>
      </c>
      <c r="L1647" s="14">
        <v>12.42786222</v>
      </c>
      <c r="M1647" s="14">
        <v>29.74862582</v>
      </c>
      <c r="N1647" s="14">
        <v>34.22266727</v>
      </c>
      <c r="O1647" s="14">
        <v>13.66484397</v>
      </c>
      <c r="P1647" s="14" t="s">
        <v>714</v>
      </c>
      <c r="Q1647" s="14" t="s">
        <v>715</v>
      </c>
      <c r="R1647" s="14" t="s">
        <v>5148</v>
      </c>
      <c r="S1647" s="14" t="s">
        <v>5149</v>
      </c>
      <c r="T1647" s="14" t="s">
        <v>716</v>
      </c>
      <c r="U1647" s="14" t="s">
        <v>717</v>
      </c>
    </row>
    <row r="1648" spans="1:21">
      <c r="A1648" s="14" t="s">
        <v>8290</v>
      </c>
      <c r="B1648" s="14">
        <v>418.0321843</v>
      </c>
      <c r="C1648" s="14">
        <v>212.6850411</v>
      </c>
      <c r="D1648" s="14">
        <v>623.3793275</v>
      </c>
      <c r="E1648" s="14">
        <v>2.927465756</v>
      </c>
      <c r="F1648" s="14">
        <v>1.549652295</v>
      </c>
      <c r="G1648" s="51" t="s">
        <v>2069</v>
      </c>
      <c r="H1648" s="51" t="s">
        <v>8291</v>
      </c>
      <c r="I1648" s="14" t="s">
        <v>164</v>
      </c>
      <c r="J1648" s="14">
        <v>5.238269268</v>
      </c>
      <c r="K1648" s="14">
        <v>4.171715817</v>
      </c>
      <c r="L1648" s="14">
        <v>5.570159108</v>
      </c>
      <c r="M1648" s="14">
        <v>1.017057964</v>
      </c>
      <c r="N1648" s="14">
        <v>1.24245038</v>
      </c>
      <c r="O1648" s="14">
        <v>2.010046377</v>
      </c>
      <c r="P1648" s="14" t="s">
        <v>8292</v>
      </c>
      <c r="Q1648" s="14" t="s">
        <v>8293</v>
      </c>
      <c r="T1648" s="14" t="s">
        <v>8294</v>
      </c>
      <c r="U1648" s="14" t="s">
        <v>8295</v>
      </c>
    </row>
    <row r="1649" spans="1:21">
      <c r="A1649" s="14" t="s">
        <v>8296</v>
      </c>
      <c r="B1649" s="14">
        <v>3570.178673</v>
      </c>
      <c r="C1649" s="14">
        <v>6326.829023</v>
      </c>
      <c r="D1649" s="14">
        <v>813.5283223</v>
      </c>
      <c r="E1649" s="14">
        <v>0.128580217</v>
      </c>
      <c r="F1649" s="14">
        <v>-2.959259407</v>
      </c>
      <c r="G1649" s="51" t="s">
        <v>8297</v>
      </c>
      <c r="H1649" s="51" t="s">
        <v>8298</v>
      </c>
      <c r="I1649" s="14" t="s">
        <v>147</v>
      </c>
      <c r="J1649" s="14">
        <v>23.07358221</v>
      </c>
      <c r="K1649" s="14">
        <v>11.47946539</v>
      </c>
      <c r="L1649" s="14">
        <v>8.646285656</v>
      </c>
      <c r="M1649" s="14">
        <v>119.7428626</v>
      </c>
      <c r="N1649" s="14">
        <v>99.1127608</v>
      </c>
      <c r="O1649" s="14">
        <v>53.09018887</v>
      </c>
      <c r="P1649" s="14" t="s">
        <v>8299</v>
      </c>
      <c r="Q1649" s="14" t="s">
        <v>8300</v>
      </c>
      <c r="R1649" s="14" t="s">
        <v>4951</v>
      </c>
      <c r="S1649" s="14" t="s">
        <v>4952</v>
      </c>
      <c r="T1649" s="14" t="s">
        <v>8301</v>
      </c>
      <c r="U1649" s="14" t="s">
        <v>8302</v>
      </c>
    </row>
    <row r="1650" spans="1:21">
      <c r="A1650" s="14" t="s">
        <v>8303</v>
      </c>
      <c r="B1650" s="14">
        <v>1154.676709</v>
      </c>
      <c r="C1650" s="14">
        <v>594.1630059</v>
      </c>
      <c r="D1650" s="14">
        <v>1715.190412</v>
      </c>
      <c r="E1650" s="14">
        <v>2.885105038</v>
      </c>
      <c r="F1650" s="14">
        <v>1.528623844</v>
      </c>
      <c r="G1650" s="51" t="s">
        <v>4491</v>
      </c>
      <c r="H1650" s="51" t="s">
        <v>497</v>
      </c>
      <c r="I1650" s="14" t="s">
        <v>164</v>
      </c>
      <c r="J1650" s="14">
        <v>10.49270766</v>
      </c>
      <c r="K1650" s="14">
        <v>9.179636504</v>
      </c>
      <c r="L1650" s="14">
        <v>8.493956363</v>
      </c>
      <c r="M1650" s="14">
        <v>1.991390732</v>
      </c>
      <c r="N1650" s="14">
        <v>2.302401041</v>
      </c>
      <c r="O1650" s="14">
        <v>3.873978661</v>
      </c>
      <c r="P1650" s="14" t="s">
        <v>8304</v>
      </c>
      <c r="Q1650" s="14" t="s">
        <v>8305</v>
      </c>
      <c r="R1650" s="14" t="s">
        <v>341</v>
      </c>
      <c r="S1650" s="14" t="s">
        <v>342</v>
      </c>
      <c r="T1650" s="14" t="s">
        <v>8306</v>
      </c>
      <c r="U1650" s="14" t="s">
        <v>8307</v>
      </c>
    </row>
    <row r="1651" spans="1:21">
      <c r="A1651" s="14" t="s">
        <v>8308</v>
      </c>
      <c r="B1651" s="14">
        <v>60.67146405</v>
      </c>
      <c r="C1651" s="14">
        <v>20.42431197</v>
      </c>
      <c r="D1651" s="14">
        <v>100.9186161</v>
      </c>
      <c r="E1651" s="14">
        <v>4.919978255</v>
      </c>
      <c r="F1651" s="14">
        <v>2.298651939</v>
      </c>
      <c r="G1651" s="14">
        <v>0.00152767</v>
      </c>
      <c r="H1651" s="14">
        <v>0.005306627</v>
      </c>
      <c r="I1651" s="14" t="s">
        <v>164</v>
      </c>
      <c r="J1651" s="14">
        <v>3.385739049</v>
      </c>
      <c r="K1651" s="14">
        <v>1.367346213</v>
      </c>
      <c r="L1651" s="14">
        <v>1.629978469</v>
      </c>
      <c r="M1651" s="14">
        <v>0.089408037</v>
      </c>
      <c r="N1651" s="14">
        <v>0.394571425</v>
      </c>
      <c r="O1651" s="14">
        <v>0.612327271</v>
      </c>
      <c r="P1651" s="14" t="s">
        <v>4942</v>
      </c>
      <c r="Q1651" s="14" t="s">
        <v>4943</v>
      </c>
      <c r="T1651" s="14" t="s">
        <v>4944</v>
      </c>
      <c r="U1651" s="14" t="s">
        <v>4945</v>
      </c>
    </row>
    <row r="1652" spans="1:21">
      <c r="A1652" s="14" t="s">
        <v>8309</v>
      </c>
      <c r="B1652" s="14">
        <v>58.41394851</v>
      </c>
      <c r="C1652" s="14">
        <v>81.80046127</v>
      </c>
      <c r="D1652" s="14">
        <v>35.02743575</v>
      </c>
      <c r="E1652" s="14">
        <v>0.427390821</v>
      </c>
      <c r="F1652" s="14">
        <v>-1.22637217</v>
      </c>
      <c r="G1652" s="14">
        <v>0.000541788</v>
      </c>
      <c r="H1652" s="14">
        <v>0.002129965</v>
      </c>
      <c r="I1652" s="14" t="s">
        <v>147</v>
      </c>
      <c r="J1652" s="14">
        <v>0.304298522</v>
      </c>
      <c r="K1652" s="14">
        <v>0.481305867</v>
      </c>
      <c r="L1652" s="14">
        <v>0.366242076</v>
      </c>
      <c r="M1652" s="14">
        <v>0.604398328</v>
      </c>
      <c r="N1652" s="14">
        <v>0.69581813</v>
      </c>
      <c r="O1652" s="14">
        <v>0.937035675</v>
      </c>
      <c r="P1652" s="14" t="s">
        <v>8310</v>
      </c>
      <c r="Q1652" s="14" t="s">
        <v>8311</v>
      </c>
      <c r="T1652" s="14" t="s">
        <v>8312</v>
      </c>
      <c r="U1652" s="14" t="s">
        <v>8313</v>
      </c>
    </row>
    <row r="1653" spans="1:21">
      <c r="A1653" s="14" t="s">
        <v>8314</v>
      </c>
      <c r="B1653" s="14">
        <v>1128.33835</v>
      </c>
      <c r="C1653" s="14">
        <v>601.8553204</v>
      </c>
      <c r="D1653" s="14">
        <v>1654.82138</v>
      </c>
      <c r="E1653" s="14">
        <v>2.748536862</v>
      </c>
      <c r="F1653" s="14">
        <v>1.458663828</v>
      </c>
      <c r="G1653" s="14">
        <v>0.000137427</v>
      </c>
      <c r="H1653" s="14">
        <v>0.000630439</v>
      </c>
      <c r="I1653" s="14" t="s">
        <v>164</v>
      </c>
      <c r="J1653" s="14">
        <v>40.64389796</v>
      </c>
      <c r="K1653" s="14">
        <v>40.88377686</v>
      </c>
      <c r="L1653" s="14">
        <v>45.62779822</v>
      </c>
      <c r="M1653" s="14">
        <v>9.328211229</v>
      </c>
      <c r="N1653" s="14">
        <v>7.471634264</v>
      </c>
      <c r="O1653" s="14">
        <v>22.28579949</v>
      </c>
      <c r="P1653" s="14" t="s">
        <v>8315</v>
      </c>
      <c r="Q1653" s="14" t="s">
        <v>8316</v>
      </c>
      <c r="T1653" s="14" t="s">
        <v>8317</v>
      </c>
      <c r="U1653" s="14" t="s">
        <v>8318</v>
      </c>
    </row>
    <row r="1654" spans="1:21">
      <c r="A1654" s="14" t="s">
        <v>8319</v>
      </c>
      <c r="B1654" s="14">
        <v>103.0498082</v>
      </c>
      <c r="C1654" s="14">
        <v>54.01321578</v>
      </c>
      <c r="D1654" s="14">
        <v>152.0864007</v>
      </c>
      <c r="E1654" s="14">
        <v>2.806843209</v>
      </c>
      <c r="F1654" s="14">
        <v>1.488948477</v>
      </c>
      <c r="G1654" s="14">
        <v>0.001732809</v>
      </c>
      <c r="H1654" s="14">
        <v>0.005921068</v>
      </c>
      <c r="I1654" s="14" t="s">
        <v>164</v>
      </c>
      <c r="J1654" s="14">
        <v>3.402909235</v>
      </c>
      <c r="K1654" s="14">
        <v>3.572977117</v>
      </c>
      <c r="L1654" s="14">
        <v>4.313651303</v>
      </c>
      <c r="M1654" s="14">
        <v>0.586491446</v>
      </c>
      <c r="N1654" s="14">
        <v>0.823908054</v>
      </c>
      <c r="O1654" s="14">
        <v>1.987853565</v>
      </c>
      <c r="P1654" s="14" t="s">
        <v>8315</v>
      </c>
      <c r="Q1654" s="14" t="s">
        <v>8316</v>
      </c>
      <c r="T1654" s="14" t="s">
        <v>8320</v>
      </c>
      <c r="U1654" s="14" t="s">
        <v>8321</v>
      </c>
    </row>
    <row r="1655" spans="1:21">
      <c r="A1655" s="14" t="s">
        <v>8322</v>
      </c>
      <c r="B1655" s="14">
        <v>69.937298</v>
      </c>
      <c r="C1655" s="14">
        <v>123.0516088</v>
      </c>
      <c r="D1655" s="14">
        <v>16.8229872</v>
      </c>
      <c r="E1655" s="14">
        <v>0.136592519</v>
      </c>
      <c r="F1655" s="14">
        <v>-2.87204962</v>
      </c>
      <c r="G1655" s="51" t="s">
        <v>8323</v>
      </c>
      <c r="H1655" s="14">
        <v>0.000113655</v>
      </c>
      <c r="I1655" s="14" t="s">
        <v>147</v>
      </c>
      <c r="J1655" s="14">
        <v>0.29506922</v>
      </c>
      <c r="K1655" s="14">
        <v>0.201957269</v>
      </c>
      <c r="L1655" s="14">
        <v>0.102278604</v>
      </c>
      <c r="M1655" s="14">
        <v>1.55515151</v>
      </c>
      <c r="N1655" s="14">
        <v>1.482295044</v>
      </c>
      <c r="O1655" s="14">
        <v>0.494004601</v>
      </c>
      <c r="Q1655" s="14" t="s">
        <v>8324</v>
      </c>
      <c r="R1655" s="14" t="s">
        <v>5641</v>
      </c>
      <c r="S1655" s="14" t="s">
        <v>5642</v>
      </c>
      <c r="T1655" s="14" t="s">
        <v>8325</v>
      </c>
      <c r="U1655" s="14" t="s">
        <v>8326</v>
      </c>
    </row>
    <row r="1656" spans="1:21">
      <c r="A1656" s="14" t="s">
        <v>8327</v>
      </c>
      <c r="B1656" s="14">
        <v>3909.170323</v>
      </c>
      <c r="C1656" s="14">
        <v>2350.024432</v>
      </c>
      <c r="D1656" s="14">
        <v>5468.316213</v>
      </c>
      <c r="E1656" s="14">
        <v>2.32664705</v>
      </c>
      <c r="F1656" s="14">
        <v>1.218252372</v>
      </c>
      <c r="G1656" s="51" t="s">
        <v>8328</v>
      </c>
      <c r="H1656" s="51" t="s">
        <v>8329</v>
      </c>
      <c r="I1656" s="14" t="s">
        <v>164</v>
      </c>
      <c r="J1656" s="14">
        <v>27.16001106</v>
      </c>
      <c r="K1656" s="14">
        <v>36.92982197</v>
      </c>
      <c r="L1656" s="14">
        <v>30.24515604</v>
      </c>
      <c r="M1656" s="14">
        <v>9.695082379</v>
      </c>
      <c r="N1656" s="14">
        <v>10.41949285</v>
      </c>
      <c r="O1656" s="14">
        <v>13.51732332</v>
      </c>
      <c r="P1656" s="14" t="s">
        <v>5136</v>
      </c>
      <c r="Q1656" s="14" t="s">
        <v>8330</v>
      </c>
      <c r="R1656" s="14" t="s">
        <v>771</v>
      </c>
      <c r="S1656" s="14" t="s">
        <v>772</v>
      </c>
      <c r="T1656" s="14" t="s">
        <v>8331</v>
      </c>
      <c r="U1656" s="14" t="s">
        <v>8332</v>
      </c>
    </row>
    <row r="1657" spans="1:15">
      <c r="A1657" s="14" t="s">
        <v>8333</v>
      </c>
      <c r="B1657" s="14">
        <v>1105.524861</v>
      </c>
      <c r="C1657" s="14">
        <v>1479.089785</v>
      </c>
      <c r="D1657" s="14">
        <v>731.959937</v>
      </c>
      <c r="E1657" s="14">
        <v>0.494911515</v>
      </c>
      <c r="F1657" s="14">
        <v>-1.014757486</v>
      </c>
      <c r="G1657" s="51" t="s">
        <v>5661</v>
      </c>
      <c r="H1657" s="14">
        <v>0.000225037</v>
      </c>
      <c r="I1657" s="14" t="s">
        <v>147</v>
      </c>
      <c r="J1657" s="14">
        <v>23.99720487</v>
      </c>
      <c r="K1657" s="14">
        <v>35.2179496</v>
      </c>
      <c r="L1657" s="14">
        <v>26.49701498</v>
      </c>
      <c r="M1657" s="14">
        <v>53.74716675</v>
      </c>
      <c r="N1657" s="14">
        <v>47.30673705</v>
      </c>
      <c r="O1657" s="14">
        <v>40.56489799</v>
      </c>
    </row>
    <row r="1658" spans="1:21">
      <c r="A1658" s="14" t="s">
        <v>8334</v>
      </c>
      <c r="B1658" s="14">
        <v>5374.087963</v>
      </c>
      <c r="C1658" s="14">
        <v>9418.056921</v>
      </c>
      <c r="D1658" s="14">
        <v>1330.119005</v>
      </c>
      <c r="E1658" s="14">
        <v>0.141235201</v>
      </c>
      <c r="F1658" s="14">
        <v>-2.823828388</v>
      </c>
      <c r="G1658" s="51" t="s">
        <v>8335</v>
      </c>
      <c r="H1658" s="51" t="s">
        <v>8336</v>
      </c>
      <c r="I1658" s="14" t="s">
        <v>147</v>
      </c>
      <c r="J1658" s="14">
        <v>24.85552333</v>
      </c>
      <c r="K1658" s="14">
        <v>22.08648219</v>
      </c>
      <c r="L1658" s="14">
        <v>26.91261995</v>
      </c>
      <c r="M1658" s="14">
        <v>119.2916181</v>
      </c>
      <c r="N1658" s="14">
        <v>134.4276125</v>
      </c>
      <c r="O1658" s="14">
        <v>180.1905191</v>
      </c>
      <c r="P1658" s="14" t="s">
        <v>8337</v>
      </c>
      <c r="Q1658" s="14" t="s">
        <v>8338</v>
      </c>
      <c r="T1658" s="14" t="s">
        <v>8339</v>
      </c>
      <c r="U1658" s="14" t="s">
        <v>8340</v>
      </c>
    </row>
    <row r="1659" spans="1:21">
      <c r="A1659" s="14" t="s">
        <v>8341</v>
      </c>
      <c r="B1659" s="14">
        <v>631.4630229</v>
      </c>
      <c r="C1659" s="14">
        <v>865.3320288</v>
      </c>
      <c r="D1659" s="14">
        <v>397.5940171</v>
      </c>
      <c r="E1659" s="14">
        <v>0.45976321</v>
      </c>
      <c r="F1659" s="14">
        <v>-1.121037069</v>
      </c>
      <c r="G1659" s="51" t="s">
        <v>8342</v>
      </c>
      <c r="H1659" s="51" t="s">
        <v>8343</v>
      </c>
      <c r="I1659" s="14" t="s">
        <v>147</v>
      </c>
      <c r="J1659" s="14">
        <v>5.306443486</v>
      </c>
      <c r="K1659" s="14">
        <v>4.820337218</v>
      </c>
      <c r="L1659" s="14">
        <v>5.862928777</v>
      </c>
      <c r="M1659" s="14">
        <v>10.20402067</v>
      </c>
      <c r="N1659" s="14">
        <v>9.234188395</v>
      </c>
      <c r="O1659" s="14">
        <v>9.072828428</v>
      </c>
      <c r="P1659" s="14" t="s">
        <v>8344</v>
      </c>
      <c r="Q1659" s="14" t="s">
        <v>8345</v>
      </c>
      <c r="R1659" s="14" t="s">
        <v>8346</v>
      </c>
      <c r="S1659" s="14" t="s">
        <v>8347</v>
      </c>
      <c r="T1659" s="14" t="s">
        <v>8348</v>
      </c>
      <c r="U1659" s="14" t="s">
        <v>8349</v>
      </c>
    </row>
    <row r="1660" spans="1:21">
      <c r="A1660" s="14" t="s">
        <v>8350</v>
      </c>
      <c r="B1660" s="14">
        <v>6.101813476</v>
      </c>
      <c r="C1660" s="14">
        <v>0</v>
      </c>
      <c r="D1660" s="14">
        <v>12.20362695</v>
      </c>
      <c r="E1660" s="14">
        <v>65.78034617</v>
      </c>
      <c r="F1660" s="14">
        <v>6.039584695</v>
      </c>
      <c r="G1660" s="14">
        <v>0.000364988</v>
      </c>
      <c r="H1660" s="14">
        <v>0.001507078</v>
      </c>
      <c r="I1660" s="14" t="s">
        <v>164</v>
      </c>
      <c r="J1660" s="14">
        <v>1.016987197</v>
      </c>
      <c r="K1660" s="14">
        <v>0.895674492</v>
      </c>
      <c r="L1660" s="14">
        <v>0.428402428</v>
      </c>
      <c r="M1660" s="14">
        <v>0</v>
      </c>
      <c r="N1660" s="14">
        <v>0</v>
      </c>
      <c r="O1660" s="14">
        <v>0</v>
      </c>
      <c r="P1660" s="14" t="s">
        <v>8351</v>
      </c>
      <c r="Q1660" s="14" t="s">
        <v>8352</v>
      </c>
      <c r="R1660" s="14" t="s">
        <v>8353</v>
      </c>
      <c r="S1660" s="14" t="s">
        <v>8354</v>
      </c>
      <c r="T1660" s="14" t="s">
        <v>8355</v>
      </c>
      <c r="U1660" s="14" t="s">
        <v>8356</v>
      </c>
    </row>
    <row r="1661" spans="1:15">
      <c r="A1661" s="14" t="s">
        <v>8357</v>
      </c>
      <c r="B1661" s="14">
        <v>187.9098708</v>
      </c>
      <c r="C1661" s="14">
        <v>122.3873045</v>
      </c>
      <c r="D1661" s="14">
        <v>253.4324372</v>
      </c>
      <c r="E1661" s="14">
        <v>2.07240806</v>
      </c>
      <c r="F1661" s="14">
        <v>1.0513081</v>
      </c>
      <c r="G1661" s="51" t="s">
        <v>504</v>
      </c>
      <c r="H1661" s="14">
        <v>0.000113014</v>
      </c>
      <c r="I1661" s="14" t="s">
        <v>164</v>
      </c>
      <c r="J1661" s="14">
        <v>8.108710194</v>
      </c>
      <c r="K1661" s="14">
        <v>8.849991703</v>
      </c>
      <c r="L1661" s="14">
        <v>8.026954072</v>
      </c>
      <c r="M1661" s="14">
        <v>3.009153025</v>
      </c>
      <c r="N1661" s="14">
        <v>4.00961817</v>
      </c>
      <c r="O1661" s="14">
        <v>2.862324188</v>
      </c>
    </row>
    <row r="1662" spans="1:21">
      <c r="A1662" s="14" t="s">
        <v>8358</v>
      </c>
      <c r="B1662" s="14">
        <v>162.17006</v>
      </c>
      <c r="C1662" s="14">
        <v>35.70472425</v>
      </c>
      <c r="D1662" s="14">
        <v>288.6353957</v>
      </c>
      <c r="E1662" s="14">
        <v>8.127510503</v>
      </c>
      <c r="F1662" s="14">
        <v>3.022813515</v>
      </c>
      <c r="G1662" s="51" t="s">
        <v>8359</v>
      </c>
      <c r="H1662" s="51" t="s">
        <v>3734</v>
      </c>
      <c r="I1662" s="14" t="s">
        <v>164</v>
      </c>
      <c r="J1662" s="14">
        <v>3.727313268</v>
      </c>
      <c r="K1662" s="14">
        <v>4.146562889</v>
      </c>
      <c r="L1662" s="14">
        <v>3.551064204</v>
      </c>
      <c r="M1662" s="14">
        <v>0.492347569</v>
      </c>
      <c r="N1662" s="14">
        <v>0.33279137</v>
      </c>
      <c r="O1662" s="14">
        <v>0.32843496</v>
      </c>
      <c r="P1662" s="14" t="s">
        <v>8360</v>
      </c>
      <c r="Q1662" s="14" t="s">
        <v>8361</v>
      </c>
      <c r="T1662" s="14" t="s">
        <v>8362</v>
      </c>
      <c r="U1662" s="14" t="s">
        <v>8363</v>
      </c>
    </row>
    <row r="1663" spans="1:21">
      <c r="A1663" s="14" t="s">
        <v>8364</v>
      </c>
      <c r="B1663" s="14">
        <v>3201.331186</v>
      </c>
      <c r="C1663" s="14">
        <v>4299.610276</v>
      </c>
      <c r="D1663" s="14">
        <v>2103.052096</v>
      </c>
      <c r="E1663" s="14">
        <v>0.489143081</v>
      </c>
      <c r="F1663" s="14">
        <v>-1.031671561</v>
      </c>
      <c r="G1663" s="14">
        <v>0.005546209</v>
      </c>
      <c r="H1663" s="14">
        <v>0.016209125</v>
      </c>
      <c r="I1663" s="14" t="s">
        <v>147</v>
      </c>
      <c r="J1663" s="14">
        <v>28.46721676</v>
      </c>
      <c r="K1663" s="14">
        <v>43.37578182</v>
      </c>
      <c r="L1663" s="14">
        <v>32.49369044</v>
      </c>
      <c r="M1663" s="14">
        <v>69.94046834</v>
      </c>
      <c r="N1663" s="14">
        <v>69.1455411</v>
      </c>
      <c r="O1663" s="14">
        <v>33.49362884</v>
      </c>
      <c r="P1663" s="14" t="s">
        <v>8365</v>
      </c>
      <c r="Q1663" s="14" t="s">
        <v>8366</v>
      </c>
      <c r="T1663" s="14" t="s">
        <v>8367</v>
      </c>
      <c r="U1663" s="14" t="s">
        <v>8368</v>
      </c>
    </row>
    <row r="1664" spans="1:21">
      <c r="A1664" s="14" t="s">
        <v>8369</v>
      </c>
      <c r="B1664" s="14">
        <v>1657.460649</v>
      </c>
      <c r="C1664" s="14">
        <v>939.4795817</v>
      </c>
      <c r="D1664" s="14">
        <v>2375.441717</v>
      </c>
      <c r="E1664" s="14">
        <v>2.52886554</v>
      </c>
      <c r="F1664" s="14">
        <v>1.338490331</v>
      </c>
      <c r="G1664" s="51" t="s">
        <v>8370</v>
      </c>
      <c r="H1664" s="51" t="s">
        <v>7507</v>
      </c>
      <c r="I1664" s="14" t="s">
        <v>164</v>
      </c>
      <c r="J1664" s="14">
        <v>43.17761893</v>
      </c>
      <c r="K1664" s="14">
        <v>34.09781505</v>
      </c>
      <c r="L1664" s="14">
        <v>36.72202768</v>
      </c>
      <c r="M1664" s="14">
        <v>11.76738584</v>
      </c>
      <c r="N1664" s="14">
        <v>13.07126353</v>
      </c>
      <c r="O1664" s="14">
        <v>12.21599658</v>
      </c>
      <c r="P1664" s="14" t="s">
        <v>8371</v>
      </c>
      <c r="Q1664" s="14" t="s">
        <v>8372</v>
      </c>
      <c r="T1664" s="14" t="s">
        <v>8373</v>
      </c>
      <c r="U1664" s="14" t="s">
        <v>8374</v>
      </c>
    </row>
    <row r="1665" spans="1:15">
      <c r="A1665" s="14" t="s">
        <v>8375</v>
      </c>
      <c r="B1665" s="14">
        <v>1609.584884</v>
      </c>
      <c r="C1665" s="14">
        <v>2659.09207</v>
      </c>
      <c r="D1665" s="14">
        <v>560.0776974</v>
      </c>
      <c r="E1665" s="14">
        <v>0.210627456</v>
      </c>
      <c r="F1665" s="14">
        <v>-2.247234584</v>
      </c>
      <c r="G1665" s="14">
        <v>0.000263021</v>
      </c>
      <c r="H1665" s="14">
        <v>0.001120054</v>
      </c>
      <c r="I1665" s="14" t="s">
        <v>147</v>
      </c>
      <c r="J1665" s="14">
        <v>28.95642872</v>
      </c>
      <c r="K1665" s="14">
        <v>79.83724174</v>
      </c>
      <c r="L1665" s="14">
        <v>41.4789274</v>
      </c>
      <c r="M1665" s="14">
        <v>246.1537362</v>
      </c>
      <c r="N1665" s="14">
        <v>265.0276219</v>
      </c>
      <c r="O1665" s="14">
        <v>61.26771724</v>
      </c>
    </row>
    <row r="1666" spans="1:21">
      <c r="A1666" s="14" t="s">
        <v>8376</v>
      </c>
      <c r="B1666" s="14">
        <v>339.0604666</v>
      </c>
      <c r="C1666" s="14">
        <v>490.7865997</v>
      </c>
      <c r="D1666" s="14">
        <v>187.3343335</v>
      </c>
      <c r="E1666" s="14">
        <v>0.381759243</v>
      </c>
      <c r="F1666" s="14">
        <v>-1.389265009</v>
      </c>
      <c r="G1666" s="14">
        <v>0.000199392</v>
      </c>
      <c r="H1666" s="14">
        <v>0.000874819</v>
      </c>
      <c r="I1666" s="14" t="s">
        <v>147</v>
      </c>
      <c r="J1666" s="14">
        <v>9.109333234</v>
      </c>
      <c r="K1666" s="14">
        <v>15.81943604</v>
      </c>
      <c r="L1666" s="14">
        <v>11.4268981</v>
      </c>
      <c r="M1666" s="14">
        <v>27.99216616</v>
      </c>
      <c r="N1666" s="14">
        <v>31.96290638</v>
      </c>
      <c r="O1666" s="14">
        <v>17.45254216</v>
      </c>
      <c r="P1666" s="14" t="s">
        <v>8377</v>
      </c>
      <c r="Q1666" s="14" t="s">
        <v>8378</v>
      </c>
      <c r="T1666" s="14" t="s">
        <v>8379</v>
      </c>
      <c r="U1666" s="14" t="s">
        <v>8380</v>
      </c>
    </row>
    <row r="1667" spans="1:15">
      <c r="A1667" s="14" t="s">
        <v>8381</v>
      </c>
      <c r="B1667" s="14">
        <v>29.27643036</v>
      </c>
      <c r="C1667" s="14">
        <v>58.55286072</v>
      </c>
      <c r="D1667" s="14">
        <v>0</v>
      </c>
      <c r="E1667" s="14">
        <v>0.003075855</v>
      </c>
      <c r="F1667" s="14">
        <v>-8.344796571</v>
      </c>
      <c r="G1667" s="51" t="s">
        <v>8382</v>
      </c>
      <c r="H1667" s="51" t="s">
        <v>8383</v>
      </c>
      <c r="I1667" s="14" t="s">
        <v>147</v>
      </c>
      <c r="J1667" s="14">
        <v>0</v>
      </c>
      <c r="K1667" s="14">
        <v>0</v>
      </c>
      <c r="L1667" s="14">
        <v>0</v>
      </c>
      <c r="M1667" s="14">
        <v>0.59226471</v>
      </c>
      <c r="N1667" s="14">
        <v>0.705361253</v>
      </c>
      <c r="O1667" s="14">
        <v>2.31784746</v>
      </c>
    </row>
    <row r="1668" spans="1:15">
      <c r="A1668" s="14" t="s">
        <v>8384</v>
      </c>
      <c r="B1668" s="14">
        <v>5.69516316</v>
      </c>
      <c r="C1668" s="14">
        <v>10.07799279</v>
      </c>
      <c r="D1668" s="14">
        <v>1.312333531</v>
      </c>
      <c r="E1668" s="14">
        <v>0.12934548</v>
      </c>
      <c r="F1668" s="14">
        <v>-2.950698455</v>
      </c>
      <c r="G1668" s="14">
        <v>0.014012645</v>
      </c>
      <c r="H1668" s="14">
        <v>0.036002776</v>
      </c>
      <c r="I1668" s="14" t="s">
        <v>147</v>
      </c>
      <c r="J1668" s="14">
        <v>0.135847554</v>
      </c>
      <c r="K1668" s="14">
        <v>0.068367311</v>
      </c>
      <c r="L1668" s="14">
        <v>0.065400371</v>
      </c>
      <c r="M1668" s="14">
        <v>0.348691343</v>
      </c>
      <c r="N1668" s="14">
        <v>0.334527947</v>
      </c>
      <c r="O1668" s="14">
        <v>1.080320257</v>
      </c>
    </row>
    <row r="1669" spans="1:21">
      <c r="A1669" s="14" t="s">
        <v>8385</v>
      </c>
      <c r="B1669" s="14">
        <v>23.37313043</v>
      </c>
      <c r="C1669" s="14">
        <v>8.650973174</v>
      </c>
      <c r="D1669" s="14">
        <v>38.09528769</v>
      </c>
      <c r="E1669" s="14">
        <v>4.428970003</v>
      </c>
      <c r="F1669" s="14">
        <v>2.146971226</v>
      </c>
      <c r="G1669" s="14">
        <v>0.016494178</v>
      </c>
      <c r="H1669" s="14">
        <v>0.041323599</v>
      </c>
      <c r="I1669" s="14" t="s">
        <v>164</v>
      </c>
      <c r="J1669" s="14">
        <v>0.911869421</v>
      </c>
      <c r="K1669" s="14">
        <v>0.538722671</v>
      </c>
      <c r="L1669" s="14">
        <v>0.839819352</v>
      </c>
      <c r="M1669" s="14">
        <v>0.152645996</v>
      </c>
      <c r="N1669" s="14">
        <v>0.244076185</v>
      </c>
      <c r="O1669" s="14">
        <v>0.016594032</v>
      </c>
      <c r="P1669" s="14" t="s">
        <v>1963</v>
      </c>
      <c r="Q1669" s="14" t="s">
        <v>1964</v>
      </c>
      <c r="T1669" s="14" t="s">
        <v>1965</v>
      </c>
      <c r="U1669" s="14" t="s">
        <v>1966</v>
      </c>
    </row>
    <row r="1670" spans="1:21">
      <c r="A1670" s="14" t="s">
        <v>8386</v>
      </c>
      <c r="B1670" s="14">
        <v>233.1398068</v>
      </c>
      <c r="C1670" s="14">
        <v>135.8726619</v>
      </c>
      <c r="D1670" s="14">
        <v>330.4069518</v>
      </c>
      <c r="E1670" s="14">
        <v>2.428407396</v>
      </c>
      <c r="F1670" s="14">
        <v>1.280010472</v>
      </c>
      <c r="G1670" s="51" t="s">
        <v>8387</v>
      </c>
      <c r="H1670" s="51" t="s">
        <v>8388</v>
      </c>
      <c r="I1670" s="14" t="s">
        <v>164</v>
      </c>
      <c r="J1670" s="14">
        <v>5.408590959</v>
      </c>
      <c r="K1670" s="14">
        <v>4.917609056</v>
      </c>
      <c r="L1670" s="14">
        <v>6.041513487</v>
      </c>
      <c r="M1670" s="14">
        <v>1.579802052</v>
      </c>
      <c r="N1670" s="14">
        <v>1.703409996</v>
      </c>
      <c r="O1670" s="14">
        <v>2.297960268</v>
      </c>
      <c r="P1670" s="14" t="s">
        <v>8389</v>
      </c>
      <c r="Q1670" s="14" t="s">
        <v>8390</v>
      </c>
      <c r="T1670" s="14" t="s">
        <v>5396</v>
      </c>
      <c r="U1670" s="14" t="s">
        <v>5397</v>
      </c>
    </row>
    <row r="1671" spans="1:21">
      <c r="A1671" s="14" t="s">
        <v>8391</v>
      </c>
      <c r="B1671" s="14">
        <v>30.84247454</v>
      </c>
      <c r="C1671" s="14">
        <v>0</v>
      </c>
      <c r="D1671" s="14">
        <v>61.68494907</v>
      </c>
      <c r="E1671" s="14">
        <v>332.7324161</v>
      </c>
      <c r="F1671" s="14">
        <v>8.378218616</v>
      </c>
      <c r="G1671" s="51" t="s">
        <v>8392</v>
      </c>
      <c r="H1671" s="51" t="s">
        <v>8393</v>
      </c>
      <c r="I1671" s="14" t="s">
        <v>164</v>
      </c>
      <c r="J1671" s="14">
        <v>2.983731816</v>
      </c>
      <c r="K1671" s="14">
        <v>0.216231494</v>
      </c>
      <c r="L1671" s="14">
        <v>1.26406918</v>
      </c>
      <c r="M1671" s="14">
        <v>0</v>
      </c>
      <c r="N1671" s="14">
        <v>0</v>
      </c>
      <c r="O1671" s="14">
        <v>0</v>
      </c>
      <c r="P1671" s="14" t="s">
        <v>1821</v>
      </c>
      <c r="Q1671" s="14" t="s">
        <v>1822</v>
      </c>
      <c r="T1671" s="14" t="s">
        <v>1823</v>
      </c>
      <c r="U1671" s="14" t="s">
        <v>1824</v>
      </c>
    </row>
    <row r="1672" spans="1:21">
      <c r="A1672" s="14" t="s">
        <v>8394</v>
      </c>
      <c r="B1672" s="14">
        <v>67.3856316</v>
      </c>
      <c r="C1672" s="14">
        <v>100.9710088</v>
      </c>
      <c r="D1672" s="14">
        <v>33.80025444</v>
      </c>
      <c r="E1672" s="14">
        <v>0.334180141</v>
      </c>
      <c r="F1672" s="14">
        <v>-1.581302091</v>
      </c>
      <c r="G1672" s="14">
        <v>0.016109068</v>
      </c>
      <c r="H1672" s="14">
        <v>0.040541231</v>
      </c>
      <c r="I1672" s="14" t="s">
        <v>147</v>
      </c>
      <c r="J1672" s="14">
        <v>0.455109226</v>
      </c>
      <c r="K1672" s="14">
        <v>0.736201656</v>
      </c>
      <c r="L1672" s="14">
        <v>0.469501781</v>
      </c>
      <c r="M1672" s="14">
        <v>0.514549806</v>
      </c>
      <c r="N1672" s="14">
        <v>1.013982658</v>
      </c>
      <c r="O1672" s="14">
        <v>2.721226515</v>
      </c>
      <c r="P1672" s="14" t="s">
        <v>8395</v>
      </c>
      <c r="Q1672" s="14" t="s">
        <v>8396</v>
      </c>
      <c r="R1672" s="14" t="s">
        <v>1086</v>
      </c>
      <c r="S1672" s="14" t="s">
        <v>1087</v>
      </c>
      <c r="T1672" s="14" t="s">
        <v>8397</v>
      </c>
      <c r="U1672" s="14" t="s">
        <v>8398</v>
      </c>
    </row>
    <row r="1673" spans="1:21">
      <c r="A1673" s="14" t="s">
        <v>8399</v>
      </c>
      <c r="B1673" s="14">
        <v>2751.374044</v>
      </c>
      <c r="C1673" s="14">
        <v>4145.778067</v>
      </c>
      <c r="D1673" s="14">
        <v>1356.970022</v>
      </c>
      <c r="E1673" s="14">
        <v>0.327340356</v>
      </c>
      <c r="F1673" s="14">
        <v>-1.611136618</v>
      </c>
      <c r="G1673" s="51" t="s">
        <v>8400</v>
      </c>
      <c r="H1673" s="51" t="s">
        <v>8401</v>
      </c>
      <c r="I1673" s="14" t="s">
        <v>147</v>
      </c>
      <c r="J1673" s="14">
        <v>16.11006007</v>
      </c>
      <c r="K1673" s="14">
        <v>11.03482417</v>
      </c>
      <c r="L1673" s="14">
        <v>13.952708</v>
      </c>
      <c r="M1673" s="14">
        <v>37.58875074</v>
      </c>
      <c r="N1673" s="14">
        <v>36.02913042</v>
      </c>
      <c r="O1673" s="14">
        <v>28.85375942</v>
      </c>
      <c r="P1673" s="14" t="s">
        <v>8402</v>
      </c>
      <c r="Q1673" s="14" t="s">
        <v>8403</v>
      </c>
      <c r="T1673" s="14" t="s">
        <v>8404</v>
      </c>
      <c r="U1673" s="14" t="s">
        <v>8405</v>
      </c>
    </row>
    <row r="1674" spans="1:21">
      <c r="A1674" s="14" t="s">
        <v>8406</v>
      </c>
      <c r="B1674" s="14">
        <v>8.575353216</v>
      </c>
      <c r="C1674" s="14">
        <v>0</v>
      </c>
      <c r="D1674" s="14">
        <v>17.15070643</v>
      </c>
      <c r="E1674" s="14">
        <v>92.46789052</v>
      </c>
      <c r="F1674" s="14">
        <v>6.530880572</v>
      </c>
      <c r="G1674" s="14">
        <v>0.00014968</v>
      </c>
      <c r="H1674" s="14">
        <v>0.000677745</v>
      </c>
      <c r="I1674" s="14" t="s">
        <v>164</v>
      </c>
      <c r="J1674" s="14">
        <v>0.53358173</v>
      </c>
      <c r="K1674" s="14">
        <v>0.201399731</v>
      </c>
      <c r="L1674" s="14">
        <v>0.128439717</v>
      </c>
      <c r="M1674" s="14">
        <v>0</v>
      </c>
      <c r="N1674" s="14">
        <v>0</v>
      </c>
      <c r="O1674" s="14">
        <v>0</v>
      </c>
      <c r="P1674" s="14" t="s">
        <v>5995</v>
      </c>
      <c r="Q1674" s="14" t="s">
        <v>5996</v>
      </c>
      <c r="T1674" s="14" t="s">
        <v>5997</v>
      </c>
      <c r="U1674" s="14" t="s">
        <v>5998</v>
      </c>
    </row>
    <row r="1675" spans="1:21">
      <c r="A1675" s="14" t="s">
        <v>8407</v>
      </c>
      <c r="B1675" s="14">
        <v>34.38579814</v>
      </c>
      <c r="C1675" s="14">
        <v>62.84971217</v>
      </c>
      <c r="D1675" s="14">
        <v>5.921884113</v>
      </c>
      <c r="E1675" s="14">
        <v>0.094117751</v>
      </c>
      <c r="F1675" s="14">
        <v>-3.409389341</v>
      </c>
      <c r="G1675" s="51" t="s">
        <v>8408</v>
      </c>
      <c r="H1675" s="51" t="s">
        <v>8409</v>
      </c>
      <c r="I1675" s="14" t="s">
        <v>147</v>
      </c>
      <c r="J1675" s="14">
        <v>0.26299313</v>
      </c>
      <c r="K1675" s="14">
        <v>0.198532831</v>
      </c>
      <c r="L1675" s="14">
        <v>0.126611394</v>
      </c>
      <c r="M1675" s="14">
        <v>2.33453611</v>
      </c>
      <c r="N1675" s="14">
        <v>1.996850096</v>
      </c>
      <c r="O1675" s="14">
        <v>0.687973192</v>
      </c>
      <c r="P1675" s="14" t="s">
        <v>8410</v>
      </c>
      <c r="Q1675" s="14" t="s">
        <v>8411</v>
      </c>
      <c r="R1675" s="14" t="s">
        <v>3937</v>
      </c>
      <c r="S1675" s="14" t="s">
        <v>3938</v>
      </c>
      <c r="T1675" s="14" t="s">
        <v>6356</v>
      </c>
      <c r="U1675" s="14" t="s">
        <v>6357</v>
      </c>
    </row>
    <row r="1676" spans="1:21">
      <c r="A1676" s="14" t="s">
        <v>8412</v>
      </c>
      <c r="B1676" s="14">
        <v>135.5032778</v>
      </c>
      <c r="C1676" s="14">
        <v>75.48045926</v>
      </c>
      <c r="D1676" s="14">
        <v>195.5260964</v>
      </c>
      <c r="E1676" s="14">
        <v>2.584040149</v>
      </c>
      <c r="F1676" s="14">
        <v>1.369628486</v>
      </c>
      <c r="G1676" s="51" t="s">
        <v>6371</v>
      </c>
      <c r="H1676" s="51" t="s">
        <v>8413</v>
      </c>
      <c r="I1676" s="14" t="s">
        <v>164</v>
      </c>
      <c r="J1676" s="14">
        <v>38.51918959</v>
      </c>
      <c r="K1676" s="14">
        <v>32.27969021</v>
      </c>
      <c r="L1676" s="14">
        <v>32.38922508</v>
      </c>
      <c r="M1676" s="14">
        <v>9.245803161</v>
      </c>
      <c r="N1676" s="14">
        <v>8.297976254</v>
      </c>
      <c r="O1676" s="14">
        <v>15.75744184</v>
      </c>
      <c r="P1676" s="14" t="s">
        <v>8414</v>
      </c>
      <c r="Q1676" s="14" t="s">
        <v>8415</v>
      </c>
      <c r="R1676" s="14" t="s">
        <v>4420</v>
      </c>
      <c r="S1676" s="14" t="s">
        <v>4421</v>
      </c>
      <c r="T1676" s="14" t="s">
        <v>8416</v>
      </c>
      <c r="U1676" s="14" t="s">
        <v>8417</v>
      </c>
    </row>
    <row r="1677" spans="1:21">
      <c r="A1677" s="14" t="s">
        <v>8418</v>
      </c>
      <c r="B1677" s="14">
        <v>313.0436769</v>
      </c>
      <c r="C1677" s="14">
        <v>135.5196543</v>
      </c>
      <c r="D1677" s="14">
        <v>490.5676994</v>
      </c>
      <c r="E1677" s="14">
        <v>3.622550614</v>
      </c>
      <c r="F1677" s="14">
        <v>1.857005847</v>
      </c>
      <c r="G1677" s="51" t="s">
        <v>8419</v>
      </c>
      <c r="H1677" s="51" t="s">
        <v>8420</v>
      </c>
      <c r="I1677" s="14" t="s">
        <v>164</v>
      </c>
      <c r="J1677" s="14">
        <v>5.790496697</v>
      </c>
      <c r="K1677" s="14">
        <v>3.271879426</v>
      </c>
      <c r="L1677" s="14">
        <v>3.814291997</v>
      </c>
      <c r="M1677" s="14">
        <v>0.978997027</v>
      </c>
      <c r="N1677" s="14">
        <v>1.095769992</v>
      </c>
      <c r="O1677" s="14">
        <v>0.834476836</v>
      </c>
      <c r="P1677" s="14" t="s">
        <v>8421</v>
      </c>
      <c r="Q1677" s="14" t="s">
        <v>8422</v>
      </c>
      <c r="T1677" s="14" t="s">
        <v>8423</v>
      </c>
      <c r="U1677" s="14" t="s">
        <v>8424</v>
      </c>
    </row>
    <row r="1678" spans="1:21">
      <c r="A1678" s="14" t="s">
        <v>8425</v>
      </c>
      <c r="B1678" s="14">
        <v>475.5639261</v>
      </c>
      <c r="C1678" s="14">
        <v>161.9413915</v>
      </c>
      <c r="D1678" s="14">
        <v>789.1864608</v>
      </c>
      <c r="E1678" s="14">
        <v>4.869678093</v>
      </c>
      <c r="F1678" s="14">
        <v>2.283826407</v>
      </c>
      <c r="G1678" s="51" t="s">
        <v>8426</v>
      </c>
      <c r="H1678" s="51" t="s">
        <v>8427</v>
      </c>
      <c r="I1678" s="14" t="s">
        <v>164</v>
      </c>
      <c r="J1678" s="14">
        <v>24.60127712</v>
      </c>
      <c r="K1678" s="14">
        <v>7.790706926</v>
      </c>
      <c r="L1678" s="14">
        <v>14.1187697</v>
      </c>
      <c r="M1678" s="14">
        <v>1.464258945</v>
      </c>
      <c r="N1678" s="14">
        <v>2.458369589</v>
      </c>
      <c r="O1678" s="14">
        <v>4.102463805</v>
      </c>
      <c r="P1678" s="14" t="s">
        <v>8421</v>
      </c>
      <c r="Q1678" s="14" t="s">
        <v>8422</v>
      </c>
      <c r="T1678" s="14" t="s">
        <v>8423</v>
      </c>
      <c r="U1678" s="14" t="s">
        <v>8424</v>
      </c>
    </row>
    <row r="1679" spans="1:21">
      <c r="A1679" s="14" t="s">
        <v>8428</v>
      </c>
      <c r="B1679" s="14">
        <v>388.7778406</v>
      </c>
      <c r="C1679" s="14">
        <v>621.3710461</v>
      </c>
      <c r="D1679" s="14">
        <v>156.184635</v>
      </c>
      <c r="E1679" s="14">
        <v>0.251269141</v>
      </c>
      <c r="F1679" s="14">
        <v>-1.992694594</v>
      </c>
      <c r="G1679" s="51" t="s">
        <v>8429</v>
      </c>
      <c r="H1679" s="51" t="s">
        <v>8215</v>
      </c>
      <c r="I1679" s="14" t="s">
        <v>147</v>
      </c>
      <c r="J1679" s="14">
        <v>6.134917039</v>
      </c>
      <c r="K1679" s="14">
        <v>5.607163247</v>
      </c>
      <c r="L1679" s="14">
        <v>4.922501182</v>
      </c>
      <c r="M1679" s="14">
        <v>17.82850852</v>
      </c>
      <c r="N1679" s="14">
        <v>18.95658368</v>
      </c>
      <c r="O1679" s="14">
        <v>17.70874507</v>
      </c>
      <c r="P1679" s="14" t="s">
        <v>8430</v>
      </c>
      <c r="Q1679" s="14" t="s">
        <v>8431</v>
      </c>
      <c r="T1679" s="14" t="s">
        <v>8432</v>
      </c>
      <c r="U1679" s="14" t="s">
        <v>8433</v>
      </c>
    </row>
    <row r="1680" spans="1:17">
      <c r="A1680" s="14" t="s">
        <v>8434</v>
      </c>
      <c r="B1680" s="14">
        <v>491.5720744</v>
      </c>
      <c r="C1680" s="14">
        <v>288.4408742</v>
      </c>
      <c r="D1680" s="14">
        <v>694.7032747</v>
      </c>
      <c r="E1680" s="14">
        <v>2.407010872</v>
      </c>
      <c r="F1680" s="14">
        <v>1.267242658</v>
      </c>
      <c r="G1680" s="14">
        <v>0.008177053</v>
      </c>
      <c r="H1680" s="14">
        <v>0.022691673</v>
      </c>
      <c r="I1680" s="14" t="s">
        <v>164</v>
      </c>
      <c r="J1680" s="14">
        <v>10.90083151</v>
      </c>
      <c r="K1680" s="14">
        <v>10.39622178</v>
      </c>
      <c r="L1680" s="14">
        <v>12.16356894</v>
      </c>
      <c r="M1680" s="14">
        <v>2.583195042</v>
      </c>
      <c r="N1680" s="14">
        <v>1.852179965</v>
      </c>
      <c r="O1680" s="14">
        <v>7.382536183</v>
      </c>
      <c r="P1680" s="14" t="s">
        <v>532</v>
      </c>
      <c r="Q1680" s="14" t="s">
        <v>533</v>
      </c>
    </row>
    <row r="1681" spans="1:21">
      <c r="A1681" s="14" t="s">
        <v>8435</v>
      </c>
      <c r="B1681" s="14">
        <v>48.6509774</v>
      </c>
      <c r="C1681" s="14">
        <v>88.39220745</v>
      </c>
      <c r="D1681" s="14">
        <v>8.909747353</v>
      </c>
      <c r="E1681" s="14">
        <v>0.10066086</v>
      </c>
      <c r="F1681" s="14">
        <v>-3.312425264</v>
      </c>
      <c r="G1681" s="14">
        <v>0.000251399</v>
      </c>
      <c r="H1681" s="14">
        <v>0.001074161</v>
      </c>
      <c r="I1681" s="14" t="s">
        <v>147</v>
      </c>
      <c r="J1681" s="14">
        <v>0.009904539</v>
      </c>
      <c r="K1681" s="14">
        <v>0.189415079</v>
      </c>
      <c r="L1681" s="14">
        <v>0.066756061</v>
      </c>
      <c r="M1681" s="14">
        <v>0.898272767</v>
      </c>
      <c r="N1681" s="14">
        <v>0.829265848</v>
      </c>
      <c r="O1681" s="14">
        <v>0.414554254</v>
      </c>
      <c r="P1681" s="14" t="s">
        <v>5954</v>
      </c>
      <c r="Q1681" s="14" t="s">
        <v>5955</v>
      </c>
      <c r="T1681" s="14" t="s">
        <v>2960</v>
      </c>
      <c r="U1681" s="14" t="s">
        <v>2961</v>
      </c>
    </row>
    <row r="1682" spans="1:21">
      <c r="A1682" s="14" t="s">
        <v>8436</v>
      </c>
      <c r="B1682" s="14">
        <v>12.2340383</v>
      </c>
      <c r="C1682" s="14">
        <v>24.46807659</v>
      </c>
      <c r="D1682" s="14">
        <v>0</v>
      </c>
      <c r="E1682" s="14">
        <v>0.007358344</v>
      </c>
      <c r="F1682" s="14">
        <v>-7.086403166</v>
      </c>
      <c r="G1682" s="51" t="s">
        <v>7996</v>
      </c>
      <c r="H1682" s="51" t="s">
        <v>8437</v>
      </c>
      <c r="I1682" s="14" t="s">
        <v>147</v>
      </c>
      <c r="J1682" s="14">
        <v>0</v>
      </c>
      <c r="K1682" s="14">
        <v>0</v>
      </c>
      <c r="L1682" s="14">
        <v>0</v>
      </c>
      <c r="M1682" s="14">
        <v>0.315899054</v>
      </c>
      <c r="N1682" s="14">
        <v>0.231757606</v>
      </c>
      <c r="O1682" s="14">
        <v>0.818127368</v>
      </c>
      <c r="P1682" s="14" t="s">
        <v>8438</v>
      </c>
      <c r="Q1682" s="14" t="s">
        <v>8439</v>
      </c>
      <c r="T1682" s="14" t="s">
        <v>4373</v>
      </c>
      <c r="U1682" s="14" t="s">
        <v>4374</v>
      </c>
    </row>
    <row r="1683" spans="1:21">
      <c r="A1683" s="14" t="s">
        <v>8440</v>
      </c>
      <c r="B1683" s="14">
        <v>5287.01412</v>
      </c>
      <c r="C1683" s="14">
        <v>7092.040724</v>
      </c>
      <c r="D1683" s="14">
        <v>3481.987515</v>
      </c>
      <c r="E1683" s="14">
        <v>0.490984996</v>
      </c>
      <c r="F1683" s="14">
        <v>-1.026249156</v>
      </c>
      <c r="G1683" s="51" t="s">
        <v>8441</v>
      </c>
      <c r="H1683" s="14">
        <v>0.000197947</v>
      </c>
      <c r="I1683" s="14" t="s">
        <v>147</v>
      </c>
      <c r="J1683" s="14">
        <v>19.78961529</v>
      </c>
      <c r="K1683" s="14">
        <v>25.04207409</v>
      </c>
      <c r="L1683" s="14">
        <v>20.49902195</v>
      </c>
      <c r="M1683" s="14">
        <v>41.11499974</v>
      </c>
      <c r="N1683" s="14">
        <v>39.49585127</v>
      </c>
      <c r="O1683" s="14">
        <v>27.80700838</v>
      </c>
      <c r="P1683" s="14" t="s">
        <v>8442</v>
      </c>
      <c r="Q1683" s="14" t="s">
        <v>8443</v>
      </c>
      <c r="R1683" s="14" t="s">
        <v>5962</v>
      </c>
      <c r="S1683" s="14" t="s">
        <v>5963</v>
      </c>
      <c r="T1683" s="14" t="s">
        <v>8444</v>
      </c>
      <c r="U1683" s="14" t="s">
        <v>8445</v>
      </c>
    </row>
    <row r="1684" spans="1:15">
      <c r="A1684" s="14" t="s">
        <v>8446</v>
      </c>
      <c r="B1684" s="14">
        <v>2714.541531</v>
      </c>
      <c r="C1684" s="14">
        <v>4208.706973</v>
      </c>
      <c r="D1684" s="14">
        <v>1220.376089</v>
      </c>
      <c r="E1684" s="14">
        <v>0.289996654</v>
      </c>
      <c r="F1684" s="14">
        <v>-1.785891842</v>
      </c>
      <c r="G1684" s="51" t="s">
        <v>8447</v>
      </c>
      <c r="H1684" s="51" t="s">
        <v>6560</v>
      </c>
      <c r="I1684" s="14" t="s">
        <v>147</v>
      </c>
      <c r="J1684" s="14">
        <v>15.74763897</v>
      </c>
      <c r="K1684" s="14">
        <v>18.4280219</v>
      </c>
      <c r="L1684" s="14">
        <v>20.26404262</v>
      </c>
      <c r="M1684" s="14">
        <v>56.23652502</v>
      </c>
      <c r="N1684" s="14">
        <v>55.8851765</v>
      </c>
      <c r="O1684" s="14">
        <v>40.82829704</v>
      </c>
    </row>
    <row r="1685" spans="1:21">
      <c r="A1685" s="14" t="s">
        <v>8448</v>
      </c>
      <c r="B1685" s="14">
        <v>4239.97652</v>
      </c>
      <c r="C1685" s="14">
        <v>5750.252916</v>
      </c>
      <c r="D1685" s="14">
        <v>2729.700123</v>
      </c>
      <c r="E1685" s="14">
        <v>0.474681033</v>
      </c>
      <c r="F1685" s="14">
        <v>-1.074969692</v>
      </c>
      <c r="G1685" s="51" t="s">
        <v>8449</v>
      </c>
      <c r="H1685" s="51" t="s">
        <v>8450</v>
      </c>
      <c r="I1685" s="14" t="s">
        <v>147</v>
      </c>
      <c r="J1685" s="14">
        <v>34.11280852</v>
      </c>
      <c r="K1685" s="14">
        <v>24.43611249</v>
      </c>
      <c r="L1685" s="14">
        <v>24.20499154</v>
      </c>
      <c r="M1685" s="14">
        <v>40.53237571</v>
      </c>
      <c r="N1685" s="14">
        <v>39.3299442</v>
      </c>
      <c r="O1685" s="14">
        <v>65.55429266</v>
      </c>
      <c r="P1685" s="14" t="s">
        <v>8451</v>
      </c>
      <c r="Q1685" s="14" t="s">
        <v>8452</v>
      </c>
      <c r="R1685" s="14" t="s">
        <v>754</v>
      </c>
      <c r="S1685" s="14" t="s">
        <v>755</v>
      </c>
      <c r="T1685" s="14" t="s">
        <v>8453</v>
      </c>
      <c r="U1685" s="14" t="s">
        <v>8454</v>
      </c>
    </row>
    <row r="1686" spans="1:15">
      <c r="A1686" s="14" t="s">
        <v>8455</v>
      </c>
      <c r="B1686" s="14">
        <v>110.1613334</v>
      </c>
      <c r="C1686" s="14">
        <v>196.5071446</v>
      </c>
      <c r="D1686" s="14">
        <v>23.81552226</v>
      </c>
      <c r="E1686" s="14">
        <v>0.121176957</v>
      </c>
      <c r="F1686" s="14">
        <v>-3.044812719</v>
      </c>
      <c r="G1686" s="51" t="s">
        <v>8456</v>
      </c>
      <c r="H1686" s="51" t="s">
        <v>8457</v>
      </c>
      <c r="I1686" s="14" t="s">
        <v>147</v>
      </c>
      <c r="J1686" s="14">
        <v>0.552134428</v>
      </c>
      <c r="K1686" s="14">
        <v>0.448866757</v>
      </c>
      <c r="L1686" s="14">
        <v>0.531622323</v>
      </c>
      <c r="M1686" s="14">
        <v>3.361331108</v>
      </c>
      <c r="N1686" s="14">
        <v>2.370662419</v>
      </c>
      <c r="O1686" s="14">
        <v>4.79968056</v>
      </c>
    </row>
    <row r="1687" spans="1:15">
      <c r="A1687" s="14" t="s">
        <v>8458</v>
      </c>
      <c r="B1687" s="14">
        <v>3633.798758</v>
      </c>
      <c r="C1687" s="14">
        <v>4951.184604</v>
      </c>
      <c r="D1687" s="14">
        <v>2316.412912</v>
      </c>
      <c r="E1687" s="14">
        <v>0.467875807</v>
      </c>
      <c r="F1687" s="14">
        <v>-1.095802462</v>
      </c>
      <c r="G1687" s="51" t="s">
        <v>8459</v>
      </c>
      <c r="H1687" s="51" t="s">
        <v>8003</v>
      </c>
      <c r="I1687" s="14" t="s">
        <v>147</v>
      </c>
      <c r="J1687" s="14">
        <v>19.66857875</v>
      </c>
      <c r="K1687" s="14">
        <v>20.36506331</v>
      </c>
      <c r="L1687" s="14">
        <v>19.04331571</v>
      </c>
      <c r="M1687" s="14">
        <v>37.55564743</v>
      </c>
      <c r="N1687" s="14">
        <v>37.98000517</v>
      </c>
      <c r="O1687" s="14">
        <v>27.45033111</v>
      </c>
    </row>
    <row r="1688" spans="1:15">
      <c r="A1688" s="14" t="s">
        <v>8460</v>
      </c>
      <c r="B1688" s="14">
        <v>318.3876278</v>
      </c>
      <c r="C1688" s="14">
        <v>553.3646061</v>
      </c>
      <c r="D1688" s="14">
        <v>83.41064949</v>
      </c>
      <c r="E1688" s="14">
        <v>0.150904745</v>
      </c>
      <c r="F1688" s="14">
        <v>-2.728289929</v>
      </c>
      <c r="G1688" s="51" t="s">
        <v>8461</v>
      </c>
      <c r="H1688" s="51" t="s">
        <v>8462</v>
      </c>
      <c r="I1688" s="14" t="s">
        <v>147</v>
      </c>
      <c r="J1688" s="14">
        <v>0.822529028</v>
      </c>
      <c r="K1688" s="14">
        <v>0.509476945</v>
      </c>
      <c r="L1688" s="14">
        <v>0.957328322</v>
      </c>
      <c r="M1688" s="14">
        <v>4.160640606</v>
      </c>
      <c r="N1688" s="14">
        <v>4.785517212</v>
      </c>
      <c r="O1688" s="14">
        <v>3.42756053</v>
      </c>
    </row>
    <row r="1689" spans="1:15">
      <c r="A1689" s="14" t="s">
        <v>8463</v>
      </c>
      <c r="B1689" s="14">
        <v>4672.081438</v>
      </c>
      <c r="C1689" s="14">
        <v>6233.567622</v>
      </c>
      <c r="D1689" s="14">
        <v>3110.595254</v>
      </c>
      <c r="E1689" s="14">
        <v>0.498987558</v>
      </c>
      <c r="F1689" s="14">
        <v>-1.002924252</v>
      </c>
      <c r="G1689" s="51" t="s">
        <v>8464</v>
      </c>
      <c r="H1689" s="51" t="s">
        <v>8465</v>
      </c>
      <c r="I1689" s="14" t="s">
        <v>147</v>
      </c>
      <c r="J1689" s="14">
        <v>52.65266334</v>
      </c>
      <c r="K1689" s="14">
        <v>62.13316056</v>
      </c>
      <c r="L1689" s="14">
        <v>59.38336205</v>
      </c>
      <c r="M1689" s="14">
        <v>90.52576241</v>
      </c>
      <c r="N1689" s="14">
        <v>87.81994645</v>
      </c>
      <c r="O1689" s="14">
        <v>110.1887972</v>
      </c>
    </row>
    <row r="1690" spans="1:21">
      <c r="A1690" s="14" t="s">
        <v>8466</v>
      </c>
      <c r="B1690" s="14">
        <v>10081.26176</v>
      </c>
      <c r="C1690" s="14">
        <v>6506.839312</v>
      </c>
      <c r="D1690" s="14">
        <v>13655.68421</v>
      </c>
      <c r="E1690" s="14">
        <v>2.098544258</v>
      </c>
      <c r="F1690" s="14">
        <v>1.06938889</v>
      </c>
      <c r="G1690" s="51" t="s">
        <v>8467</v>
      </c>
      <c r="H1690" s="51" t="s">
        <v>8468</v>
      </c>
      <c r="I1690" s="14" t="s">
        <v>164</v>
      </c>
      <c r="J1690" s="14">
        <v>165.8761027</v>
      </c>
      <c r="K1690" s="14">
        <v>143.1854179</v>
      </c>
      <c r="L1690" s="14">
        <v>165.410282</v>
      </c>
      <c r="M1690" s="14">
        <v>52.62137558</v>
      </c>
      <c r="N1690" s="14">
        <v>53.73097373</v>
      </c>
      <c r="O1690" s="14">
        <v>81.67929702</v>
      </c>
      <c r="P1690" s="14" t="s">
        <v>8469</v>
      </c>
      <c r="Q1690" s="14" t="s">
        <v>8470</v>
      </c>
      <c r="T1690" s="14" t="s">
        <v>8471</v>
      </c>
      <c r="U1690" s="14" t="s">
        <v>8472</v>
      </c>
    </row>
    <row r="1691" spans="1:21">
      <c r="A1691" s="14" t="s">
        <v>8473</v>
      </c>
      <c r="B1691" s="14">
        <v>1008.983044</v>
      </c>
      <c r="C1691" s="14">
        <v>1462.294062</v>
      </c>
      <c r="D1691" s="14">
        <v>555.6720255</v>
      </c>
      <c r="E1691" s="14">
        <v>0.379998356</v>
      </c>
      <c r="F1691" s="14">
        <v>-1.395934917</v>
      </c>
      <c r="G1691" s="51" t="s">
        <v>8474</v>
      </c>
      <c r="H1691" s="51" t="s">
        <v>8475</v>
      </c>
      <c r="I1691" s="14" t="s">
        <v>147</v>
      </c>
      <c r="J1691" s="14">
        <v>4.678141104</v>
      </c>
      <c r="K1691" s="14">
        <v>5.263153917</v>
      </c>
      <c r="L1691" s="14">
        <v>4.308504419</v>
      </c>
      <c r="M1691" s="14">
        <v>10.41254198</v>
      </c>
      <c r="N1691" s="14">
        <v>10.97742718</v>
      </c>
      <c r="O1691" s="14">
        <v>9.357420036</v>
      </c>
      <c r="P1691" s="14" t="s">
        <v>8476</v>
      </c>
      <c r="Q1691" s="14" t="s">
        <v>8477</v>
      </c>
      <c r="T1691" s="14" t="s">
        <v>8478</v>
      </c>
      <c r="U1691" s="14" t="s">
        <v>8479</v>
      </c>
    </row>
    <row r="1692" spans="1:21">
      <c r="A1692" s="14" t="s">
        <v>8480</v>
      </c>
      <c r="B1692" s="14">
        <v>1258.627298</v>
      </c>
      <c r="C1692" s="14">
        <v>766.7788877</v>
      </c>
      <c r="D1692" s="14">
        <v>1750.475709</v>
      </c>
      <c r="E1692" s="14">
        <v>2.282288978</v>
      </c>
      <c r="F1692" s="14">
        <v>1.190481474</v>
      </c>
      <c r="G1692" s="14">
        <v>0.002580072</v>
      </c>
      <c r="H1692" s="14">
        <v>0.008342013</v>
      </c>
      <c r="I1692" s="14" t="s">
        <v>164</v>
      </c>
      <c r="J1692" s="14">
        <v>16.42852434</v>
      </c>
      <c r="K1692" s="14">
        <v>29.85783239</v>
      </c>
      <c r="L1692" s="14">
        <v>26.0527255</v>
      </c>
      <c r="M1692" s="14">
        <v>5.89564782</v>
      </c>
      <c r="N1692" s="14">
        <v>6.19379071</v>
      </c>
      <c r="O1692" s="14">
        <v>14.65466228</v>
      </c>
      <c r="P1692" s="14" t="s">
        <v>5895</v>
      </c>
      <c r="Q1692" s="14" t="s">
        <v>5896</v>
      </c>
      <c r="T1692" s="14" t="s">
        <v>5897</v>
      </c>
      <c r="U1692" s="14" t="s">
        <v>5898</v>
      </c>
    </row>
    <row r="1693" spans="1:21">
      <c r="A1693" s="14" t="s">
        <v>8481</v>
      </c>
      <c r="B1693" s="14">
        <v>1238.420568</v>
      </c>
      <c r="C1693" s="14">
        <v>1907.2426</v>
      </c>
      <c r="D1693" s="14">
        <v>569.5985353</v>
      </c>
      <c r="E1693" s="14">
        <v>0.298599009</v>
      </c>
      <c r="F1693" s="14">
        <v>-1.743718718</v>
      </c>
      <c r="G1693" s="51" t="s">
        <v>8482</v>
      </c>
      <c r="H1693" s="51" t="s">
        <v>8483</v>
      </c>
      <c r="I1693" s="14" t="s">
        <v>147</v>
      </c>
      <c r="J1693" s="14">
        <v>11.89578751</v>
      </c>
      <c r="K1693" s="14">
        <v>8.739634758</v>
      </c>
      <c r="L1693" s="14">
        <v>7.757526012</v>
      </c>
      <c r="M1693" s="14">
        <v>20.8916283</v>
      </c>
      <c r="N1693" s="14">
        <v>17.24350359</v>
      </c>
      <c r="O1693" s="14">
        <v>41.88686742</v>
      </c>
      <c r="P1693" s="14" t="s">
        <v>5875</v>
      </c>
      <c r="Q1693" s="14" t="s">
        <v>5876</v>
      </c>
      <c r="T1693" s="14" t="s">
        <v>5877</v>
      </c>
      <c r="U1693" s="14" t="s">
        <v>5878</v>
      </c>
    </row>
    <row r="1694" spans="1:21">
      <c r="A1694" s="14" t="s">
        <v>8484</v>
      </c>
      <c r="B1694" s="14">
        <v>422.4226257</v>
      </c>
      <c r="C1694" s="14">
        <v>625.0802887</v>
      </c>
      <c r="D1694" s="14">
        <v>219.7649626</v>
      </c>
      <c r="E1694" s="14">
        <v>0.351661321</v>
      </c>
      <c r="F1694" s="14">
        <v>-1.507741434</v>
      </c>
      <c r="G1694" s="14">
        <v>0.000773012</v>
      </c>
      <c r="H1694" s="14">
        <v>0.002919775</v>
      </c>
      <c r="I1694" s="14" t="s">
        <v>147</v>
      </c>
      <c r="J1694" s="14">
        <v>9.729578692</v>
      </c>
      <c r="K1694" s="14">
        <v>13.86440515</v>
      </c>
      <c r="L1694" s="14">
        <v>12.78906183</v>
      </c>
      <c r="M1694" s="14">
        <v>31.94205274</v>
      </c>
      <c r="N1694" s="14">
        <v>37.86829971</v>
      </c>
      <c r="O1694" s="14">
        <v>13.58962809</v>
      </c>
      <c r="P1694" s="14" t="s">
        <v>5870</v>
      </c>
      <c r="Q1694" s="14" t="s">
        <v>5871</v>
      </c>
      <c r="R1694" s="14" t="s">
        <v>5872</v>
      </c>
      <c r="S1694" s="14" t="s">
        <v>5873</v>
      </c>
      <c r="T1694" s="14" t="s">
        <v>2798</v>
      </c>
      <c r="U1694" s="14" t="s">
        <v>2799</v>
      </c>
    </row>
    <row r="1695" spans="1:15">
      <c r="A1695" s="14" t="s">
        <v>8485</v>
      </c>
      <c r="B1695" s="14">
        <v>1197.592945</v>
      </c>
      <c r="C1695" s="14">
        <v>1772.116763</v>
      </c>
      <c r="D1695" s="14">
        <v>623.0691276</v>
      </c>
      <c r="E1695" s="14">
        <v>0.351638447</v>
      </c>
      <c r="F1695" s="14">
        <v>-1.507835275</v>
      </c>
      <c r="G1695" s="51" t="s">
        <v>8486</v>
      </c>
      <c r="H1695" s="51" t="s">
        <v>8487</v>
      </c>
      <c r="I1695" s="14" t="s">
        <v>147</v>
      </c>
      <c r="J1695" s="14">
        <v>11.72720874</v>
      </c>
      <c r="K1695" s="14">
        <v>14.85914201</v>
      </c>
      <c r="L1695" s="14">
        <v>14.63484039</v>
      </c>
      <c r="M1695" s="14">
        <v>30.54964817</v>
      </c>
      <c r="N1695" s="14">
        <v>33.36000211</v>
      </c>
      <c r="O1695" s="14">
        <v>32.50343171</v>
      </c>
    </row>
    <row r="1696" spans="1:21">
      <c r="A1696" s="14" t="s">
        <v>8488</v>
      </c>
      <c r="B1696" s="14">
        <v>593.2038089</v>
      </c>
      <c r="C1696" s="14">
        <v>815.9300111</v>
      </c>
      <c r="D1696" s="14">
        <v>370.4776068</v>
      </c>
      <c r="E1696" s="14">
        <v>0.45424855</v>
      </c>
      <c r="F1696" s="14">
        <v>-1.138446187</v>
      </c>
      <c r="G1696" s="51" t="s">
        <v>8489</v>
      </c>
      <c r="H1696" s="51" t="s">
        <v>8490</v>
      </c>
      <c r="I1696" s="14" t="s">
        <v>147</v>
      </c>
      <c r="J1696" s="14">
        <v>2.787160061</v>
      </c>
      <c r="K1696" s="14">
        <v>3.803708555</v>
      </c>
      <c r="L1696" s="14">
        <v>4.55546118</v>
      </c>
      <c r="M1696" s="14">
        <v>6.806095594</v>
      </c>
      <c r="N1696" s="14">
        <v>7.050709293</v>
      </c>
      <c r="O1696" s="14">
        <v>6.235519143</v>
      </c>
      <c r="P1696" s="14" t="s">
        <v>8491</v>
      </c>
      <c r="Q1696" s="14" t="s">
        <v>8492</v>
      </c>
      <c r="T1696" s="14" t="s">
        <v>8493</v>
      </c>
      <c r="U1696" s="14" t="s">
        <v>8494</v>
      </c>
    </row>
    <row r="1697" spans="1:21">
      <c r="A1697" s="14" t="s">
        <v>8495</v>
      </c>
      <c r="B1697" s="14">
        <v>73.663114</v>
      </c>
      <c r="C1697" s="14">
        <v>0.723792487</v>
      </c>
      <c r="D1697" s="14">
        <v>146.6024355</v>
      </c>
      <c r="E1697" s="14">
        <v>210.7397227</v>
      </c>
      <c r="F1697" s="14">
        <v>7.719318466</v>
      </c>
      <c r="G1697" s="51" t="s">
        <v>8496</v>
      </c>
      <c r="H1697" s="51" t="s">
        <v>3542</v>
      </c>
      <c r="I1697" s="14" t="s">
        <v>164</v>
      </c>
      <c r="J1697" s="14">
        <v>0.238122309</v>
      </c>
      <c r="K1697" s="14">
        <v>4.473974711</v>
      </c>
      <c r="L1697" s="14">
        <v>0.272947537</v>
      </c>
      <c r="M1697" s="14">
        <v>0.019403446</v>
      </c>
      <c r="N1697" s="14">
        <v>0</v>
      </c>
      <c r="O1697" s="14">
        <v>0</v>
      </c>
      <c r="P1697" s="14" t="s">
        <v>8497</v>
      </c>
      <c r="Q1697" s="14" t="s">
        <v>8498</v>
      </c>
      <c r="T1697" s="14" t="s">
        <v>8499</v>
      </c>
      <c r="U1697" s="14" t="s">
        <v>8500</v>
      </c>
    </row>
    <row r="1698" spans="1:21">
      <c r="A1698" s="14" t="s">
        <v>8501</v>
      </c>
      <c r="B1698" s="14">
        <v>700.2058593</v>
      </c>
      <c r="C1698" s="14">
        <v>29.94197873</v>
      </c>
      <c r="D1698" s="14">
        <v>1370.46974</v>
      </c>
      <c r="E1698" s="14">
        <v>45.5975911</v>
      </c>
      <c r="F1698" s="14">
        <v>5.510885704</v>
      </c>
      <c r="G1698" s="51" t="s">
        <v>8502</v>
      </c>
      <c r="H1698" s="51" t="s">
        <v>8503</v>
      </c>
      <c r="I1698" s="14" t="s">
        <v>164</v>
      </c>
      <c r="J1698" s="14">
        <v>11.78765718</v>
      </c>
      <c r="K1698" s="14">
        <v>34.30555621</v>
      </c>
      <c r="L1698" s="14">
        <v>15.47691693</v>
      </c>
      <c r="M1698" s="14">
        <v>0.216480769</v>
      </c>
      <c r="N1698" s="14">
        <v>0.122169175</v>
      </c>
      <c r="O1698" s="14">
        <v>0.822286841</v>
      </c>
      <c r="P1698" s="14" t="s">
        <v>595</v>
      </c>
      <c r="Q1698" s="14" t="s">
        <v>596</v>
      </c>
      <c r="R1698" s="14" t="s">
        <v>597</v>
      </c>
      <c r="S1698" s="14" t="s">
        <v>598</v>
      </c>
      <c r="T1698" s="14" t="s">
        <v>599</v>
      </c>
      <c r="U1698" s="14" t="s">
        <v>600</v>
      </c>
    </row>
    <row r="1699" spans="1:21">
      <c r="A1699" s="14" t="s">
        <v>8504</v>
      </c>
      <c r="B1699" s="14">
        <v>141.3924853</v>
      </c>
      <c r="C1699" s="14">
        <v>229.9123181</v>
      </c>
      <c r="D1699" s="14">
        <v>52.87265253</v>
      </c>
      <c r="E1699" s="14">
        <v>0.230095093</v>
      </c>
      <c r="F1699" s="14">
        <v>-2.119697876</v>
      </c>
      <c r="G1699" s="51" t="s">
        <v>8505</v>
      </c>
      <c r="H1699" s="51" t="s">
        <v>8506</v>
      </c>
      <c r="I1699" s="14" t="s">
        <v>147</v>
      </c>
      <c r="J1699" s="14">
        <v>0.621210735</v>
      </c>
      <c r="K1699" s="14">
        <v>1.128954594</v>
      </c>
      <c r="L1699" s="14">
        <v>1.013502133</v>
      </c>
      <c r="M1699" s="14">
        <v>3.307139812</v>
      </c>
      <c r="N1699" s="14">
        <v>4.036831644</v>
      </c>
      <c r="O1699" s="14">
        <v>2.441182485</v>
      </c>
      <c r="P1699" s="14" t="s">
        <v>8507</v>
      </c>
      <c r="Q1699" s="14" t="s">
        <v>8508</v>
      </c>
      <c r="T1699" s="14" t="s">
        <v>8509</v>
      </c>
      <c r="U1699" s="14" t="s">
        <v>8510</v>
      </c>
    </row>
    <row r="1700" spans="1:21">
      <c r="A1700" s="14" t="s">
        <v>8511</v>
      </c>
      <c r="B1700" s="14">
        <v>6760.230205</v>
      </c>
      <c r="C1700" s="14">
        <v>2698.152796</v>
      </c>
      <c r="D1700" s="14">
        <v>10822.30761</v>
      </c>
      <c r="E1700" s="14">
        <v>4.01080313</v>
      </c>
      <c r="F1700" s="14">
        <v>2.003891153</v>
      </c>
      <c r="G1700" s="14">
        <v>0.003073406</v>
      </c>
      <c r="H1700" s="14">
        <v>0.009706841</v>
      </c>
      <c r="I1700" s="14" t="s">
        <v>164</v>
      </c>
      <c r="J1700" s="14">
        <v>626.1669098</v>
      </c>
      <c r="K1700" s="14">
        <v>201.2342955</v>
      </c>
      <c r="L1700" s="14">
        <v>422.0221238</v>
      </c>
      <c r="M1700" s="14">
        <v>34.42656453</v>
      </c>
      <c r="N1700" s="14">
        <v>37.40279781</v>
      </c>
      <c r="O1700" s="14">
        <v>196.9000822</v>
      </c>
      <c r="P1700" s="14" t="s">
        <v>8512</v>
      </c>
      <c r="Q1700" s="14" t="s">
        <v>8513</v>
      </c>
      <c r="T1700" s="14" t="s">
        <v>8514</v>
      </c>
      <c r="U1700" s="14" t="s">
        <v>8515</v>
      </c>
    </row>
    <row r="1701" spans="1:21">
      <c r="A1701" s="14" t="s">
        <v>8516</v>
      </c>
      <c r="B1701" s="14">
        <v>445.8293462</v>
      </c>
      <c r="C1701" s="14">
        <v>291.2560306</v>
      </c>
      <c r="D1701" s="14">
        <v>600.4026617</v>
      </c>
      <c r="E1701" s="14">
        <v>2.059543504</v>
      </c>
      <c r="F1701" s="14">
        <v>1.042324601</v>
      </c>
      <c r="G1701" s="14">
        <v>0.000743318</v>
      </c>
      <c r="H1701" s="14">
        <v>0.002818373</v>
      </c>
      <c r="I1701" s="14" t="s">
        <v>164</v>
      </c>
      <c r="J1701" s="14">
        <v>9.75806377</v>
      </c>
      <c r="K1701" s="14">
        <v>7.36633699</v>
      </c>
      <c r="L1701" s="14">
        <v>8.227814037</v>
      </c>
      <c r="M1701" s="14">
        <v>2.325778275</v>
      </c>
      <c r="N1701" s="14">
        <v>2.83776625</v>
      </c>
      <c r="O1701" s="14">
        <v>5.157805619</v>
      </c>
      <c r="P1701" s="14" t="s">
        <v>8517</v>
      </c>
      <c r="Q1701" s="14" t="s">
        <v>8518</v>
      </c>
      <c r="T1701" s="14" t="s">
        <v>7866</v>
      </c>
      <c r="U1701" s="14" t="s">
        <v>7867</v>
      </c>
    </row>
    <row r="1702" spans="1:15">
      <c r="A1702" s="14" t="s">
        <v>8519</v>
      </c>
      <c r="B1702" s="14">
        <v>268.7027589</v>
      </c>
      <c r="C1702" s="14">
        <v>157.7339769</v>
      </c>
      <c r="D1702" s="14">
        <v>379.671541</v>
      </c>
      <c r="E1702" s="14">
        <v>2.408883247</v>
      </c>
      <c r="F1702" s="14">
        <v>1.268364471</v>
      </c>
      <c r="G1702" s="14">
        <v>0.011086783</v>
      </c>
      <c r="H1702" s="14">
        <v>0.029497963</v>
      </c>
      <c r="I1702" s="14" t="s">
        <v>164</v>
      </c>
      <c r="J1702" s="14">
        <v>3.217914443</v>
      </c>
      <c r="K1702" s="14">
        <v>2.03829027</v>
      </c>
      <c r="L1702" s="14">
        <v>2.724426252</v>
      </c>
      <c r="M1702" s="14">
        <v>0.984991962</v>
      </c>
      <c r="N1702" s="14">
        <v>1.292235584</v>
      </c>
      <c r="O1702" s="14">
        <v>0.388963102</v>
      </c>
    </row>
    <row r="1703" spans="1:21">
      <c r="A1703" s="14" t="s">
        <v>8520</v>
      </c>
      <c r="B1703" s="14">
        <v>1241.823604</v>
      </c>
      <c r="C1703" s="14">
        <v>1658.038644</v>
      </c>
      <c r="D1703" s="14">
        <v>825.6085628</v>
      </c>
      <c r="E1703" s="14">
        <v>0.497897446</v>
      </c>
      <c r="F1703" s="14">
        <v>-1.006079481</v>
      </c>
      <c r="G1703" s="51" t="s">
        <v>8521</v>
      </c>
      <c r="H1703" s="51" t="s">
        <v>8522</v>
      </c>
      <c r="I1703" s="14" t="s">
        <v>147</v>
      </c>
      <c r="J1703" s="14">
        <v>14.00166432</v>
      </c>
      <c r="K1703" s="14">
        <v>12.585317</v>
      </c>
      <c r="L1703" s="14">
        <v>11.61233542</v>
      </c>
      <c r="M1703" s="14">
        <v>20.95148381</v>
      </c>
      <c r="N1703" s="14">
        <v>20.05027296</v>
      </c>
      <c r="O1703" s="14">
        <v>22.21319343</v>
      </c>
      <c r="P1703" s="14" t="s">
        <v>8523</v>
      </c>
      <c r="Q1703" s="14" t="s">
        <v>8524</v>
      </c>
      <c r="T1703" s="14" t="s">
        <v>8525</v>
      </c>
      <c r="U1703" s="14" t="s">
        <v>8526</v>
      </c>
    </row>
    <row r="1704" spans="1:21">
      <c r="A1704" s="14" t="s">
        <v>8527</v>
      </c>
      <c r="B1704" s="14">
        <v>25.88578115</v>
      </c>
      <c r="C1704" s="14">
        <v>7.123789659</v>
      </c>
      <c r="D1704" s="14">
        <v>44.64777264</v>
      </c>
      <c r="E1704" s="14">
        <v>6.208802062</v>
      </c>
      <c r="F1704" s="14">
        <v>2.634314939</v>
      </c>
      <c r="G1704" s="14">
        <v>0.000759273</v>
      </c>
      <c r="H1704" s="14">
        <v>0.002875197</v>
      </c>
      <c r="I1704" s="14" t="s">
        <v>164</v>
      </c>
      <c r="J1704" s="14">
        <v>0.369845436</v>
      </c>
      <c r="K1704" s="14">
        <v>0.192548523</v>
      </c>
      <c r="L1704" s="14">
        <v>0.300847724</v>
      </c>
      <c r="M1704" s="14">
        <v>0.02727912</v>
      </c>
      <c r="N1704" s="14">
        <v>0.010468431</v>
      </c>
      <c r="O1704" s="14">
        <v>0.080068302</v>
      </c>
      <c r="P1704" s="14" t="s">
        <v>8528</v>
      </c>
      <c r="Q1704" s="14" t="s">
        <v>8529</v>
      </c>
      <c r="T1704" s="14" t="s">
        <v>8530</v>
      </c>
      <c r="U1704" s="14" t="s">
        <v>8531</v>
      </c>
    </row>
    <row r="1705" spans="1:15">
      <c r="A1705" s="14" t="s">
        <v>8532</v>
      </c>
      <c r="B1705" s="14">
        <v>4918.452405</v>
      </c>
      <c r="C1705" s="14">
        <v>2468.291525</v>
      </c>
      <c r="D1705" s="14">
        <v>7368.613285</v>
      </c>
      <c r="E1705" s="14">
        <v>2.98543574</v>
      </c>
      <c r="F1705" s="14">
        <v>1.577941516</v>
      </c>
      <c r="G1705" s="14">
        <v>0.008145518</v>
      </c>
      <c r="H1705" s="14">
        <v>0.022614731</v>
      </c>
      <c r="I1705" s="14" t="s">
        <v>164</v>
      </c>
      <c r="J1705" s="14">
        <v>425.8714321</v>
      </c>
      <c r="K1705" s="14">
        <v>156.4665368</v>
      </c>
      <c r="L1705" s="14">
        <v>268.9990113</v>
      </c>
      <c r="M1705" s="14">
        <v>89.75612543</v>
      </c>
      <c r="N1705" s="14">
        <v>113.708212</v>
      </c>
      <c r="O1705" s="14">
        <v>24.82585805</v>
      </c>
    </row>
    <row r="1706" spans="1:15">
      <c r="A1706" s="14" t="s">
        <v>8533</v>
      </c>
      <c r="B1706" s="14">
        <v>201.2001861</v>
      </c>
      <c r="C1706" s="14">
        <v>11.47200549</v>
      </c>
      <c r="D1706" s="14">
        <v>390.9283668</v>
      </c>
      <c r="E1706" s="14">
        <v>33.75964886</v>
      </c>
      <c r="F1706" s="14">
        <v>5.077227993</v>
      </c>
      <c r="G1706" s="51" t="s">
        <v>8534</v>
      </c>
      <c r="H1706" s="51" t="s">
        <v>8535</v>
      </c>
      <c r="I1706" s="14" t="s">
        <v>164</v>
      </c>
      <c r="J1706" s="14">
        <v>16.78244861</v>
      </c>
      <c r="K1706" s="14">
        <v>5.788653553</v>
      </c>
      <c r="L1706" s="14">
        <v>17.38951409</v>
      </c>
      <c r="M1706" s="14">
        <v>0.057550998</v>
      </c>
      <c r="N1706" s="14">
        <v>0.220853402</v>
      </c>
      <c r="O1706" s="14">
        <v>0.731990118</v>
      </c>
    </row>
    <row r="1707" spans="1:21">
      <c r="A1707" s="14" t="s">
        <v>8536</v>
      </c>
      <c r="B1707" s="14">
        <v>1421.724408</v>
      </c>
      <c r="C1707" s="14">
        <v>880.8111711</v>
      </c>
      <c r="D1707" s="14">
        <v>1962.637645</v>
      </c>
      <c r="E1707" s="14">
        <v>2.227913452</v>
      </c>
      <c r="F1707" s="14">
        <v>1.15569319</v>
      </c>
      <c r="G1707" s="51" t="s">
        <v>7169</v>
      </c>
      <c r="H1707" s="51" t="s">
        <v>8537</v>
      </c>
      <c r="I1707" s="14" t="s">
        <v>164</v>
      </c>
      <c r="J1707" s="14">
        <v>5.357738252</v>
      </c>
      <c r="K1707" s="14">
        <v>4.616171388</v>
      </c>
      <c r="L1707" s="14">
        <v>5.968610416</v>
      </c>
      <c r="M1707" s="14">
        <v>1.739647907</v>
      </c>
      <c r="N1707" s="14">
        <v>1.932856884</v>
      </c>
      <c r="O1707" s="14">
        <v>2.235752602</v>
      </c>
      <c r="P1707" s="14" t="s">
        <v>7207</v>
      </c>
      <c r="Q1707" s="14" t="s">
        <v>7208</v>
      </c>
      <c r="T1707" s="14" t="s">
        <v>7209</v>
      </c>
      <c r="U1707" s="14" t="s">
        <v>7210</v>
      </c>
    </row>
    <row r="1708" spans="1:21">
      <c r="A1708" s="14" t="s">
        <v>8538</v>
      </c>
      <c r="B1708" s="14">
        <v>102.8852427</v>
      </c>
      <c r="C1708" s="14">
        <v>0.648076722</v>
      </c>
      <c r="D1708" s="14">
        <v>205.1224088</v>
      </c>
      <c r="E1708" s="14">
        <v>307.9739386</v>
      </c>
      <c r="F1708" s="14">
        <v>8.266664462</v>
      </c>
      <c r="G1708" s="51" t="s">
        <v>8539</v>
      </c>
      <c r="H1708" s="51" t="s">
        <v>8540</v>
      </c>
      <c r="I1708" s="14" t="s">
        <v>164</v>
      </c>
      <c r="J1708" s="14">
        <v>1.053601079</v>
      </c>
      <c r="K1708" s="14">
        <v>5.961188407</v>
      </c>
      <c r="L1708" s="14">
        <v>2.874301083</v>
      </c>
      <c r="M1708" s="14">
        <v>0</v>
      </c>
      <c r="N1708" s="14">
        <v>0.013103629</v>
      </c>
      <c r="O1708" s="14">
        <v>0.013363166</v>
      </c>
      <c r="P1708" s="14" t="s">
        <v>6886</v>
      </c>
      <c r="Q1708" s="14" t="s">
        <v>6887</v>
      </c>
      <c r="T1708" s="14" t="s">
        <v>8541</v>
      </c>
      <c r="U1708" s="14" t="s">
        <v>8542</v>
      </c>
    </row>
    <row r="1709" spans="1:21">
      <c r="A1709" s="14" t="s">
        <v>8543</v>
      </c>
      <c r="B1709" s="14">
        <v>1343.079776</v>
      </c>
      <c r="C1709" s="14">
        <v>1795.388042</v>
      </c>
      <c r="D1709" s="14">
        <v>890.7715088</v>
      </c>
      <c r="E1709" s="14">
        <v>0.496084705</v>
      </c>
      <c r="F1709" s="14">
        <v>-1.011341617</v>
      </c>
      <c r="G1709" s="14">
        <v>0.002320351</v>
      </c>
      <c r="H1709" s="14">
        <v>0.007621688</v>
      </c>
      <c r="I1709" s="14" t="s">
        <v>147</v>
      </c>
      <c r="J1709" s="14">
        <v>8.819084201</v>
      </c>
      <c r="K1709" s="14">
        <v>19.01719107</v>
      </c>
      <c r="L1709" s="14">
        <v>11.94776921</v>
      </c>
      <c r="M1709" s="14">
        <v>19.11036734</v>
      </c>
      <c r="N1709" s="14">
        <v>18.46751191</v>
      </c>
      <c r="O1709" s="14">
        <v>29.28248609</v>
      </c>
      <c r="P1709" s="14" t="s">
        <v>8544</v>
      </c>
      <c r="Q1709" s="14" t="s">
        <v>8545</v>
      </c>
      <c r="T1709" s="14" t="s">
        <v>8546</v>
      </c>
      <c r="U1709" s="14" t="s">
        <v>8547</v>
      </c>
    </row>
    <row r="1710" spans="1:21">
      <c r="A1710" s="14" t="s">
        <v>8548</v>
      </c>
      <c r="B1710" s="14">
        <v>1405.585137</v>
      </c>
      <c r="C1710" s="14">
        <v>2052.466839</v>
      </c>
      <c r="D1710" s="14">
        <v>758.7034346</v>
      </c>
      <c r="E1710" s="14">
        <v>0.369665051</v>
      </c>
      <c r="F1710" s="14">
        <v>-1.435709439</v>
      </c>
      <c r="G1710" s="51" t="s">
        <v>4289</v>
      </c>
      <c r="H1710" s="51" t="s">
        <v>8549</v>
      </c>
      <c r="I1710" s="14" t="s">
        <v>147</v>
      </c>
      <c r="J1710" s="14">
        <v>9.700253611</v>
      </c>
      <c r="K1710" s="14">
        <v>14.47449244</v>
      </c>
      <c r="L1710" s="14">
        <v>9.695282653</v>
      </c>
      <c r="M1710" s="14">
        <v>28.85239738</v>
      </c>
      <c r="N1710" s="14">
        <v>28.71058929</v>
      </c>
      <c r="O1710" s="14">
        <v>16.9075588</v>
      </c>
      <c r="P1710" s="14" t="s">
        <v>8550</v>
      </c>
      <c r="Q1710" s="14" t="s">
        <v>8551</v>
      </c>
      <c r="T1710" s="14" t="s">
        <v>8552</v>
      </c>
      <c r="U1710" s="14" t="s">
        <v>8553</v>
      </c>
    </row>
    <row r="1711" spans="1:21">
      <c r="A1711" s="14" t="s">
        <v>8554</v>
      </c>
      <c r="B1711" s="14">
        <v>162.9038795</v>
      </c>
      <c r="C1711" s="14">
        <v>70.23641569</v>
      </c>
      <c r="D1711" s="14">
        <v>255.5713433</v>
      </c>
      <c r="E1711" s="14">
        <v>3.645526121</v>
      </c>
      <c r="F1711" s="14">
        <v>1.866127039</v>
      </c>
      <c r="G1711" s="51" t="s">
        <v>8555</v>
      </c>
      <c r="H1711" s="51" t="s">
        <v>8556</v>
      </c>
      <c r="I1711" s="14" t="s">
        <v>164</v>
      </c>
      <c r="J1711" s="14">
        <v>3.947139715</v>
      </c>
      <c r="K1711" s="14">
        <v>4.840945657</v>
      </c>
      <c r="L1711" s="14">
        <v>4.040028643</v>
      </c>
      <c r="M1711" s="14">
        <v>0.979090235</v>
      </c>
      <c r="N1711" s="14">
        <v>1.048227608</v>
      </c>
      <c r="O1711" s="14">
        <v>0.860744629</v>
      </c>
      <c r="P1711" s="14" t="s">
        <v>8557</v>
      </c>
      <c r="Q1711" s="14" t="s">
        <v>8558</v>
      </c>
      <c r="T1711" s="14" t="s">
        <v>793</v>
      </c>
      <c r="U1711" s="14" t="s">
        <v>794</v>
      </c>
    </row>
    <row r="1712" spans="1:21">
      <c r="A1712" s="14" t="s">
        <v>8559</v>
      </c>
      <c r="B1712" s="14">
        <v>571.1409291</v>
      </c>
      <c r="C1712" s="14">
        <v>262.1323455</v>
      </c>
      <c r="D1712" s="14">
        <v>880.1495126</v>
      </c>
      <c r="E1712" s="14">
        <v>3.359177836</v>
      </c>
      <c r="F1712" s="14">
        <v>1.748108174</v>
      </c>
      <c r="G1712" s="14">
        <v>0.001839518</v>
      </c>
      <c r="H1712" s="14">
        <v>0.006235459</v>
      </c>
      <c r="I1712" s="14" t="s">
        <v>164</v>
      </c>
      <c r="J1712" s="14">
        <v>9.60104315</v>
      </c>
      <c r="K1712" s="14">
        <v>10.7964824</v>
      </c>
      <c r="L1712" s="14">
        <v>10.85845342</v>
      </c>
      <c r="M1712" s="14">
        <v>2.978921474</v>
      </c>
      <c r="N1712" s="14">
        <v>3.714335686</v>
      </c>
      <c r="O1712" s="14">
        <v>0.755618069</v>
      </c>
      <c r="P1712" s="14" t="s">
        <v>5171</v>
      </c>
      <c r="Q1712" s="14" t="s">
        <v>5172</v>
      </c>
      <c r="T1712" s="14" t="s">
        <v>5173</v>
      </c>
      <c r="U1712" s="14" t="s">
        <v>5174</v>
      </c>
    </row>
    <row r="1713" spans="1:21">
      <c r="A1713" s="14" t="s">
        <v>8560</v>
      </c>
      <c r="B1713" s="14">
        <v>197.28845</v>
      </c>
      <c r="C1713" s="14">
        <v>288.0900078</v>
      </c>
      <c r="D1713" s="14">
        <v>106.4868922</v>
      </c>
      <c r="E1713" s="14">
        <v>0.369623129</v>
      </c>
      <c r="F1713" s="14">
        <v>-1.435873058</v>
      </c>
      <c r="G1713" s="51" t="s">
        <v>8561</v>
      </c>
      <c r="H1713" s="51" t="s">
        <v>8562</v>
      </c>
      <c r="I1713" s="14" t="s">
        <v>147</v>
      </c>
      <c r="J1713" s="14">
        <v>1.27265254</v>
      </c>
      <c r="K1713" s="14">
        <v>1.436593789</v>
      </c>
      <c r="L1713" s="14">
        <v>1.122304043</v>
      </c>
      <c r="M1713" s="14">
        <v>3.032567115</v>
      </c>
      <c r="N1713" s="14">
        <v>2.841046791</v>
      </c>
      <c r="O1713" s="14">
        <v>2.62849459</v>
      </c>
      <c r="P1713" s="14" t="s">
        <v>8563</v>
      </c>
      <c r="Q1713" s="14" t="s">
        <v>8564</v>
      </c>
      <c r="T1713" s="14" t="s">
        <v>8565</v>
      </c>
      <c r="U1713" s="14" t="s">
        <v>8566</v>
      </c>
    </row>
    <row r="1714" spans="1:21">
      <c r="A1714" s="14" t="s">
        <v>8567</v>
      </c>
      <c r="B1714" s="14">
        <v>175.1327336</v>
      </c>
      <c r="C1714" s="14">
        <v>37.01410414</v>
      </c>
      <c r="D1714" s="14">
        <v>313.251363</v>
      </c>
      <c r="E1714" s="14">
        <v>8.473990984</v>
      </c>
      <c r="F1714" s="14">
        <v>3.083041594</v>
      </c>
      <c r="G1714" s="51" t="s">
        <v>3196</v>
      </c>
      <c r="H1714" s="51" t="s">
        <v>8568</v>
      </c>
      <c r="I1714" s="14" t="s">
        <v>164</v>
      </c>
      <c r="J1714" s="14">
        <v>11.79824094</v>
      </c>
      <c r="K1714" s="14">
        <v>10.24406187</v>
      </c>
      <c r="L1714" s="14">
        <v>8.675990225</v>
      </c>
      <c r="M1714" s="14">
        <v>0.693304425</v>
      </c>
      <c r="N1714" s="14">
        <v>1.78258401</v>
      </c>
      <c r="O1714" s="14">
        <v>0.461255851</v>
      </c>
      <c r="P1714" s="14" t="s">
        <v>8569</v>
      </c>
      <c r="Q1714" s="14" t="s">
        <v>8570</v>
      </c>
      <c r="T1714" s="14" t="s">
        <v>8571</v>
      </c>
      <c r="U1714" s="14" t="s">
        <v>8572</v>
      </c>
    </row>
    <row r="1715" spans="1:21">
      <c r="A1715" s="14" t="s">
        <v>8573</v>
      </c>
      <c r="B1715" s="14">
        <v>95.19674837</v>
      </c>
      <c r="C1715" s="14">
        <v>59.4016235</v>
      </c>
      <c r="D1715" s="14">
        <v>130.9918732</v>
      </c>
      <c r="E1715" s="14">
        <v>2.209061921</v>
      </c>
      <c r="F1715" s="14">
        <v>1.143433858</v>
      </c>
      <c r="G1715" s="14">
        <v>0.011954467</v>
      </c>
      <c r="H1715" s="14">
        <v>0.031440266</v>
      </c>
      <c r="I1715" s="14" t="s">
        <v>164</v>
      </c>
      <c r="J1715" s="14">
        <v>4.589209051</v>
      </c>
      <c r="K1715" s="14">
        <v>3.754943061</v>
      </c>
      <c r="L1715" s="14">
        <v>3.392434612</v>
      </c>
      <c r="M1715" s="14">
        <v>1.519936624</v>
      </c>
      <c r="N1715" s="14">
        <v>1.992871618</v>
      </c>
      <c r="O1715" s="14">
        <v>0.793109608</v>
      </c>
      <c r="P1715" s="14" t="s">
        <v>8574</v>
      </c>
      <c r="Q1715" s="14" t="s">
        <v>8575</v>
      </c>
      <c r="T1715" s="14" t="s">
        <v>8576</v>
      </c>
      <c r="U1715" s="14" t="s">
        <v>8577</v>
      </c>
    </row>
    <row r="1716" spans="1:21">
      <c r="A1716" s="14" t="s">
        <v>8578</v>
      </c>
      <c r="B1716" s="14">
        <v>28.10832743</v>
      </c>
      <c r="C1716" s="14">
        <v>5.736002744</v>
      </c>
      <c r="D1716" s="14">
        <v>50.48065211</v>
      </c>
      <c r="E1716" s="14">
        <v>8.698702859</v>
      </c>
      <c r="F1716" s="14">
        <v>3.120800284</v>
      </c>
      <c r="G1716" s="14">
        <v>0.001590409</v>
      </c>
      <c r="H1716" s="14">
        <v>0.005500961</v>
      </c>
      <c r="I1716" s="14" t="s">
        <v>164</v>
      </c>
      <c r="J1716" s="14">
        <v>1.619924452</v>
      </c>
      <c r="K1716" s="14">
        <v>0.648694482</v>
      </c>
      <c r="L1716" s="14">
        <v>0.385742978</v>
      </c>
      <c r="M1716" s="14">
        <v>0.014903213</v>
      </c>
      <c r="N1716" s="14">
        <v>0.057191453</v>
      </c>
      <c r="O1716" s="14">
        <v>0.189553695</v>
      </c>
      <c r="P1716" s="14" t="s">
        <v>8579</v>
      </c>
      <c r="Q1716" s="14" t="s">
        <v>8580</v>
      </c>
      <c r="T1716" s="14" t="s">
        <v>8581</v>
      </c>
      <c r="U1716" s="14" t="s">
        <v>8582</v>
      </c>
    </row>
    <row r="1717" spans="1:21">
      <c r="A1717" s="14" t="s">
        <v>8583</v>
      </c>
      <c r="B1717" s="14">
        <v>283.2753116</v>
      </c>
      <c r="C1717" s="14">
        <v>478.0822751</v>
      </c>
      <c r="D1717" s="14">
        <v>88.46834817</v>
      </c>
      <c r="E1717" s="14">
        <v>0.184828978</v>
      </c>
      <c r="F1717" s="14">
        <v>-2.435737129</v>
      </c>
      <c r="G1717" s="51" t="s">
        <v>8584</v>
      </c>
      <c r="H1717" s="51" t="s">
        <v>8585</v>
      </c>
      <c r="I1717" s="14" t="s">
        <v>147</v>
      </c>
      <c r="J1717" s="14">
        <v>1.275890992</v>
      </c>
      <c r="K1717" s="14">
        <v>1.698487681</v>
      </c>
      <c r="L1717" s="14">
        <v>0.686898151</v>
      </c>
      <c r="M1717" s="14">
        <v>5.141298497</v>
      </c>
      <c r="N1717" s="14">
        <v>5.461748368</v>
      </c>
      <c r="O1717" s="14">
        <v>5.765160858</v>
      </c>
      <c r="P1717" s="14" t="s">
        <v>8586</v>
      </c>
      <c r="Q1717" s="14" t="s">
        <v>8587</v>
      </c>
      <c r="R1717" s="14" t="s">
        <v>8588</v>
      </c>
      <c r="S1717" s="14" t="s">
        <v>8589</v>
      </c>
      <c r="T1717" s="14" t="s">
        <v>8590</v>
      </c>
      <c r="U1717" s="14" t="s">
        <v>8591</v>
      </c>
    </row>
    <row r="1718" spans="1:21">
      <c r="A1718" s="14" t="s">
        <v>8592</v>
      </c>
      <c r="B1718" s="14">
        <v>142.6510477</v>
      </c>
      <c r="C1718" s="14">
        <v>55.31829627</v>
      </c>
      <c r="D1718" s="14">
        <v>229.9837991</v>
      </c>
      <c r="E1718" s="14">
        <v>4.149483548</v>
      </c>
      <c r="F1718" s="14">
        <v>2.052931787</v>
      </c>
      <c r="G1718" s="14">
        <v>0.000984766</v>
      </c>
      <c r="H1718" s="14">
        <v>0.003620563</v>
      </c>
      <c r="I1718" s="14" t="s">
        <v>164</v>
      </c>
      <c r="J1718" s="14">
        <v>4.263523247</v>
      </c>
      <c r="K1718" s="14">
        <v>15.2301332</v>
      </c>
      <c r="L1718" s="14">
        <v>9.578638904</v>
      </c>
      <c r="M1718" s="14">
        <v>1.108659655</v>
      </c>
      <c r="N1718" s="14">
        <v>1.303801231</v>
      </c>
      <c r="O1718" s="14">
        <v>3.534003107</v>
      </c>
      <c r="P1718" s="14" t="s">
        <v>8593</v>
      </c>
      <c r="Q1718" s="14" t="s">
        <v>8594</v>
      </c>
      <c r="T1718" s="14" t="s">
        <v>4103</v>
      </c>
      <c r="U1718" s="14" t="s">
        <v>4104</v>
      </c>
    </row>
    <row r="1719" spans="1:21">
      <c r="A1719" s="14" t="s">
        <v>8595</v>
      </c>
      <c r="B1719" s="14">
        <v>241.6715287</v>
      </c>
      <c r="C1719" s="14">
        <v>143.7691303</v>
      </c>
      <c r="D1719" s="14">
        <v>339.5739271</v>
      </c>
      <c r="E1719" s="14">
        <v>2.364003197</v>
      </c>
      <c r="F1719" s="14">
        <v>1.241231987</v>
      </c>
      <c r="G1719" s="51" t="s">
        <v>8596</v>
      </c>
      <c r="H1719" s="51" t="s">
        <v>8597</v>
      </c>
      <c r="I1719" s="14" t="s">
        <v>164</v>
      </c>
      <c r="J1719" s="14">
        <v>1.351959117</v>
      </c>
      <c r="K1719" s="14">
        <v>1.738530848</v>
      </c>
      <c r="L1719" s="14">
        <v>1.558596793</v>
      </c>
      <c r="M1719" s="14">
        <v>0.541612267</v>
      </c>
      <c r="N1719" s="14">
        <v>0.545593304</v>
      </c>
      <c r="O1719" s="14">
        <v>0.529904364</v>
      </c>
      <c r="P1719" s="14" t="s">
        <v>8598</v>
      </c>
      <c r="Q1719" s="14" t="s">
        <v>8599</v>
      </c>
      <c r="T1719" s="14" t="s">
        <v>8600</v>
      </c>
      <c r="U1719" s="14" t="s">
        <v>8601</v>
      </c>
    </row>
    <row r="1720" spans="1:21">
      <c r="A1720" s="14" t="s">
        <v>8602</v>
      </c>
      <c r="B1720" s="14">
        <v>1209.548586</v>
      </c>
      <c r="C1720" s="14">
        <v>1614.893732</v>
      </c>
      <c r="D1720" s="14">
        <v>804.2034399</v>
      </c>
      <c r="E1720" s="14">
        <v>0.498130231</v>
      </c>
      <c r="F1720" s="14">
        <v>-1.005405124</v>
      </c>
      <c r="G1720" s="51" t="s">
        <v>8603</v>
      </c>
      <c r="H1720" s="51" t="s">
        <v>8604</v>
      </c>
      <c r="I1720" s="14" t="s">
        <v>147</v>
      </c>
      <c r="J1720" s="14">
        <v>8.819813099</v>
      </c>
      <c r="K1720" s="14">
        <v>9.255899354</v>
      </c>
      <c r="L1720" s="14">
        <v>9.688075304</v>
      </c>
      <c r="M1720" s="14">
        <v>16.79854956</v>
      </c>
      <c r="N1720" s="14">
        <v>15.4053421</v>
      </c>
      <c r="O1720" s="14">
        <v>13.3639132</v>
      </c>
      <c r="P1720" s="14" t="s">
        <v>8605</v>
      </c>
      <c r="Q1720" s="14" t="s">
        <v>8606</v>
      </c>
      <c r="R1720" s="14" t="s">
        <v>2596</v>
      </c>
      <c r="S1720" s="14" t="s">
        <v>2597</v>
      </c>
      <c r="T1720" s="14" t="s">
        <v>8607</v>
      </c>
      <c r="U1720" s="14" t="s">
        <v>8608</v>
      </c>
    </row>
    <row r="1721" spans="1:21">
      <c r="A1721" s="14" t="s">
        <v>8609</v>
      </c>
      <c r="B1721" s="14">
        <v>1668.554924</v>
      </c>
      <c r="C1721" s="14">
        <v>2257.805646</v>
      </c>
      <c r="D1721" s="14">
        <v>1079.304202</v>
      </c>
      <c r="E1721" s="14">
        <v>0.478055732</v>
      </c>
      <c r="F1721" s="14">
        <v>-1.064749277</v>
      </c>
      <c r="G1721" s="51" t="s">
        <v>8610</v>
      </c>
      <c r="H1721" s="51" t="s">
        <v>8611</v>
      </c>
      <c r="I1721" s="14" t="s">
        <v>147</v>
      </c>
      <c r="J1721" s="14">
        <v>14.29339902</v>
      </c>
      <c r="K1721" s="14">
        <v>19.38109116</v>
      </c>
      <c r="L1721" s="14">
        <v>14.68939165</v>
      </c>
      <c r="M1721" s="14">
        <v>30.8838774</v>
      </c>
      <c r="N1721" s="14">
        <v>28.07317053</v>
      </c>
      <c r="O1721" s="14">
        <v>23.79360617</v>
      </c>
      <c r="P1721" s="14" t="s">
        <v>8612</v>
      </c>
      <c r="Q1721" s="14" t="s">
        <v>8613</v>
      </c>
      <c r="R1721" s="14" t="s">
        <v>8614</v>
      </c>
      <c r="S1721" s="14" t="s">
        <v>8615</v>
      </c>
      <c r="T1721" s="14" t="s">
        <v>8616</v>
      </c>
      <c r="U1721" s="14" t="s">
        <v>8617</v>
      </c>
    </row>
    <row r="1722" spans="1:21">
      <c r="A1722" s="14" t="s">
        <v>8618</v>
      </c>
      <c r="B1722" s="14">
        <v>687.3504183</v>
      </c>
      <c r="C1722" s="14">
        <v>1052.162725</v>
      </c>
      <c r="D1722" s="14">
        <v>322.5381117</v>
      </c>
      <c r="E1722" s="14">
        <v>0.306577345</v>
      </c>
      <c r="F1722" s="14">
        <v>-1.705677006</v>
      </c>
      <c r="G1722" s="51" t="s">
        <v>8619</v>
      </c>
      <c r="H1722" s="51" t="s">
        <v>8620</v>
      </c>
      <c r="I1722" s="14" t="s">
        <v>147</v>
      </c>
      <c r="J1722" s="14">
        <v>2.924207377</v>
      </c>
      <c r="K1722" s="14">
        <v>2.223228169</v>
      </c>
      <c r="L1722" s="14">
        <v>3.607719963</v>
      </c>
      <c r="M1722" s="14">
        <v>6.495853056</v>
      </c>
      <c r="N1722" s="14">
        <v>6.452211833</v>
      </c>
      <c r="O1722" s="14">
        <v>10.82444899</v>
      </c>
      <c r="P1722" s="14" t="s">
        <v>8621</v>
      </c>
      <c r="Q1722" s="14" t="s">
        <v>8622</v>
      </c>
      <c r="T1722" s="14" t="s">
        <v>8623</v>
      </c>
      <c r="U1722" s="14" t="s">
        <v>8624</v>
      </c>
    </row>
    <row r="1723" spans="1:15">
      <c r="A1723" s="14" t="s">
        <v>8625</v>
      </c>
      <c r="B1723" s="14">
        <v>34.42180246</v>
      </c>
      <c r="C1723" s="14">
        <v>10.40182784</v>
      </c>
      <c r="D1723" s="14">
        <v>58.44177708</v>
      </c>
      <c r="E1723" s="14">
        <v>5.621900009</v>
      </c>
      <c r="F1723" s="14">
        <v>2.491057794</v>
      </c>
      <c r="G1723" s="51" t="s">
        <v>7197</v>
      </c>
      <c r="H1723" s="51" t="s">
        <v>8626</v>
      </c>
      <c r="I1723" s="14" t="s">
        <v>164</v>
      </c>
      <c r="J1723" s="14">
        <v>1.914378037</v>
      </c>
      <c r="K1723" s="14">
        <v>1.651610294</v>
      </c>
      <c r="L1723" s="14">
        <v>1.813999755</v>
      </c>
      <c r="M1723" s="14">
        <v>0.285988075</v>
      </c>
      <c r="N1723" s="14">
        <v>0.199542986</v>
      </c>
      <c r="O1723" s="14">
        <v>0.305242843</v>
      </c>
    </row>
    <row r="1724" spans="1:21">
      <c r="A1724" s="14" t="s">
        <v>8627</v>
      </c>
      <c r="B1724" s="14">
        <v>4.136651822</v>
      </c>
      <c r="C1724" s="14">
        <v>0.338987876</v>
      </c>
      <c r="D1724" s="14">
        <v>7.934315768</v>
      </c>
      <c r="E1724" s="14">
        <v>21.94906005</v>
      </c>
      <c r="F1724" s="14">
        <v>4.456087254</v>
      </c>
      <c r="G1724" s="14">
        <v>0.012750757</v>
      </c>
      <c r="H1724" s="14">
        <v>0.033186622</v>
      </c>
      <c r="I1724" s="14" t="s">
        <v>164</v>
      </c>
      <c r="J1724" s="14">
        <v>0.105372248</v>
      </c>
      <c r="K1724" s="14">
        <v>0.39772618</v>
      </c>
      <c r="L1724" s="14">
        <v>0.126822012</v>
      </c>
      <c r="M1724" s="14">
        <v>0</v>
      </c>
      <c r="N1724" s="14">
        <v>0.021623479</v>
      </c>
      <c r="O1724" s="14">
        <v>0</v>
      </c>
      <c r="P1724" s="14" t="s">
        <v>8628</v>
      </c>
      <c r="Q1724" s="14" t="s">
        <v>8629</v>
      </c>
      <c r="T1724" s="14" t="s">
        <v>8630</v>
      </c>
      <c r="U1724" s="14" t="s">
        <v>8631</v>
      </c>
    </row>
    <row r="1725" spans="1:21">
      <c r="A1725" s="14" t="s">
        <v>8632</v>
      </c>
      <c r="B1725" s="14">
        <v>1128.07946</v>
      </c>
      <c r="C1725" s="14">
        <v>676.7109913</v>
      </c>
      <c r="D1725" s="14">
        <v>1579.447928</v>
      </c>
      <c r="E1725" s="14">
        <v>2.33314603</v>
      </c>
      <c r="F1725" s="14">
        <v>1.222276608</v>
      </c>
      <c r="G1725" s="51" t="s">
        <v>299</v>
      </c>
      <c r="H1725" s="51" t="s">
        <v>300</v>
      </c>
      <c r="I1725" s="14" t="s">
        <v>164</v>
      </c>
      <c r="J1725" s="14">
        <v>13.74986247</v>
      </c>
      <c r="K1725" s="14">
        <v>16.89724377</v>
      </c>
      <c r="L1725" s="14">
        <v>20.41276369</v>
      </c>
      <c r="M1725" s="14">
        <v>4.25886242</v>
      </c>
      <c r="N1725" s="14">
        <v>5.389502561</v>
      </c>
      <c r="O1725" s="14">
        <v>8.628041151</v>
      </c>
      <c r="P1725" s="14" t="s">
        <v>8633</v>
      </c>
      <c r="Q1725" s="14" t="s">
        <v>8634</v>
      </c>
      <c r="T1725" s="14" t="s">
        <v>2771</v>
      </c>
      <c r="U1725" s="14" t="s">
        <v>2772</v>
      </c>
    </row>
    <row r="1726" spans="1:21">
      <c r="A1726" s="14" t="s">
        <v>8635</v>
      </c>
      <c r="B1726" s="14">
        <v>240.4130621</v>
      </c>
      <c r="C1726" s="14">
        <v>132.1034778</v>
      </c>
      <c r="D1726" s="14">
        <v>348.7226465</v>
      </c>
      <c r="E1726" s="14">
        <v>2.635502619</v>
      </c>
      <c r="F1726" s="14">
        <v>1.398078126</v>
      </c>
      <c r="G1726" s="14">
        <v>0.000914631</v>
      </c>
      <c r="H1726" s="14">
        <v>0.003383004</v>
      </c>
      <c r="I1726" s="14" t="s">
        <v>164</v>
      </c>
      <c r="J1726" s="14">
        <v>3.865533416</v>
      </c>
      <c r="K1726" s="14">
        <v>4.680901429</v>
      </c>
      <c r="L1726" s="14">
        <v>4.008228726</v>
      </c>
      <c r="M1726" s="14">
        <v>0.803935577</v>
      </c>
      <c r="N1726" s="14">
        <v>0.89820036</v>
      </c>
      <c r="O1726" s="14">
        <v>2.329802023</v>
      </c>
      <c r="P1726" s="14" t="s">
        <v>8636</v>
      </c>
      <c r="Q1726" s="14" t="s">
        <v>8637</v>
      </c>
      <c r="T1726" s="14" t="s">
        <v>8638</v>
      </c>
      <c r="U1726" s="14" t="s">
        <v>8639</v>
      </c>
    </row>
    <row r="1727" spans="1:21">
      <c r="A1727" s="14" t="s">
        <v>8640</v>
      </c>
      <c r="B1727" s="14">
        <v>2983.107505</v>
      </c>
      <c r="C1727" s="14">
        <v>4097.668054</v>
      </c>
      <c r="D1727" s="14">
        <v>1868.546956</v>
      </c>
      <c r="E1727" s="14">
        <v>0.456024599</v>
      </c>
      <c r="F1727" s="14">
        <v>-1.132816446</v>
      </c>
      <c r="G1727" s="14">
        <v>0.000358133</v>
      </c>
      <c r="H1727" s="14">
        <v>0.001481864</v>
      </c>
      <c r="I1727" s="14" t="s">
        <v>147</v>
      </c>
      <c r="J1727" s="14">
        <v>46.82439194</v>
      </c>
      <c r="K1727" s="14">
        <v>49.27583086</v>
      </c>
      <c r="L1727" s="14">
        <v>44.10629077</v>
      </c>
      <c r="M1727" s="14">
        <v>97.55872283</v>
      </c>
      <c r="N1727" s="14">
        <v>99.35420192</v>
      </c>
      <c r="O1727" s="14">
        <v>52.20690107</v>
      </c>
      <c r="P1727" s="14" t="s">
        <v>8641</v>
      </c>
      <c r="Q1727" s="14" t="s">
        <v>8642</v>
      </c>
      <c r="R1727" s="14" t="s">
        <v>8643</v>
      </c>
      <c r="S1727" s="14" t="s">
        <v>8644</v>
      </c>
      <c r="T1727" s="14" t="s">
        <v>8645</v>
      </c>
      <c r="U1727" s="14" t="s">
        <v>8646</v>
      </c>
    </row>
    <row r="1728" spans="1:21">
      <c r="A1728" s="14" t="s">
        <v>8647</v>
      </c>
      <c r="B1728" s="14">
        <v>53.99781348</v>
      </c>
      <c r="C1728" s="14">
        <v>85.32421735</v>
      </c>
      <c r="D1728" s="14">
        <v>22.67140962</v>
      </c>
      <c r="E1728" s="14">
        <v>0.265723508</v>
      </c>
      <c r="F1728" s="14">
        <v>-1.91200223</v>
      </c>
      <c r="G1728" s="14">
        <v>0.017977997</v>
      </c>
      <c r="H1728" s="14">
        <v>0.044443738</v>
      </c>
      <c r="I1728" s="14" t="s">
        <v>147</v>
      </c>
      <c r="J1728" s="14">
        <v>0.398805332</v>
      </c>
      <c r="K1728" s="14">
        <v>0.057344211</v>
      </c>
      <c r="L1728" s="14">
        <v>0.101874762</v>
      </c>
      <c r="M1728" s="14">
        <v>0.814739596</v>
      </c>
      <c r="N1728" s="14">
        <v>0.487693607</v>
      </c>
      <c r="O1728" s="14">
        <v>0.40197031</v>
      </c>
      <c r="P1728" s="14" t="s">
        <v>2619</v>
      </c>
      <c r="Q1728" s="14" t="s">
        <v>2620</v>
      </c>
      <c r="T1728" s="14" t="s">
        <v>2621</v>
      </c>
      <c r="U1728" s="14" t="s">
        <v>2622</v>
      </c>
    </row>
    <row r="1729" spans="1:21">
      <c r="A1729" s="14" t="s">
        <v>8648</v>
      </c>
      <c r="B1729" s="14">
        <v>78.73543657</v>
      </c>
      <c r="C1729" s="14">
        <v>127.4790065</v>
      </c>
      <c r="D1729" s="14">
        <v>29.9918666</v>
      </c>
      <c r="E1729" s="14">
        <v>0.235531952</v>
      </c>
      <c r="F1729" s="14">
        <v>-2.086005307</v>
      </c>
      <c r="G1729" s="14">
        <v>0.000538486</v>
      </c>
      <c r="H1729" s="14">
        <v>0.002118006</v>
      </c>
      <c r="I1729" s="14" t="s">
        <v>147</v>
      </c>
      <c r="J1729" s="14">
        <v>0.460420034</v>
      </c>
      <c r="K1729" s="14">
        <v>0.772377528</v>
      </c>
      <c r="L1729" s="14">
        <v>0.759968864</v>
      </c>
      <c r="M1729" s="14">
        <v>3.207739666</v>
      </c>
      <c r="N1729" s="14">
        <v>2.645523229</v>
      </c>
      <c r="O1729" s="14">
        <v>0.936013654</v>
      </c>
      <c r="P1729" s="14" t="s">
        <v>8649</v>
      </c>
      <c r="Q1729" s="14" t="s">
        <v>8650</v>
      </c>
      <c r="T1729" s="14" t="s">
        <v>1396</v>
      </c>
      <c r="U1729" s="14" t="s">
        <v>1397</v>
      </c>
    </row>
    <row r="1730" spans="1:21">
      <c r="A1730" s="14" t="s">
        <v>8651</v>
      </c>
      <c r="B1730" s="14">
        <v>3699.288477</v>
      </c>
      <c r="C1730" s="14">
        <v>6457.196844</v>
      </c>
      <c r="D1730" s="14">
        <v>941.3801108</v>
      </c>
      <c r="E1730" s="14">
        <v>0.145787764</v>
      </c>
      <c r="F1730" s="14">
        <v>-2.778058454</v>
      </c>
      <c r="G1730" s="51" t="s">
        <v>2694</v>
      </c>
      <c r="H1730" s="51" t="s">
        <v>6753</v>
      </c>
      <c r="I1730" s="14" t="s">
        <v>147</v>
      </c>
      <c r="J1730" s="14">
        <v>20.22647758</v>
      </c>
      <c r="K1730" s="14">
        <v>33.23467816</v>
      </c>
      <c r="L1730" s="14">
        <v>21.29609643</v>
      </c>
      <c r="M1730" s="14">
        <v>185.440336</v>
      </c>
      <c r="N1730" s="14">
        <v>178.8567147</v>
      </c>
      <c r="O1730" s="14">
        <v>46.90266041</v>
      </c>
      <c r="P1730" s="14" t="s">
        <v>8652</v>
      </c>
      <c r="Q1730" s="14" t="s">
        <v>8653</v>
      </c>
      <c r="T1730" s="14" t="s">
        <v>8654</v>
      </c>
      <c r="U1730" s="14" t="s">
        <v>8655</v>
      </c>
    </row>
    <row r="1731" spans="1:21">
      <c r="A1731" s="14" t="s">
        <v>8656</v>
      </c>
      <c r="B1731" s="14">
        <v>1736.841879</v>
      </c>
      <c r="C1731" s="14">
        <v>82.54410262</v>
      </c>
      <c r="D1731" s="14">
        <v>3391.139656</v>
      </c>
      <c r="E1731" s="14">
        <v>40.98775114</v>
      </c>
      <c r="F1731" s="14">
        <v>5.357120931</v>
      </c>
      <c r="G1731" s="51" t="s">
        <v>8657</v>
      </c>
      <c r="H1731" s="51" t="s">
        <v>8658</v>
      </c>
      <c r="I1731" s="14" t="s">
        <v>164</v>
      </c>
      <c r="J1731" s="14">
        <v>48.50293519</v>
      </c>
      <c r="K1731" s="14">
        <v>25.75813775</v>
      </c>
      <c r="L1731" s="14">
        <v>35.86671651</v>
      </c>
      <c r="M1731" s="14">
        <v>0.366759649</v>
      </c>
      <c r="N1731" s="14">
        <v>0.747707477</v>
      </c>
      <c r="O1731" s="14">
        <v>1.139289991</v>
      </c>
      <c r="P1731" s="14" t="s">
        <v>8659</v>
      </c>
      <c r="Q1731" s="14" t="s">
        <v>8660</v>
      </c>
      <c r="T1731" s="14" t="s">
        <v>8661</v>
      </c>
      <c r="U1731" s="14" t="s">
        <v>8662</v>
      </c>
    </row>
    <row r="1732" spans="1:21">
      <c r="A1732" s="14" t="s">
        <v>8663</v>
      </c>
      <c r="B1732" s="14">
        <v>94.82874492</v>
      </c>
      <c r="C1732" s="14">
        <v>35.12194485</v>
      </c>
      <c r="D1732" s="14">
        <v>154.535545</v>
      </c>
      <c r="E1732" s="14">
        <v>4.388139718</v>
      </c>
      <c r="F1732" s="14">
        <v>2.133609462</v>
      </c>
      <c r="G1732" s="14">
        <v>0.018439728</v>
      </c>
      <c r="H1732" s="14">
        <v>0.045399705</v>
      </c>
      <c r="I1732" s="14" t="s">
        <v>164</v>
      </c>
      <c r="J1732" s="14">
        <v>1.930465247</v>
      </c>
      <c r="K1732" s="14">
        <v>2.101395232</v>
      </c>
      <c r="L1732" s="14">
        <v>2.671088823</v>
      </c>
      <c r="M1732" s="14">
        <v>0.146817408</v>
      </c>
      <c r="N1732" s="14">
        <v>0.070426936</v>
      </c>
      <c r="O1732" s="14">
        <v>1.113238603</v>
      </c>
      <c r="P1732" s="14" t="s">
        <v>8664</v>
      </c>
      <c r="Q1732" s="14" t="s">
        <v>8665</v>
      </c>
      <c r="T1732" s="14" t="s">
        <v>8666</v>
      </c>
      <c r="U1732" s="14" t="s">
        <v>8667</v>
      </c>
    </row>
    <row r="1733" spans="1:21">
      <c r="A1733" s="14" t="s">
        <v>8668</v>
      </c>
      <c r="B1733" s="14">
        <v>72.40195235</v>
      </c>
      <c r="C1733" s="14">
        <v>31.22027809</v>
      </c>
      <c r="D1733" s="14">
        <v>113.5836266</v>
      </c>
      <c r="E1733" s="14">
        <v>3.622448153</v>
      </c>
      <c r="F1733" s="14">
        <v>1.856965041</v>
      </c>
      <c r="G1733" s="14">
        <v>0.003427414</v>
      </c>
      <c r="H1733" s="14">
        <v>0.010675385</v>
      </c>
      <c r="I1733" s="14" t="s">
        <v>164</v>
      </c>
      <c r="J1733" s="14">
        <v>0.899430939</v>
      </c>
      <c r="K1733" s="14">
        <v>0.596975896</v>
      </c>
      <c r="L1733" s="14">
        <v>0.746782407</v>
      </c>
      <c r="M1733" s="14">
        <v>0.06134081</v>
      </c>
      <c r="N1733" s="14">
        <v>0.11769845</v>
      </c>
      <c r="O1733" s="14">
        <v>0.349177137</v>
      </c>
      <c r="P1733" s="14" t="s">
        <v>7703</v>
      </c>
      <c r="Q1733" s="14" t="s">
        <v>7704</v>
      </c>
      <c r="T1733" s="14" t="s">
        <v>7705</v>
      </c>
      <c r="U1733" s="14" t="s">
        <v>7706</v>
      </c>
    </row>
    <row r="1734" spans="1:15">
      <c r="A1734" s="14" t="s">
        <v>8669</v>
      </c>
      <c r="B1734" s="14">
        <v>28.31971483</v>
      </c>
      <c r="C1734" s="14">
        <v>44.91024265</v>
      </c>
      <c r="D1734" s="14">
        <v>11.72918702</v>
      </c>
      <c r="E1734" s="14">
        <v>0.260821123</v>
      </c>
      <c r="F1734" s="14">
        <v>-1.93886738</v>
      </c>
      <c r="G1734" s="14">
        <v>0.00963608</v>
      </c>
      <c r="H1734" s="14">
        <v>0.026133905</v>
      </c>
      <c r="I1734" s="14" t="s">
        <v>147</v>
      </c>
      <c r="J1734" s="14">
        <v>0.199660671</v>
      </c>
      <c r="K1734" s="14">
        <v>0.643086173</v>
      </c>
      <c r="L1734" s="14">
        <v>0.576729493</v>
      </c>
      <c r="M1734" s="14">
        <v>0.956640227</v>
      </c>
      <c r="N1734" s="14">
        <v>0.852226817</v>
      </c>
      <c r="O1734" s="14">
        <v>2.807882287</v>
      </c>
    </row>
    <row r="1735" spans="1:21">
      <c r="A1735" s="14" t="s">
        <v>8670</v>
      </c>
      <c r="B1735" s="14">
        <v>51.94924743</v>
      </c>
      <c r="C1735" s="14">
        <v>14.22039156</v>
      </c>
      <c r="D1735" s="14">
        <v>89.6781033</v>
      </c>
      <c r="E1735" s="14">
        <v>6.322993068</v>
      </c>
      <c r="F1735" s="14">
        <v>2.660607638</v>
      </c>
      <c r="G1735" s="51" t="s">
        <v>8671</v>
      </c>
      <c r="H1735" s="51" t="s">
        <v>8672</v>
      </c>
      <c r="I1735" s="14" t="s">
        <v>164</v>
      </c>
      <c r="J1735" s="14">
        <v>5.684697663</v>
      </c>
      <c r="K1735" s="14">
        <v>3.480772615</v>
      </c>
      <c r="L1735" s="14">
        <v>3.694617863</v>
      </c>
      <c r="M1735" s="14">
        <v>0.445848076</v>
      </c>
      <c r="N1735" s="14">
        <v>0.855476597</v>
      </c>
      <c r="O1735" s="14">
        <v>0.356899324</v>
      </c>
      <c r="P1735" s="14" t="s">
        <v>8673</v>
      </c>
      <c r="Q1735" s="14" t="s">
        <v>8674</v>
      </c>
      <c r="T1735" s="14" t="s">
        <v>8675</v>
      </c>
      <c r="U1735" s="14" t="s">
        <v>8676</v>
      </c>
    </row>
    <row r="1736" spans="1:21">
      <c r="A1736" s="14" t="s">
        <v>8677</v>
      </c>
      <c r="B1736" s="14">
        <v>132.2421933</v>
      </c>
      <c r="C1736" s="14">
        <v>56.66292935</v>
      </c>
      <c r="D1736" s="14">
        <v>207.8214573</v>
      </c>
      <c r="E1736" s="14">
        <v>3.67289046</v>
      </c>
      <c r="F1736" s="14">
        <v>1.87691587</v>
      </c>
      <c r="G1736" s="51" t="s">
        <v>8678</v>
      </c>
      <c r="H1736" s="14">
        <v>0.000143891</v>
      </c>
      <c r="I1736" s="14" t="s">
        <v>164</v>
      </c>
      <c r="J1736" s="14">
        <v>11.16517144</v>
      </c>
      <c r="K1736" s="14">
        <v>4.35612817</v>
      </c>
      <c r="L1736" s="14">
        <v>7.388696995</v>
      </c>
      <c r="M1736" s="14">
        <v>1.898125579</v>
      </c>
      <c r="N1736" s="14">
        <v>1.821026149</v>
      </c>
      <c r="O1736" s="14">
        <v>1.369987561</v>
      </c>
      <c r="P1736" s="14" t="s">
        <v>8679</v>
      </c>
      <c r="Q1736" s="14" t="s">
        <v>8680</v>
      </c>
      <c r="T1736" s="14" t="s">
        <v>8681</v>
      </c>
      <c r="U1736" s="14" t="s">
        <v>8682</v>
      </c>
    </row>
    <row r="1737" spans="1:21">
      <c r="A1737" s="14" t="s">
        <v>8683</v>
      </c>
      <c r="B1737" s="14">
        <v>2295.923993</v>
      </c>
      <c r="C1737" s="14">
        <v>1450.902492</v>
      </c>
      <c r="D1737" s="14">
        <v>3140.945495</v>
      </c>
      <c r="E1737" s="14">
        <v>2.164375579</v>
      </c>
      <c r="F1737" s="14">
        <v>1.113950868</v>
      </c>
      <c r="G1737" s="51" t="s">
        <v>8684</v>
      </c>
      <c r="H1737" s="14">
        <v>0.000471386</v>
      </c>
      <c r="I1737" s="14" t="s">
        <v>164</v>
      </c>
      <c r="J1737" s="14">
        <v>21.0215846</v>
      </c>
      <c r="K1737" s="14">
        <v>22.81894174</v>
      </c>
      <c r="L1737" s="14">
        <v>25.01868902</v>
      </c>
      <c r="M1737" s="14">
        <v>6.337790552</v>
      </c>
      <c r="N1737" s="14">
        <v>6.763210279</v>
      </c>
      <c r="O1737" s="14">
        <v>13.60055658</v>
      </c>
      <c r="P1737" s="14" t="s">
        <v>8685</v>
      </c>
      <c r="Q1737" s="14" t="s">
        <v>8686</v>
      </c>
      <c r="T1737" s="14" t="s">
        <v>2621</v>
      </c>
      <c r="U1737" s="14" t="s">
        <v>2622</v>
      </c>
    </row>
    <row r="1738" spans="1:21">
      <c r="A1738" s="14" t="s">
        <v>8687</v>
      </c>
      <c r="B1738" s="14">
        <v>19.59255797</v>
      </c>
      <c r="C1738" s="14">
        <v>34.19734121</v>
      </c>
      <c r="D1738" s="14">
        <v>4.987774731</v>
      </c>
      <c r="E1738" s="14">
        <v>0.145121252</v>
      </c>
      <c r="F1738" s="14">
        <v>-2.78466929</v>
      </c>
      <c r="G1738" s="14">
        <v>0.001279069</v>
      </c>
      <c r="H1738" s="14">
        <v>0.004543183</v>
      </c>
      <c r="I1738" s="14" t="s">
        <v>147</v>
      </c>
      <c r="J1738" s="14">
        <v>0.037936894</v>
      </c>
      <c r="K1738" s="14">
        <v>0.210015394</v>
      </c>
      <c r="L1738" s="14">
        <v>0.036527517</v>
      </c>
      <c r="M1738" s="14">
        <v>0.64917211</v>
      </c>
      <c r="N1738" s="14">
        <v>0.451532589</v>
      </c>
      <c r="O1738" s="14">
        <v>0.508111289</v>
      </c>
      <c r="P1738" s="14" t="s">
        <v>8688</v>
      </c>
      <c r="Q1738" s="14" t="s">
        <v>8689</v>
      </c>
      <c r="T1738" s="14" t="s">
        <v>8690</v>
      </c>
      <c r="U1738" s="14" t="s">
        <v>8691</v>
      </c>
    </row>
    <row r="1739" spans="1:21">
      <c r="A1739" s="14" t="s">
        <v>8692</v>
      </c>
      <c r="B1739" s="14">
        <v>2278.866734</v>
      </c>
      <c r="C1739" s="14">
        <v>3497.392543</v>
      </c>
      <c r="D1739" s="14">
        <v>1060.340924</v>
      </c>
      <c r="E1739" s="14">
        <v>0.303189644</v>
      </c>
      <c r="F1739" s="14">
        <v>-1.721707619</v>
      </c>
      <c r="G1739" s="14">
        <v>0.000421044</v>
      </c>
      <c r="H1739" s="14">
        <v>0.001708829</v>
      </c>
      <c r="I1739" s="14" t="s">
        <v>147</v>
      </c>
      <c r="J1739" s="14">
        <v>8.593561399</v>
      </c>
      <c r="K1739" s="14">
        <v>14.54864798</v>
      </c>
      <c r="L1739" s="14">
        <v>11.11121059</v>
      </c>
      <c r="M1739" s="14">
        <v>36.7538943</v>
      </c>
      <c r="N1739" s="14">
        <v>41.6402245</v>
      </c>
      <c r="O1739" s="14">
        <v>12.43923375</v>
      </c>
      <c r="P1739" s="14" t="s">
        <v>256</v>
      </c>
      <c r="Q1739" s="14" t="s">
        <v>257</v>
      </c>
      <c r="T1739" s="14" t="s">
        <v>258</v>
      </c>
      <c r="U1739" s="14" t="s">
        <v>259</v>
      </c>
    </row>
    <row r="1740" spans="1:21">
      <c r="A1740" s="14" t="s">
        <v>8693</v>
      </c>
      <c r="B1740" s="14">
        <v>1683.716593</v>
      </c>
      <c r="C1740" s="14">
        <v>210.9921732</v>
      </c>
      <c r="D1740" s="14">
        <v>3156.441012</v>
      </c>
      <c r="E1740" s="14">
        <v>14.94915391</v>
      </c>
      <c r="F1740" s="14">
        <v>3.901991928</v>
      </c>
      <c r="G1740" s="51" t="s">
        <v>4238</v>
      </c>
      <c r="H1740" s="51" t="s">
        <v>8694</v>
      </c>
      <c r="I1740" s="14" t="s">
        <v>164</v>
      </c>
      <c r="J1740" s="14">
        <v>51.03149604</v>
      </c>
      <c r="K1740" s="14">
        <v>20.49586799</v>
      </c>
      <c r="L1740" s="14">
        <v>53.90817679</v>
      </c>
      <c r="M1740" s="14">
        <v>0.928746551</v>
      </c>
      <c r="N1740" s="14">
        <v>1.492193562</v>
      </c>
      <c r="O1740" s="14">
        <v>4.740411263</v>
      </c>
      <c r="P1740" s="14" t="s">
        <v>8695</v>
      </c>
      <c r="Q1740" s="14" t="s">
        <v>8696</v>
      </c>
      <c r="T1740" s="14" t="s">
        <v>8697</v>
      </c>
      <c r="U1740" s="14" t="s">
        <v>8698</v>
      </c>
    </row>
    <row r="1741" spans="1:15">
      <c r="A1741" s="14" t="s">
        <v>8699</v>
      </c>
      <c r="B1741" s="14">
        <v>200.1461412</v>
      </c>
      <c r="C1741" s="14">
        <v>272.3678008</v>
      </c>
      <c r="D1741" s="14">
        <v>127.9244815</v>
      </c>
      <c r="E1741" s="14">
        <v>0.46939868</v>
      </c>
      <c r="F1741" s="14">
        <v>-1.09111431</v>
      </c>
      <c r="G1741" s="14">
        <v>0.00043795</v>
      </c>
      <c r="H1741" s="14">
        <v>0.00176858</v>
      </c>
      <c r="I1741" s="14" t="s">
        <v>147</v>
      </c>
      <c r="J1741" s="14">
        <v>5.506667175</v>
      </c>
      <c r="K1741" s="14">
        <v>10.00082336</v>
      </c>
      <c r="L1741" s="14">
        <v>7.664979944</v>
      </c>
      <c r="M1741" s="14">
        <v>10.44718426</v>
      </c>
      <c r="N1741" s="14">
        <v>14.39553957</v>
      </c>
      <c r="O1741" s="14">
        <v>16.08359479</v>
      </c>
    </row>
    <row r="1742" spans="1:21">
      <c r="A1742" s="14" t="s">
        <v>8700</v>
      </c>
      <c r="B1742" s="14">
        <v>16682.66175</v>
      </c>
      <c r="C1742" s="14">
        <v>26908.07278</v>
      </c>
      <c r="D1742" s="14">
        <v>6457.25073</v>
      </c>
      <c r="E1742" s="14">
        <v>0.239975663</v>
      </c>
      <c r="F1742" s="14">
        <v>-2.059039989</v>
      </c>
      <c r="G1742" s="51" t="s">
        <v>8701</v>
      </c>
      <c r="H1742" s="51" t="s">
        <v>8702</v>
      </c>
      <c r="I1742" s="14" t="s">
        <v>147</v>
      </c>
      <c r="J1742" s="14">
        <v>71.65125883</v>
      </c>
      <c r="K1742" s="14">
        <v>77.56293445</v>
      </c>
      <c r="L1742" s="14">
        <v>69.21532197</v>
      </c>
      <c r="M1742" s="14">
        <v>272.5045343</v>
      </c>
      <c r="N1742" s="14">
        <v>256.647683</v>
      </c>
      <c r="O1742" s="14">
        <v>215.1282629</v>
      </c>
      <c r="P1742" s="14" t="s">
        <v>8703</v>
      </c>
      <c r="Q1742" s="14" t="s">
        <v>8704</v>
      </c>
      <c r="R1742" s="14" t="s">
        <v>798</v>
      </c>
      <c r="S1742" s="14" t="s">
        <v>799</v>
      </c>
      <c r="T1742" s="14" t="s">
        <v>8705</v>
      </c>
      <c r="U1742" s="14" t="s">
        <v>8706</v>
      </c>
    </row>
    <row r="1743" spans="1:15">
      <c r="A1743" s="14" t="s">
        <v>8707</v>
      </c>
      <c r="B1743" s="14">
        <v>35.58140418</v>
      </c>
      <c r="C1743" s="14">
        <v>50.80191795</v>
      </c>
      <c r="D1743" s="14">
        <v>20.36089041</v>
      </c>
      <c r="E1743" s="14">
        <v>0.399810069</v>
      </c>
      <c r="F1743" s="14">
        <v>-1.322613287</v>
      </c>
      <c r="G1743" s="14">
        <v>0.001463141</v>
      </c>
      <c r="H1743" s="14">
        <v>0.005115392</v>
      </c>
      <c r="I1743" s="14" t="s">
        <v>147</v>
      </c>
      <c r="J1743" s="14">
        <v>0.889434326</v>
      </c>
      <c r="K1743" s="14">
        <v>1.225068296</v>
      </c>
      <c r="L1743" s="14">
        <v>0.766244883</v>
      </c>
      <c r="M1743" s="14">
        <v>1.922514432</v>
      </c>
      <c r="N1743" s="14">
        <v>1.652296821</v>
      </c>
      <c r="O1743" s="14">
        <v>2.39038145</v>
      </c>
    </row>
    <row r="1744" spans="1:21">
      <c r="A1744" s="14" t="s">
        <v>8708</v>
      </c>
      <c r="B1744" s="14">
        <v>455.4775737</v>
      </c>
      <c r="C1744" s="14">
        <v>684.0649607</v>
      </c>
      <c r="D1744" s="14">
        <v>226.8901868</v>
      </c>
      <c r="E1744" s="14">
        <v>0.331758351</v>
      </c>
      <c r="F1744" s="14">
        <v>-1.591795314</v>
      </c>
      <c r="G1744" s="51" t="s">
        <v>8709</v>
      </c>
      <c r="H1744" s="51" t="s">
        <v>4214</v>
      </c>
      <c r="I1744" s="14" t="s">
        <v>147</v>
      </c>
      <c r="J1744" s="14">
        <v>1.965096624</v>
      </c>
      <c r="K1744" s="14">
        <v>2.657524377</v>
      </c>
      <c r="L1744" s="14">
        <v>2.299619724</v>
      </c>
      <c r="M1744" s="14">
        <v>6.173485132</v>
      </c>
      <c r="N1744" s="14">
        <v>6.485219611</v>
      </c>
      <c r="O1744" s="14">
        <v>4.344438131</v>
      </c>
      <c r="P1744" s="14" t="s">
        <v>8710</v>
      </c>
      <c r="Q1744" s="14" t="s">
        <v>8711</v>
      </c>
      <c r="T1744" s="14" t="s">
        <v>8712</v>
      </c>
      <c r="U1744" s="14" t="s">
        <v>8713</v>
      </c>
    </row>
    <row r="1745" spans="1:21">
      <c r="A1745" s="14" t="s">
        <v>8714</v>
      </c>
      <c r="B1745" s="14">
        <v>4261.685892</v>
      </c>
      <c r="C1745" s="14">
        <v>5883.255414</v>
      </c>
      <c r="D1745" s="14">
        <v>2640.11637</v>
      </c>
      <c r="E1745" s="14">
        <v>0.448760857</v>
      </c>
      <c r="F1745" s="14">
        <v>-1.155981251</v>
      </c>
      <c r="G1745" s="51" t="s">
        <v>8715</v>
      </c>
      <c r="H1745" s="51" t="s">
        <v>6274</v>
      </c>
      <c r="I1745" s="14" t="s">
        <v>147</v>
      </c>
      <c r="J1745" s="14">
        <v>19.14709531</v>
      </c>
      <c r="K1745" s="14">
        <v>24.21694447</v>
      </c>
      <c r="L1745" s="14">
        <v>19.53494208</v>
      </c>
      <c r="M1745" s="14">
        <v>41.00927187</v>
      </c>
      <c r="N1745" s="14">
        <v>40.62309717</v>
      </c>
      <c r="O1745" s="14">
        <v>33.03143798</v>
      </c>
      <c r="P1745" s="14" t="s">
        <v>8716</v>
      </c>
      <c r="Q1745" s="14" t="s">
        <v>8717</v>
      </c>
      <c r="R1745" s="14" t="s">
        <v>8718</v>
      </c>
      <c r="S1745" s="14" t="s">
        <v>8719</v>
      </c>
      <c r="T1745" s="14" t="s">
        <v>8720</v>
      </c>
      <c r="U1745" s="14" t="s">
        <v>8721</v>
      </c>
    </row>
    <row r="1746" spans="1:21">
      <c r="A1746" s="14" t="s">
        <v>8722</v>
      </c>
      <c r="B1746" s="14">
        <v>22.46999688</v>
      </c>
      <c r="C1746" s="14">
        <v>6.556482982</v>
      </c>
      <c r="D1746" s="14">
        <v>38.38351079</v>
      </c>
      <c r="E1746" s="14">
        <v>5.800568503</v>
      </c>
      <c r="F1746" s="14">
        <v>2.536194303</v>
      </c>
      <c r="G1746" s="14">
        <v>0.00019484</v>
      </c>
      <c r="H1746" s="14">
        <v>0.000857173</v>
      </c>
      <c r="I1746" s="14" t="s">
        <v>164</v>
      </c>
      <c r="J1746" s="14">
        <v>1.030985904</v>
      </c>
      <c r="K1746" s="14">
        <v>0.747157038</v>
      </c>
      <c r="L1746" s="14">
        <v>0.615464203</v>
      </c>
      <c r="M1746" s="14">
        <v>0.035284243</v>
      </c>
      <c r="N1746" s="14">
        <v>0.15232969</v>
      </c>
      <c r="O1746" s="14">
        <v>0.155346804</v>
      </c>
      <c r="P1746" s="14" t="s">
        <v>4942</v>
      </c>
      <c r="Q1746" s="14" t="s">
        <v>4943</v>
      </c>
      <c r="T1746" s="14" t="s">
        <v>4944</v>
      </c>
      <c r="U1746" s="14" t="s">
        <v>4945</v>
      </c>
    </row>
    <row r="1747" spans="1:15">
      <c r="A1747" s="14" t="s">
        <v>8723</v>
      </c>
      <c r="B1747" s="14">
        <v>418.995129</v>
      </c>
      <c r="C1747" s="14">
        <v>238.6429666</v>
      </c>
      <c r="D1747" s="14">
        <v>599.3472914</v>
      </c>
      <c r="E1747" s="14">
        <v>2.511279359</v>
      </c>
      <c r="F1747" s="14">
        <v>1.328422526</v>
      </c>
      <c r="G1747" s="51" t="s">
        <v>6943</v>
      </c>
      <c r="H1747" s="14">
        <v>0.000209502</v>
      </c>
      <c r="I1747" s="14" t="s">
        <v>164</v>
      </c>
      <c r="J1747" s="14">
        <v>11.5457877</v>
      </c>
      <c r="K1747" s="14">
        <v>5.454530465</v>
      </c>
      <c r="L1747" s="14">
        <v>10.37766403</v>
      </c>
      <c r="M1747" s="14">
        <v>2.563004484</v>
      </c>
      <c r="N1747" s="14">
        <v>3.076712224</v>
      </c>
      <c r="O1747" s="14">
        <v>3.351868173</v>
      </c>
    </row>
    <row r="1748" spans="1:21">
      <c r="A1748" s="14" t="s">
        <v>8724</v>
      </c>
      <c r="B1748" s="14">
        <v>460.185304</v>
      </c>
      <c r="C1748" s="14">
        <v>881.3118367</v>
      </c>
      <c r="D1748" s="14">
        <v>39.05877127</v>
      </c>
      <c r="E1748" s="14">
        <v>0.04429779</v>
      </c>
      <c r="F1748" s="14">
        <v>-4.496621463</v>
      </c>
      <c r="G1748" s="51" t="s">
        <v>8725</v>
      </c>
      <c r="H1748" s="51" t="s">
        <v>8726</v>
      </c>
      <c r="I1748" s="14" t="s">
        <v>147</v>
      </c>
      <c r="J1748" s="14">
        <v>0.275347352</v>
      </c>
      <c r="K1748" s="14">
        <v>0.415718001</v>
      </c>
      <c r="L1748" s="14">
        <v>0.265118043</v>
      </c>
      <c r="M1748" s="14">
        <v>7.538743521</v>
      </c>
      <c r="N1748" s="14">
        <v>7.245824505</v>
      </c>
      <c r="O1748" s="14">
        <v>2.589658155</v>
      </c>
      <c r="P1748" s="14" t="s">
        <v>8727</v>
      </c>
      <c r="Q1748" s="14" t="s">
        <v>8728</v>
      </c>
      <c r="T1748" s="14" t="s">
        <v>8729</v>
      </c>
      <c r="U1748" s="14" t="s">
        <v>8730</v>
      </c>
    </row>
    <row r="1749" spans="1:21">
      <c r="A1749" s="14" t="s">
        <v>8731</v>
      </c>
      <c r="B1749" s="14">
        <v>621.8654211</v>
      </c>
      <c r="C1749" s="14">
        <v>1119.494894</v>
      </c>
      <c r="D1749" s="14">
        <v>124.235948</v>
      </c>
      <c r="E1749" s="14">
        <v>0.110997173</v>
      </c>
      <c r="F1749" s="14">
        <v>-3.171405163</v>
      </c>
      <c r="G1749" s="51" t="s">
        <v>8732</v>
      </c>
      <c r="H1749" s="51" t="s">
        <v>8733</v>
      </c>
      <c r="I1749" s="14" t="s">
        <v>147</v>
      </c>
      <c r="J1749" s="14">
        <v>2.379674402</v>
      </c>
      <c r="K1749" s="14">
        <v>2.150034045</v>
      </c>
      <c r="L1749" s="14">
        <v>2.525807419</v>
      </c>
      <c r="M1749" s="14">
        <v>21.77116524</v>
      </c>
      <c r="N1749" s="14">
        <v>22.56333328</v>
      </c>
      <c r="O1749" s="14">
        <v>6.634852539</v>
      </c>
      <c r="P1749" s="14" t="s">
        <v>8734</v>
      </c>
      <c r="Q1749" s="14" t="s">
        <v>8735</v>
      </c>
      <c r="T1749" s="14" t="s">
        <v>8736</v>
      </c>
      <c r="U1749" s="14" t="s">
        <v>8737</v>
      </c>
    </row>
    <row r="1750" spans="1:19">
      <c r="A1750" s="14" t="s">
        <v>8738</v>
      </c>
      <c r="B1750" s="14">
        <v>141.1858247</v>
      </c>
      <c r="C1750" s="14">
        <v>73.2997965</v>
      </c>
      <c r="D1750" s="14">
        <v>209.0718529</v>
      </c>
      <c r="E1750" s="14">
        <v>2.847311647</v>
      </c>
      <c r="F1750" s="14">
        <v>1.509600409</v>
      </c>
      <c r="G1750" s="14">
        <v>0.005437411</v>
      </c>
      <c r="H1750" s="14">
        <v>0.015951351</v>
      </c>
      <c r="I1750" s="14" t="s">
        <v>164</v>
      </c>
      <c r="J1750" s="14">
        <v>2.286002259</v>
      </c>
      <c r="K1750" s="14">
        <v>0.918801222</v>
      </c>
      <c r="L1750" s="14">
        <v>1.742831499</v>
      </c>
      <c r="M1750" s="14">
        <v>0.240314304</v>
      </c>
      <c r="N1750" s="14">
        <v>0.397063577</v>
      </c>
      <c r="O1750" s="14">
        <v>0.829449301</v>
      </c>
      <c r="R1750" s="14" t="s">
        <v>8739</v>
      </c>
      <c r="S1750" s="14" t="s">
        <v>8740</v>
      </c>
    </row>
    <row r="1751" spans="1:21">
      <c r="A1751" s="14" t="s">
        <v>8741</v>
      </c>
      <c r="B1751" s="14">
        <v>614.6614562</v>
      </c>
      <c r="C1751" s="14">
        <v>827.741738</v>
      </c>
      <c r="D1751" s="14">
        <v>401.5811744</v>
      </c>
      <c r="E1751" s="14">
        <v>0.484978258</v>
      </c>
      <c r="F1751" s="14">
        <v>-1.044008023</v>
      </c>
      <c r="G1751" s="51" t="s">
        <v>8742</v>
      </c>
      <c r="H1751" s="14">
        <v>0.000398511</v>
      </c>
      <c r="I1751" s="14" t="s">
        <v>147</v>
      </c>
      <c r="J1751" s="14">
        <v>6.370940026</v>
      </c>
      <c r="K1751" s="14">
        <v>4.985993339</v>
      </c>
      <c r="L1751" s="14">
        <v>5.379066832</v>
      </c>
      <c r="M1751" s="14">
        <v>7.511233977</v>
      </c>
      <c r="N1751" s="14">
        <v>7.590163397</v>
      </c>
      <c r="O1751" s="14">
        <v>13.75320582</v>
      </c>
      <c r="P1751" s="14" t="s">
        <v>8743</v>
      </c>
      <c r="Q1751" s="14" t="s">
        <v>8744</v>
      </c>
      <c r="T1751" s="14" t="s">
        <v>8373</v>
      </c>
      <c r="U1751" s="14" t="s">
        <v>8374</v>
      </c>
    </row>
    <row r="1752" spans="1:21">
      <c r="A1752" s="14" t="s">
        <v>8745</v>
      </c>
      <c r="B1752" s="14">
        <v>1140.869272</v>
      </c>
      <c r="C1752" s="14">
        <v>1572.608039</v>
      </c>
      <c r="D1752" s="14">
        <v>709.1305045</v>
      </c>
      <c r="E1752" s="14">
        <v>0.450958909</v>
      </c>
      <c r="F1752" s="14">
        <v>-1.148932114</v>
      </c>
      <c r="G1752" s="51" t="s">
        <v>8746</v>
      </c>
      <c r="H1752" s="51" t="s">
        <v>8747</v>
      </c>
      <c r="I1752" s="14" t="s">
        <v>147</v>
      </c>
      <c r="J1752" s="14">
        <v>14.89182921</v>
      </c>
      <c r="K1752" s="14">
        <v>18.15983592</v>
      </c>
      <c r="L1752" s="14">
        <v>14.21132379</v>
      </c>
      <c r="M1752" s="14">
        <v>31.83457722</v>
      </c>
      <c r="N1752" s="14">
        <v>29.22146827</v>
      </c>
      <c r="O1752" s="14">
        <v>24.67371557</v>
      </c>
      <c r="P1752" s="14" t="s">
        <v>8748</v>
      </c>
      <c r="Q1752" s="14" t="s">
        <v>8749</v>
      </c>
      <c r="T1752" s="14" t="s">
        <v>8750</v>
      </c>
      <c r="U1752" s="14" t="s">
        <v>8751</v>
      </c>
    </row>
    <row r="1753" spans="1:21">
      <c r="A1753" s="14" t="s">
        <v>8752</v>
      </c>
      <c r="B1753" s="14">
        <v>1425.686335</v>
      </c>
      <c r="C1753" s="14">
        <v>774.7628382</v>
      </c>
      <c r="D1753" s="14">
        <v>2076.609832</v>
      </c>
      <c r="E1753" s="14">
        <v>2.679092199</v>
      </c>
      <c r="F1753" s="14">
        <v>1.421744231</v>
      </c>
      <c r="G1753" s="51" t="s">
        <v>8753</v>
      </c>
      <c r="H1753" s="51" t="s">
        <v>8754</v>
      </c>
      <c r="I1753" s="14" t="s">
        <v>164</v>
      </c>
      <c r="J1753" s="14">
        <v>29.4524555</v>
      </c>
      <c r="K1753" s="14">
        <v>32.98056822</v>
      </c>
      <c r="L1753" s="14">
        <v>31.88140667</v>
      </c>
      <c r="M1753" s="14">
        <v>8.429726431</v>
      </c>
      <c r="N1753" s="14">
        <v>9.589077071</v>
      </c>
      <c r="O1753" s="14">
        <v>11.08454366</v>
      </c>
      <c r="Q1753" s="14" t="s">
        <v>7915</v>
      </c>
      <c r="T1753" s="14" t="s">
        <v>7916</v>
      </c>
      <c r="U1753" s="14" t="s">
        <v>7917</v>
      </c>
    </row>
    <row r="1754" spans="1:21">
      <c r="A1754" s="14" t="s">
        <v>8755</v>
      </c>
      <c r="B1754" s="14">
        <v>599.2771565</v>
      </c>
      <c r="C1754" s="14">
        <v>382.9116451</v>
      </c>
      <c r="D1754" s="14">
        <v>815.6426679</v>
      </c>
      <c r="E1754" s="14">
        <v>2.129232759</v>
      </c>
      <c r="F1754" s="14">
        <v>1.090333668</v>
      </c>
      <c r="G1754" s="14">
        <v>0.015404704</v>
      </c>
      <c r="H1754" s="14">
        <v>0.03896677</v>
      </c>
      <c r="I1754" s="14" t="s">
        <v>164</v>
      </c>
      <c r="J1754" s="14">
        <v>7.508352412</v>
      </c>
      <c r="K1754" s="14">
        <v>3.499963551</v>
      </c>
      <c r="L1754" s="14">
        <v>6.338392817</v>
      </c>
      <c r="M1754" s="14">
        <v>1.505556247</v>
      </c>
      <c r="N1754" s="14">
        <v>1.484684621</v>
      </c>
      <c r="O1754" s="14">
        <v>3.884993144</v>
      </c>
      <c r="P1754" s="14" t="s">
        <v>8756</v>
      </c>
      <c r="Q1754" s="14" t="s">
        <v>8757</v>
      </c>
      <c r="T1754" s="14" t="s">
        <v>8758</v>
      </c>
      <c r="U1754" s="14" t="s">
        <v>8759</v>
      </c>
    </row>
    <row r="1755" spans="1:21">
      <c r="A1755" s="14" t="s">
        <v>8760</v>
      </c>
      <c r="B1755" s="14">
        <v>45.67805044</v>
      </c>
      <c r="C1755" s="14">
        <v>11.74303314</v>
      </c>
      <c r="D1755" s="14">
        <v>79.61306775</v>
      </c>
      <c r="E1755" s="14">
        <v>6.731794646</v>
      </c>
      <c r="F1755" s="14">
        <v>2.750991168</v>
      </c>
      <c r="G1755" s="51" t="s">
        <v>299</v>
      </c>
      <c r="H1755" s="51" t="s">
        <v>300</v>
      </c>
      <c r="I1755" s="14" t="s">
        <v>164</v>
      </c>
      <c r="J1755" s="14">
        <v>3.217489066</v>
      </c>
      <c r="K1755" s="14">
        <v>1.28317879</v>
      </c>
      <c r="L1755" s="14">
        <v>2.834923406</v>
      </c>
      <c r="M1755" s="14">
        <v>0.155822637</v>
      </c>
      <c r="N1755" s="14">
        <v>0.249155536</v>
      </c>
      <c r="O1755" s="14">
        <v>0.508180855</v>
      </c>
      <c r="P1755" s="14" t="s">
        <v>8761</v>
      </c>
      <c r="Q1755" s="14" t="s">
        <v>8762</v>
      </c>
      <c r="T1755" s="14" t="s">
        <v>8763</v>
      </c>
      <c r="U1755" s="14" t="s">
        <v>8764</v>
      </c>
    </row>
    <row r="1756" spans="1:21">
      <c r="A1756" s="14" t="s">
        <v>8765</v>
      </c>
      <c r="B1756" s="14">
        <v>405.0472033</v>
      </c>
      <c r="C1756" s="14">
        <v>128.6199424</v>
      </c>
      <c r="D1756" s="14">
        <v>681.4744642</v>
      </c>
      <c r="E1756" s="14">
        <v>5.298367822</v>
      </c>
      <c r="F1756" s="14">
        <v>2.405548002</v>
      </c>
      <c r="G1756" s="51" t="s">
        <v>8766</v>
      </c>
      <c r="H1756" s="51" t="s">
        <v>8767</v>
      </c>
      <c r="I1756" s="14" t="s">
        <v>164</v>
      </c>
      <c r="J1756" s="14">
        <v>22.30611913</v>
      </c>
      <c r="K1756" s="14">
        <v>9.567949287</v>
      </c>
      <c r="L1756" s="14">
        <v>20.14568804</v>
      </c>
      <c r="M1756" s="14">
        <v>2.474379585</v>
      </c>
      <c r="N1756" s="14">
        <v>2.662866746</v>
      </c>
      <c r="O1756" s="14">
        <v>2.947172274</v>
      </c>
      <c r="P1756" s="14" t="s">
        <v>7869</v>
      </c>
      <c r="Q1756" s="14" t="s">
        <v>7870</v>
      </c>
      <c r="T1756" s="14" t="s">
        <v>7871</v>
      </c>
      <c r="U1756" s="14" t="s">
        <v>7872</v>
      </c>
    </row>
    <row r="1757" spans="1:21">
      <c r="A1757" s="14" t="s">
        <v>8768</v>
      </c>
      <c r="B1757" s="14">
        <v>11.0596385</v>
      </c>
      <c r="C1757" s="14">
        <v>17.89838718</v>
      </c>
      <c r="D1757" s="14">
        <v>4.220889816</v>
      </c>
      <c r="E1757" s="14">
        <v>0.236577289</v>
      </c>
      <c r="F1757" s="14">
        <v>-2.079616512</v>
      </c>
      <c r="G1757" s="14">
        <v>0.011305706</v>
      </c>
      <c r="H1757" s="14">
        <v>0.029999782</v>
      </c>
      <c r="I1757" s="14" t="s">
        <v>147</v>
      </c>
      <c r="J1757" s="14">
        <v>0.084490552</v>
      </c>
      <c r="K1757" s="14">
        <v>0.212605661</v>
      </c>
      <c r="L1757" s="14">
        <v>0.244055042</v>
      </c>
      <c r="M1757" s="14">
        <v>0.506027681</v>
      </c>
      <c r="N1757" s="14">
        <v>0.901593614</v>
      </c>
      <c r="O1757" s="14">
        <v>0.459725501</v>
      </c>
      <c r="P1757" s="14" t="s">
        <v>8769</v>
      </c>
      <c r="Q1757" s="14" t="s">
        <v>8770</v>
      </c>
      <c r="T1757" s="14" t="s">
        <v>7851</v>
      </c>
      <c r="U1757" s="14" t="s">
        <v>7852</v>
      </c>
    </row>
    <row r="1758" spans="1:21">
      <c r="A1758" s="14" t="s">
        <v>8771</v>
      </c>
      <c r="B1758" s="14">
        <v>4782.182891</v>
      </c>
      <c r="C1758" s="14">
        <v>6614.167823</v>
      </c>
      <c r="D1758" s="14">
        <v>2950.197958</v>
      </c>
      <c r="E1758" s="14">
        <v>0.446043917</v>
      </c>
      <c r="F1758" s="14">
        <v>-1.164742332</v>
      </c>
      <c r="G1758" s="51" t="s">
        <v>8772</v>
      </c>
      <c r="H1758" s="51" t="s">
        <v>8773</v>
      </c>
      <c r="I1758" s="14" t="s">
        <v>147</v>
      </c>
      <c r="J1758" s="14">
        <v>52.78201395</v>
      </c>
      <c r="K1758" s="14">
        <v>59.5245217</v>
      </c>
      <c r="L1758" s="14">
        <v>55.19012498</v>
      </c>
      <c r="M1758" s="14">
        <v>100.3306258</v>
      </c>
      <c r="N1758" s="14">
        <v>102.5348529</v>
      </c>
      <c r="O1758" s="14">
        <v>106.2608575</v>
      </c>
      <c r="P1758" s="14" t="s">
        <v>8774</v>
      </c>
      <c r="Q1758" s="14" t="s">
        <v>8775</v>
      </c>
      <c r="R1758" s="14" t="s">
        <v>8776</v>
      </c>
      <c r="S1758" s="14" t="s">
        <v>8777</v>
      </c>
      <c r="T1758" s="14" t="s">
        <v>8778</v>
      </c>
      <c r="U1758" s="14" t="s">
        <v>8779</v>
      </c>
    </row>
    <row r="1759" spans="1:15">
      <c r="A1759" s="14" t="s">
        <v>8780</v>
      </c>
      <c r="B1759" s="14">
        <v>6.894026759</v>
      </c>
      <c r="C1759" s="14">
        <v>0.618177692</v>
      </c>
      <c r="D1759" s="14">
        <v>13.16987583</v>
      </c>
      <c r="E1759" s="14">
        <v>20.13018553</v>
      </c>
      <c r="F1759" s="14">
        <v>4.331288564</v>
      </c>
      <c r="G1759" s="14">
        <v>0.00278976</v>
      </c>
      <c r="H1759" s="14">
        <v>0.008929739</v>
      </c>
      <c r="I1759" s="14" t="s">
        <v>164</v>
      </c>
      <c r="J1759" s="14">
        <v>0.882576468</v>
      </c>
      <c r="K1759" s="14">
        <v>0.947562216</v>
      </c>
      <c r="L1759" s="14">
        <v>0.509872953</v>
      </c>
      <c r="M1759" s="14">
        <v>0</v>
      </c>
      <c r="N1759" s="14">
        <v>0</v>
      </c>
      <c r="O1759" s="14">
        <v>0.098507244</v>
      </c>
    </row>
    <row r="1760" spans="1:15">
      <c r="A1760" s="14" t="s">
        <v>8781</v>
      </c>
      <c r="B1760" s="14">
        <v>10.36470776</v>
      </c>
      <c r="C1760" s="14">
        <v>0.723792487</v>
      </c>
      <c r="D1760" s="14">
        <v>20.00562304</v>
      </c>
      <c r="E1760" s="14">
        <v>29.24657075</v>
      </c>
      <c r="F1760" s="14">
        <v>4.870195569</v>
      </c>
      <c r="G1760" s="14">
        <v>0.000228366</v>
      </c>
      <c r="H1760" s="14">
        <v>0.000986869</v>
      </c>
      <c r="I1760" s="14" t="s">
        <v>164</v>
      </c>
      <c r="J1760" s="14">
        <v>0.64952112</v>
      </c>
      <c r="K1760" s="14">
        <v>0.908003344</v>
      </c>
      <c r="L1760" s="14">
        <v>0.625391045</v>
      </c>
      <c r="M1760" s="14">
        <v>0.061747425</v>
      </c>
      <c r="N1760" s="14">
        <v>0</v>
      </c>
      <c r="O1760" s="14">
        <v>0</v>
      </c>
    </row>
    <row r="1761" spans="1:15">
      <c r="A1761" s="14" t="s">
        <v>8782</v>
      </c>
      <c r="B1761" s="14">
        <v>21.62214667</v>
      </c>
      <c r="C1761" s="14">
        <v>4.090762876</v>
      </c>
      <c r="D1761" s="14">
        <v>39.15353046</v>
      </c>
      <c r="E1761" s="14">
        <v>9.592309378</v>
      </c>
      <c r="F1761" s="14">
        <v>3.26187819</v>
      </c>
      <c r="G1761" s="14">
        <v>0.015798972</v>
      </c>
      <c r="H1761" s="14">
        <v>0.039862194</v>
      </c>
      <c r="I1761" s="14" t="s">
        <v>164</v>
      </c>
      <c r="J1761" s="14">
        <v>5.288721585</v>
      </c>
      <c r="K1761" s="14">
        <v>1.561488499</v>
      </c>
      <c r="L1761" s="14">
        <v>1.493724496</v>
      </c>
      <c r="M1761" s="14">
        <v>0.060333362</v>
      </c>
      <c r="N1761" s="14">
        <v>0.636709681</v>
      </c>
      <c r="O1761" s="14">
        <v>0</v>
      </c>
    </row>
    <row r="1762" spans="1:21">
      <c r="A1762" s="14" t="s">
        <v>8783</v>
      </c>
      <c r="B1762" s="14">
        <v>98.64942821</v>
      </c>
      <c r="C1762" s="14">
        <v>36.15749909</v>
      </c>
      <c r="D1762" s="14">
        <v>161.1413573</v>
      </c>
      <c r="E1762" s="14">
        <v>4.46678058</v>
      </c>
      <c r="F1762" s="14">
        <v>2.159235388</v>
      </c>
      <c r="G1762" s="51" t="s">
        <v>8784</v>
      </c>
      <c r="H1762" s="14">
        <v>0.000105218</v>
      </c>
      <c r="I1762" s="14" t="s">
        <v>164</v>
      </c>
      <c r="J1762" s="14">
        <v>1.455894511</v>
      </c>
      <c r="K1762" s="14">
        <v>1.854808654</v>
      </c>
      <c r="L1762" s="14">
        <v>1.656681248</v>
      </c>
      <c r="M1762" s="14">
        <v>0.278748113</v>
      </c>
      <c r="N1762" s="14">
        <v>0.476352066</v>
      </c>
      <c r="O1762" s="14">
        <v>0.144883818</v>
      </c>
      <c r="P1762" s="14" t="s">
        <v>8785</v>
      </c>
      <c r="Q1762" s="14" t="s">
        <v>8786</v>
      </c>
      <c r="T1762" s="14" t="s">
        <v>8787</v>
      </c>
      <c r="U1762" s="14" t="s">
        <v>8788</v>
      </c>
    </row>
    <row r="1763" spans="1:21">
      <c r="A1763" s="14" t="s">
        <v>8789</v>
      </c>
      <c r="B1763" s="14">
        <v>4504.026251</v>
      </c>
      <c r="C1763" s="14">
        <v>6638.757828</v>
      </c>
      <c r="D1763" s="14">
        <v>2369.294674</v>
      </c>
      <c r="E1763" s="14">
        <v>0.356900525</v>
      </c>
      <c r="F1763" s="14">
        <v>-1.486406071</v>
      </c>
      <c r="G1763" s="51" t="s">
        <v>8790</v>
      </c>
      <c r="H1763" s="51" t="s">
        <v>5814</v>
      </c>
      <c r="I1763" s="14" t="s">
        <v>147</v>
      </c>
      <c r="J1763" s="14">
        <v>23.19641628</v>
      </c>
      <c r="K1763" s="14">
        <v>27.18158986</v>
      </c>
      <c r="L1763" s="14">
        <v>24.26852298</v>
      </c>
      <c r="M1763" s="14">
        <v>66.60096311</v>
      </c>
      <c r="N1763" s="14">
        <v>63.71633092</v>
      </c>
      <c r="O1763" s="14">
        <v>39.54975232</v>
      </c>
      <c r="P1763" s="14" t="s">
        <v>8791</v>
      </c>
      <c r="Q1763" s="14" t="s">
        <v>8792</v>
      </c>
      <c r="T1763" s="14" t="s">
        <v>8793</v>
      </c>
      <c r="U1763" s="14" t="s">
        <v>8794</v>
      </c>
    </row>
    <row r="1764" spans="1:21">
      <c r="A1764" s="14" t="s">
        <v>8795</v>
      </c>
      <c r="B1764" s="14">
        <v>304.0635582</v>
      </c>
      <c r="C1764" s="14">
        <v>497.8276146</v>
      </c>
      <c r="D1764" s="14">
        <v>110.2995019</v>
      </c>
      <c r="E1764" s="14">
        <v>0.221602621</v>
      </c>
      <c r="F1764" s="14">
        <v>-2.173953152</v>
      </c>
      <c r="G1764" s="51" t="s">
        <v>8796</v>
      </c>
      <c r="H1764" s="51" t="s">
        <v>8797</v>
      </c>
      <c r="I1764" s="14" t="s">
        <v>147</v>
      </c>
      <c r="J1764" s="14">
        <v>1.712595012</v>
      </c>
      <c r="K1764" s="14">
        <v>2.246135014</v>
      </c>
      <c r="L1764" s="14">
        <v>1.815533885</v>
      </c>
      <c r="M1764" s="14">
        <v>8.30329423</v>
      </c>
      <c r="N1764" s="14">
        <v>7.895026613</v>
      </c>
      <c r="O1764" s="14">
        <v>4.981441247</v>
      </c>
      <c r="P1764" s="14" t="s">
        <v>8798</v>
      </c>
      <c r="Q1764" s="14" t="s">
        <v>8799</v>
      </c>
      <c r="T1764" s="14" t="s">
        <v>8800</v>
      </c>
      <c r="U1764" s="14" t="s">
        <v>8801</v>
      </c>
    </row>
    <row r="1765" spans="1:21">
      <c r="A1765" s="14" t="s">
        <v>8802</v>
      </c>
      <c r="B1765" s="14">
        <v>20.42629575</v>
      </c>
      <c r="C1765" s="14">
        <v>0.338987876</v>
      </c>
      <c r="D1765" s="14">
        <v>40.51360362</v>
      </c>
      <c r="E1765" s="14">
        <v>112.1354361</v>
      </c>
      <c r="F1765" s="14">
        <v>6.809098448</v>
      </c>
      <c r="G1765" s="51" t="s">
        <v>8803</v>
      </c>
      <c r="H1765" s="51" t="s">
        <v>7702</v>
      </c>
      <c r="I1765" s="14" t="s">
        <v>164</v>
      </c>
      <c r="J1765" s="14">
        <v>0.683502045</v>
      </c>
      <c r="K1765" s="14">
        <v>0.700473683</v>
      </c>
      <c r="L1765" s="14">
        <v>0.131621912</v>
      </c>
      <c r="M1765" s="14">
        <v>0</v>
      </c>
      <c r="N1765" s="14">
        <v>0.010200852</v>
      </c>
      <c r="O1765" s="14">
        <v>0</v>
      </c>
      <c r="P1765" s="14" t="s">
        <v>8804</v>
      </c>
      <c r="Q1765" s="14" t="s">
        <v>8805</v>
      </c>
      <c r="R1765" s="14" t="s">
        <v>362</v>
      </c>
      <c r="S1765" s="14" t="s">
        <v>363</v>
      </c>
      <c r="T1765" s="14" t="s">
        <v>8806</v>
      </c>
      <c r="U1765" s="14" t="s">
        <v>8807</v>
      </c>
    </row>
    <row r="1766" spans="1:21">
      <c r="A1766" s="14" t="s">
        <v>8808</v>
      </c>
      <c r="B1766" s="14">
        <v>1030.627192</v>
      </c>
      <c r="C1766" s="14">
        <v>1427.883844</v>
      </c>
      <c r="D1766" s="14">
        <v>633.3705391</v>
      </c>
      <c r="E1766" s="14">
        <v>0.443567018</v>
      </c>
      <c r="F1766" s="14">
        <v>-1.172775999</v>
      </c>
      <c r="G1766" s="51" t="s">
        <v>8809</v>
      </c>
      <c r="H1766" s="51" t="s">
        <v>8810</v>
      </c>
      <c r="I1766" s="14" t="s">
        <v>147</v>
      </c>
      <c r="J1766" s="14">
        <v>9.622077435</v>
      </c>
      <c r="K1766" s="14">
        <v>12.76948532</v>
      </c>
      <c r="L1766" s="14">
        <v>9.169427475</v>
      </c>
      <c r="M1766" s="14">
        <v>20.46872084</v>
      </c>
      <c r="N1766" s="14">
        <v>20.35409639</v>
      </c>
      <c r="O1766" s="14">
        <v>17.50228342</v>
      </c>
      <c r="P1766" s="14" t="s">
        <v>8811</v>
      </c>
      <c r="Q1766" s="14" t="s">
        <v>8812</v>
      </c>
      <c r="R1766" s="14" t="s">
        <v>8813</v>
      </c>
      <c r="S1766" s="14" t="s">
        <v>8814</v>
      </c>
      <c r="T1766" s="14" t="s">
        <v>8815</v>
      </c>
      <c r="U1766" s="14" t="s">
        <v>8816</v>
      </c>
    </row>
    <row r="1767" spans="1:21">
      <c r="A1767" s="14" t="s">
        <v>8817</v>
      </c>
      <c r="B1767" s="14">
        <v>10788.62259</v>
      </c>
      <c r="C1767" s="14">
        <v>15583.66689</v>
      </c>
      <c r="D1767" s="14">
        <v>5993.578294</v>
      </c>
      <c r="E1767" s="14">
        <v>0.384609608</v>
      </c>
      <c r="F1767" s="14">
        <v>-1.378533291</v>
      </c>
      <c r="G1767" s="51" t="s">
        <v>8818</v>
      </c>
      <c r="H1767" s="51" t="s">
        <v>2497</v>
      </c>
      <c r="I1767" s="14" t="s">
        <v>147</v>
      </c>
      <c r="J1767" s="14">
        <v>91.72249362</v>
      </c>
      <c r="K1767" s="14">
        <v>119.793425</v>
      </c>
      <c r="L1767" s="14">
        <v>92.49582732</v>
      </c>
      <c r="M1767" s="14">
        <v>243.1060012</v>
      </c>
      <c r="N1767" s="14">
        <v>238.6534114</v>
      </c>
      <c r="O1767" s="14">
        <v>162.1646458</v>
      </c>
      <c r="P1767" s="14" t="s">
        <v>8819</v>
      </c>
      <c r="Q1767" s="14" t="s">
        <v>8820</v>
      </c>
      <c r="T1767" s="14" t="s">
        <v>8821</v>
      </c>
      <c r="U1767" s="14" t="s">
        <v>8822</v>
      </c>
    </row>
    <row r="1768" spans="1:15">
      <c r="A1768" s="14" t="s">
        <v>8823</v>
      </c>
      <c r="B1768" s="14">
        <v>3383.729617</v>
      </c>
      <c r="C1768" s="14">
        <v>5256.156488</v>
      </c>
      <c r="D1768" s="14">
        <v>1511.302747</v>
      </c>
      <c r="E1768" s="14">
        <v>0.287536056</v>
      </c>
      <c r="F1768" s="14">
        <v>-1.798185218</v>
      </c>
      <c r="G1768" s="51" t="s">
        <v>8824</v>
      </c>
      <c r="H1768" s="51" t="s">
        <v>8825</v>
      </c>
      <c r="I1768" s="14" t="s">
        <v>147</v>
      </c>
      <c r="J1768" s="14">
        <v>31.10285843</v>
      </c>
      <c r="K1768" s="14">
        <v>36.48807274</v>
      </c>
      <c r="L1768" s="14">
        <v>29.29456603</v>
      </c>
      <c r="M1768" s="14">
        <v>105.7387837</v>
      </c>
      <c r="N1768" s="14">
        <v>111.9655833</v>
      </c>
      <c r="O1768" s="14">
        <v>55.24708759</v>
      </c>
    </row>
    <row r="1769" spans="1:21">
      <c r="A1769" s="14" t="s">
        <v>8826</v>
      </c>
      <c r="B1769" s="14">
        <v>15.65259439</v>
      </c>
      <c r="C1769" s="14">
        <v>25.73857204</v>
      </c>
      <c r="D1769" s="14">
        <v>5.566616743</v>
      </c>
      <c r="E1769" s="14">
        <v>0.216665401</v>
      </c>
      <c r="F1769" s="14">
        <v>-2.206459307</v>
      </c>
      <c r="G1769" s="14">
        <v>0.00248597</v>
      </c>
      <c r="H1769" s="14">
        <v>0.008080764</v>
      </c>
      <c r="I1769" s="14" t="s">
        <v>147</v>
      </c>
      <c r="J1769" s="14">
        <v>0.219198088</v>
      </c>
      <c r="K1769" s="14">
        <v>0.157592445</v>
      </c>
      <c r="L1769" s="14">
        <v>0.150753397</v>
      </c>
      <c r="M1769" s="14">
        <v>0.857347302</v>
      </c>
      <c r="N1769" s="14">
        <v>0.745411426</v>
      </c>
      <c r="O1769" s="14">
        <v>0.366981226</v>
      </c>
      <c r="P1769" s="14" t="s">
        <v>8827</v>
      </c>
      <c r="Q1769" s="14" t="s">
        <v>8828</v>
      </c>
      <c r="T1769" s="14" t="s">
        <v>8829</v>
      </c>
      <c r="U1769" s="14" t="s">
        <v>8830</v>
      </c>
    </row>
    <row r="1770" spans="1:21">
      <c r="A1770" s="14" t="s">
        <v>8831</v>
      </c>
      <c r="B1770" s="14">
        <v>322.5816142</v>
      </c>
      <c r="C1770" s="14">
        <v>161.3247235</v>
      </c>
      <c r="D1770" s="14">
        <v>483.8385049</v>
      </c>
      <c r="E1770" s="14">
        <v>2.996556889</v>
      </c>
      <c r="F1770" s="14">
        <v>1.583305763</v>
      </c>
      <c r="G1770" s="14">
        <v>0.0003113</v>
      </c>
      <c r="H1770" s="14">
        <v>0.001306596</v>
      </c>
      <c r="I1770" s="14" t="s">
        <v>164</v>
      </c>
      <c r="J1770" s="14">
        <v>8.577029182</v>
      </c>
      <c r="K1770" s="14">
        <v>5.477399775</v>
      </c>
      <c r="L1770" s="14">
        <v>9.806835418</v>
      </c>
      <c r="M1770" s="14">
        <v>1.695629181</v>
      </c>
      <c r="N1770" s="14">
        <v>1.253401313</v>
      </c>
      <c r="O1770" s="14">
        <v>3.753091364</v>
      </c>
      <c r="P1770" s="14" t="s">
        <v>8832</v>
      </c>
      <c r="Q1770" s="14" t="s">
        <v>8833</v>
      </c>
      <c r="T1770" s="14" t="s">
        <v>8834</v>
      </c>
      <c r="U1770" s="14" t="s">
        <v>8835</v>
      </c>
    </row>
    <row r="1771" spans="1:21">
      <c r="A1771" s="14" t="s">
        <v>8836</v>
      </c>
      <c r="B1771" s="14">
        <v>121.2779315</v>
      </c>
      <c r="C1771" s="14">
        <v>45.18091205</v>
      </c>
      <c r="D1771" s="14">
        <v>197.3749509</v>
      </c>
      <c r="E1771" s="14">
        <v>4.357813756</v>
      </c>
      <c r="F1771" s="14">
        <v>2.12360454</v>
      </c>
      <c r="G1771" s="14">
        <v>0.00361106</v>
      </c>
      <c r="H1771" s="14">
        <v>0.011180917</v>
      </c>
      <c r="I1771" s="14" t="s">
        <v>164</v>
      </c>
      <c r="J1771" s="14">
        <v>2.284937873</v>
      </c>
      <c r="K1771" s="14">
        <v>0.868219569</v>
      </c>
      <c r="L1771" s="14">
        <v>2.35025544</v>
      </c>
      <c r="M1771" s="14">
        <v>0.117769924</v>
      </c>
      <c r="N1771" s="14">
        <v>0.203375269</v>
      </c>
      <c r="O1771" s="14">
        <v>0.760479188</v>
      </c>
      <c r="P1771" s="14" t="s">
        <v>8837</v>
      </c>
      <c r="Q1771" s="14" t="s">
        <v>8838</v>
      </c>
      <c r="R1771" s="14" t="s">
        <v>3529</v>
      </c>
      <c r="S1771" s="14" t="s">
        <v>3530</v>
      </c>
      <c r="T1771" s="14" t="s">
        <v>3531</v>
      </c>
      <c r="U1771" s="14" t="s">
        <v>3532</v>
      </c>
    </row>
    <row r="1772" spans="1:21">
      <c r="A1772" s="14" t="s">
        <v>8839</v>
      </c>
      <c r="B1772" s="14">
        <v>5.048821991</v>
      </c>
      <c r="C1772" s="14">
        <v>0.361896244</v>
      </c>
      <c r="D1772" s="14">
        <v>9.735747738</v>
      </c>
      <c r="E1772" s="14">
        <v>26.98203144</v>
      </c>
      <c r="F1772" s="14">
        <v>4.753927066</v>
      </c>
      <c r="G1772" s="14">
        <v>0.002589625</v>
      </c>
      <c r="H1772" s="14">
        <v>0.008368829</v>
      </c>
      <c r="I1772" s="14" t="s">
        <v>164</v>
      </c>
      <c r="J1772" s="14">
        <v>0.073237054</v>
      </c>
      <c r="K1772" s="14">
        <v>0.051600697</v>
      </c>
      <c r="L1772" s="14">
        <v>0.091671133</v>
      </c>
      <c r="M1772" s="14">
        <v>0.006266124</v>
      </c>
      <c r="N1772" s="14">
        <v>0</v>
      </c>
      <c r="O1772" s="14">
        <v>0</v>
      </c>
      <c r="P1772" s="14" t="s">
        <v>8840</v>
      </c>
      <c r="Q1772" s="14" t="s">
        <v>8841</v>
      </c>
      <c r="T1772" s="14" t="s">
        <v>8842</v>
      </c>
      <c r="U1772" s="14" t="s">
        <v>8843</v>
      </c>
    </row>
    <row r="1773" spans="1:21">
      <c r="A1773" s="14" t="s">
        <v>8844</v>
      </c>
      <c r="B1773" s="14">
        <v>97.06661357</v>
      </c>
      <c r="C1773" s="14">
        <v>51.3971389</v>
      </c>
      <c r="D1773" s="14">
        <v>142.7360882</v>
      </c>
      <c r="E1773" s="14">
        <v>2.785687838</v>
      </c>
      <c r="F1773" s="14">
        <v>1.4780336</v>
      </c>
      <c r="G1773" s="14">
        <v>0.00214043</v>
      </c>
      <c r="H1773" s="14">
        <v>0.007114663</v>
      </c>
      <c r="I1773" s="14" t="s">
        <v>164</v>
      </c>
      <c r="J1773" s="14">
        <v>7.381267121</v>
      </c>
      <c r="K1773" s="14">
        <v>6.094831252</v>
      </c>
      <c r="L1773" s="14">
        <v>5.617547628</v>
      </c>
      <c r="M1773" s="14">
        <v>2.79842877</v>
      </c>
      <c r="N1773" s="14">
        <v>1.741466061</v>
      </c>
      <c r="O1773" s="14">
        <v>0.998976576</v>
      </c>
      <c r="P1773" s="14" t="s">
        <v>8845</v>
      </c>
      <c r="Q1773" s="14" t="s">
        <v>8846</v>
      </c>
      <c r="T1773" s="14" t="s">
        <v>8847</v>
      </c>
      <c r="U1773" s="14" t="s">
        <v>8848</v>
      </c>
    </row>
    <row r="1774" spans="1:21">
      <c r="A1774" s="14" t="s">
        <v>8849</v>
      </c>
      <c r="B1774" s="14">
        <v>709.6601337</v>
      </c>
      <c r="C1774" s="14">
        <v>274.158963</v>
      </c>
      <c r="D1774" s="14">
        <v>1145.161304</v>
      </c>
      <c r="E1774" s="14">
        <v>4.177243299</v>
      </c>
      <c r="F1774" s="14">
        <v>2.062551174</v>
      </c>
      <c r="G1774" s="51" t="s">
        <v>8850</v>
      </c>
      <c r="H1774" s="51" t="s">
        <v>8851</v>
      </c>
      <c r="I1774" s="14" t="s">
        <v>164</v>
      </c>
      <c r="J1774" s="14">
        <v>12.60314731</v>
      </c>
      <c r="K1774" s="14">
        <v>8.530476049</v>
      </c>
      <c r="L1774" s="14">
        <v>9.257316984</v>
      </c>
      <c r="M1774" s="14">
        <v>1.87468464</v>
      </c>
      <c r="N1774" s="14">
        <v>2.028750132</v>
      </c>
      <c r="O1774" s="14">
        <v>2.090942433</v>
      </c>
      <c r="P1774" s="14" t="s">
        <v>8852</v>
      </c>
      <c r="Q1774" s="14" t="s">
        <v>8853</v>
      </c>
      <c r="T1774" s="14" t="s">
        <v>8854</v>
      </c>
      <c r="U1774" s="14" t="s">
        <v>8855</v>
      </c>
    </row>
    <row r="1775" spans="1:21">
      <c r="A1775" s="14" t="s">
        <v>8856</v>
      </c>
      <c r="B1775" s="14">
        <v>1312.058347</v>
      </c>
      <c r="C1775" s="14">
        <v>492.8465616</v>
      </c>
      <c r="D1775" s="14">
        <v>2131.270133</v>
      </c>
      <c r="E1775" s="14">
        <v>4.327699575</v>
      </c>
      <c r="F1775" s="14">
        <v>2.113600352</v>
      </c>
      <c r="G1775" s="51" t="s">
        <v>8857</v>
      </c>
      <c r="H1775" s="51" t="s">
        <v>8858</v>
      </c>
      <c r="I1775" s="14" t="s">
        <v>164</v>
      </c>
      <c r="J1775" s="14">
        <v>29.2486977</v>
      </c>
      <c r="K1775" s="14">
        <v>26.59647377</v>
      </c>
      <c r="L1775" s="14">
        <v>32.75675132</v>
      </c>
      <c r="M1775" s="14">
        <v>6.042142917</v>
      </c>
      <c r="N1775" s="14">
        <v>5.762951517</v>
      </c>
      <c r="O1775" s="14">
        <v>4.935841711</v>
      </c>
      <c r="P1775" s="14" t="s">
        <v>8859</v>
      </c>
      <c r="Q1775" s="14" t="s">
        <v>8860</v>
      </c>
      <c r="T1775" s="14" t="s">
        <v>8861</v>
      </c>
      <c r="U1775" s="14" t="s">
        <v>8862</v>
      </c>
    </row>
    <row r="1776" spans="1:21">
      <c r="A1776" s="14" t="s">
        <v>8863</v>
      </c>
      <c r="B1776" s="14">
        <v>60.54967109</v>
      </c>
      <c r="C1776" s="14">
        <v>90.80547841</v>
      </c>
      <c r="D1776" s="14">
        <v>30.29386376</v>
      </c>
      <c r="E1776" s="14">
        <v>0.33369213</v>
      </c>
      <c r="F1776" s="14">
        <v>-1.583410433</v>
      </c>
      <c r="G1776" s="14">
        <v>0.014544388</v>
      </c>
      <c r="H1776" s="14">
        <v>0.037170614</v>
      </c>
      <c r="I1776" s="14" t="s">
        <v>147</v>
      </c>
      <c r="J1776" s="14">
        <v>0.886168349</v>
      </c>
      <c r="K1776" s="14">
        <v>1.905540042</v>
      </c>
      <c r="L1776" s="14">
        <v>0.892030637</v>
      </c>
      <c r="M1776" s="14">
        <v>4.239032549</v>
      </c>
      <c r="N1776" s="14">
        <v>3.339444684</v>
      </c>
      <c r="O1776" s="14">
        <v>1.315028758</v>
      </c>
      <c r="P1776" s="14" t="s">
        <v>8864</v>
      </c>
      <c r="Q1776" s="14" t="s">
        <v>8865</v>
      </c>
      <c r="R1776" s="14" t="s">
        <v>6666</v>
      </c>
      <c r="S1776" s="14" t="s">
        <v>6667</v>
      </c>
      <c r="T1776" s="14" t="s">
        <v>8866</v>
      </c>
      <c r="U1776" s="14" t="s">
        <v>8867</v>
      </c>
    </row>
    <row r="1777" spans="1:21">
      <c r="A1777" s="14" t="s">
        <v>8868</v>
      </c>
      <c r="B1777" s="14">
        <v>574.8245383</v>
      </c>
      <c r="C1777" s="14">
        <v>367.5979657</v>
      </c>
      <c r="D1777" s="14">
        <v>782.051111</v>
      </c>
      <c r="E1777" s="14">
        <v>2.127729497</v>
      </c>
      <c r="F1777" s="14">
        <v>1.08931475</v>
      </c>
      <c r="G1777" s="51" t="s">
        <v>8869</v>
      </c>
      <c r="H1777" s="51" t="s">
        <v>8870</v>
      </c>
      <c r="I1777" s="14" t="s">
        <v>164</v>
      </c>
      <c r="J1777" s="14">
        <v>7.012538551</v>
      </c>
      <c r="K1777" s="14">
        <v>10.61675766</v>
      </c>
      <c r="L1777" s="14">
        <v>9.920876707</v>
      </c>
      <c r="M1777" s="14">
        <v>3.412873222</v>
      </c>
      <c r="N1777" s="14">
        <v>3.522440308</v>
      </c>
      <c r="O1777" s="14">
        <v>3.728497131</v>
      </c>
      <c r="P1777" s="14" t="s">
        <v>8871</v>
      </c>
      <c r="Q1777" s="14" t="s">
        <v>8872</v>
      </c>
      <c r="T1777" s="14" t="s">
        <v>2316</v>
      </c>
      <c r="U1777" s="14" t="s">
        <v>2317</v>
      </c>
    </row>
    <row r="1778" spans="1:15">
      <c r="A1778" s="14" t="s">
        <v>8873</v>
      </c>
      <c r="B1778" s="14">
        <v>2091.174511</v>
      </c>
      <c r="C1778" s="14">
        <v>3535.971281</v>
      </c>
      <c r="D1778" s="14">
        <v>646.3777411</v>
      </c>
      <c r="E1778" s="14">
        <v>0.182808334</v>
      </c>
      <c r="F1778" s="14">
        <v>-2.451596252</v>
      </c>
      <c r="G1778" s="51" t="s">
        <v>8874</v>
      </c>
      <c r="H1778" s="51" t="s">
        <v>8875</v>
      </c>
      <c r="I1778" s="14" t="s">
        <v>147</v>
      </c>
      <c r="J1778" s="14">
        <v>4.922598852</v>
      </c>
      <c r="K1778" s="14">
        <v>3.923620635</v>
      </c>
      <c r="L1778" s="14">
        <v>4.176078974</v>
      </c>
      <c r="M1778" s="14">
        <v>22.61823309</v>
      </c>
      <c r="N1778" s="14">
        <v>25.68557935</v>
      </c>
      <c r="O1778" s="14">
        <v>9.065551232</v>
      </c>
    </row>
    <row r="1779" spans="1:21">
      <c r="A1779" s="14" t="s">
        <v>8876</v>
      </c>
      <c r="B1779" s="14">
        <v>41.41467332</v>
      </c>
      <c r="C1779" s="14">
        <v>6.593372673</v>
      </c>
      <c r="D1779" s="14">
        <v>76.23597398</v>
      </c>
      <c r="E1779" s="14">
        <v>11.4923549</v>
      </c>
      <c r="F1779" s="14">
        <v>3.522602546</v>
      </c>
      <c r="G1779" s="51" t="s">
        <v>8877</v>
      </c>
      <c r="H1779" s="51" t="s">
        <v>8878</v>
      </c>
      <c r="I1779" s="14" t="s">
        <v>164</v>
      </c>
      <c r="J1779" s="14">
        <v>3.589754029</v>
      </c>
      <c r="K1779" s="14">
        <v>2.746027938</v>
      </c>
      <c r="L1779" s="14">
        <v>1.935579882</v>
      </c>
      <c r="M1779" s="14">
        <v>0.030713745</v>
      </c>
      <c r="N1779" s="14">
        <v>0.353594307</v>
      </c>
      <c r="O1779" s="14">
        <v>0.210348695</v>
      </c>
      <c r="P1779" s="14" t="s">
        <v>8879</v>
      </c>
      <c r="Q1779" s="14" t="s">
        <v>8880</v>
      </c>
      <c r="T1779" s="14" t="s">
        <v>8881</v>
      </c>
      <c r="U1779" s="14" t="s">
        <v>8882</v>
      </c>
    </row>
    <row r="1780" spans="1:21">
      <c r="A1780" s="14" t="s">
        <v>8883</v>
      </c>
      <c r="B1780" s="14">
        <v>36097.33313</v>
      </c>
      <c r="C1780" s="14">
        <v>65374.47569</v>
      </c>
      <c r="D1780" s="14">
        <v>6820.190572</v>
      </c>
      <c r="E1780" s="14">
        <v>0.104325078</v>
      </c>
      <c r="F1780" s="14">
        <v>-3.260842099</v>
      </c>
      <c r="G1780" s="51" t="s">
        <v>8884</v>
      </c>
      <c r="H1780" s="51" t="s">
        <v>8885</v>
      </c>
      <c r="I1780" s="14" t="s">
        <v>147</v>
      </c>
      <c r="J1780" s="14">
        <v>58.74141431</v>
      </c>
      <c r="K1780" s="14">
        <v>94.82391452</v>
      </c>
      <c r="L1780" s="14">
        <v>69.2664858</v>
      </c>
      <c r="M1780" s="14">
        <v>731.4560542</v>
      </c>
      <c r="N1780" s="14">
        <v>711.0802185</v>
      </c>
      <c r="O1780" s="14">
        <v>278.9510371</v>
      </c>
      <c r="P1780" s="14" t="s">
        <v>8886</v>
      </c>
      <c r="Q1780" s="14" t="s">
        <v>8887</v>
      </c>
      <c r="R1780" s="14" t="s">
        <v>8888</v>
      </c>
      <c r="S1780" s="14" t="s">
        <v>8889</v>
      </c>
      <c r="T1780" s="14" t="s">
        <v>8890</v>
      </c>
      <c r="U1780" s="14" t="s">
        <v>8891</v>
      </c>
    </row>
    <row r="1781" spans="1:21">
      <c r="A1781" s="14" t="s">
        <v>8892</v>
      </c>
      <c r="B1781" s="14">
        <v>124.103243</v>
      </c>
      <c r="C1781" s="14">
        <v>29.92795904</v>
      </c>
      <c r="D1781" s="14">
        <v>218.278527</v>
      </c>
      <c r="E1781" s="14">
        <v>7.329681076</v>
      </c>
      <c r="F1781" s="14">
        <v>2.873750426</v>
      </c>
      <c r="G1781" s="51" t="s">
        <v>8893</v>
      </c>
      <c r="H1781" s="51" t="s">
        <v>8894</v>
      </c>
      <c r="I1781" s="14" t="s">
        <v>164</v>
      </c>
      <c r="J1781" s="14">
        <v>3.210640982</v>
      </c>
      <c r="K1781" s="14">
        <v>3.047347809</v>
      </c>
      <c r="L1781" s="14">
        <v>3.050688022</v>
      </c>
      <c r="M1781" s="14">
        <v>0.433738012</v>
      </c>
      <c r="N1781" s="14">
        <v>0.439237915</v>
      </c>
      <c r="O1781" s="14">
        <v>0.153241834</v>
      </c>
      <c r="P1781" s="14" t="s">
        <v>8895</v>
      </c>
      <c r="Q1781" s="14" t="s">
        <v>8896</v>
      </c>
      <c r="T1781" s="14" t="s">
        <v>8897</v>
      </c>
      <c r="U1781" s="14" t="s">
        <v>8898</v>
      </c>
    </row>
    <row r="1782" spans="1:21">
      <c r="A1782" s="14" t="s">
        <v>8899</v>
      </c>
      <c r="B1782" s="14">
        <v>154.5262787</v>
      </c>
      <c r="C1782" s="14">
        <v>11.92049093</v>
      </c>
      <c r="D1782" s="14">
        <v>297.1320665</v>
      </c>
      <c r="E1782" s="14">
        <v>24.84182553</v>
      </c>
      <c r="F1782" s="14">
        <v>4.63469929</v>
      </c>
      <c r="G1782" s="51" t="s">
        <v>8900</v>
      </c>
      <c r="H1782" s="51" t="s">
        <v>8901</v>
      </c>
      <c r="I1782" s="14" t="s">
        <v>164</v>
      </c>
      <c r="J1782" s="14">
        <v>4.371039881</v>
      </c>
      <c r="K1782" s="14">
        <v>2.941581123</v>
      </c>
      <c r="L1782" s="14">
        <v>4.135246546</v>
      </c>
      <c r="M1782" s="14">
        <v>0.021743247</v>
      </c>
      <c r="N1782" s="14">
        <v>0.239890743</v>
      </c>
      <c r="O1782" s="14">
        <v>0.117002759</v>
      </c>
      <c r="P1782" s="14" t="s">
        <v>8902</v>
      </c>
      <c r="Q1782" s="14" t="s">
        <v>8903</v>
      </c>
      <c r="T1782" s="14" t="s">
        <v>8904</v>
      </c>
      <c r="U1782" s="14" t="s">
        <v>8905</v>
      </c>
    </row>
    <row r="1783" spans="1:21">
      <c r="A1783" s="14" t="s">
        <v>8906</v>
      </c>
      <c r="B1783" s="14">
        <v>1023.723288</v>
      </c>
      <c r="C1783" s="14">
        <v>523.966476</v>
      </c>
      <c r="D1783" s="14">
        <v>1523.4801</v>
      </c>
      <c r="E1783" s="14">
        <v>2.907738821</v>
      </c>
      <c r="F1783" s="14">
        <v>1.539897689</v>
      </c>
      <c r="G1783" s="14">
        <v>0.00052556</v>
      </c>
      <c r="H1783" s="14">
        <v>0.002073487</v>
      </c>
      <c r="I1783" s="14" t="s">
        <v>164</v>
      </c>
      <c r="J1783" s="14">
        <v>47.01036627</v>
      </c>
      <c r="K1783" s="14">
        <v>22.2399833</v>
      </c>
      <c r="L1783" s="14">
        <v>26.34407152</v>
      </c>
      <c r="M1783" s="14">
        <v>6.473088359</v>
      </c>
      <c r="N1783" s="14">
        <v>13.8665212</v>
      </c>
      <c r="O1783" s="14">
        <v>6.489321286</v>
      </c>
      <c r="Q1783" s="14" t="s">
        <v>8907</v>
      </c>
      <c r="R1783" s="14" t="s">
        <v>8908</v>
      </c>
      <c r="S1783" s="14" t="s">
        <v>8909</v>
      </c>
      <c r="T1783" s="14" t="s">
        <v>8910</v>
      </c>
      <c r="U1783" s="14" t="s">
        <v>8911</v>
      </c>
    </row>
    <row r="1784" spans="1:15">
      <c r="A1784" s="14" t="s">
        <v>8912</v>
      </c>
      <c r="B1784" s="14">
        <v>22.18021551</v>
      </c>
      <c r="C1784" s="14">
        <v>4.628170523</v>
      </c>
      <c r="D1784" s="14">
        <v>39.73226049</v>
      </c>
      <c r="E1784" s="14">
        <v>8.555266561</v>
      </c>
      <c r="F1784" s="14">
        <v>3.096812806</v>
      </c>
      <c r="G1784" s="14">
        <v>0.001104667</v>
      </c>
      <c r="H1784" s="14">
        <v>0.004007625</v>
      </c>
      <c r="I1784" s="14" t="s">
        <v>164</v>
      </c>
      <c r="J1784" s="14">
        <v>1.935827651</v>
      </c>
      <c r="K1784" s="14">
        <v>0.273469243</v>
      </c>
      <c r="L1784" s="14">
        <v>1.896610749</v>
      </c>
      <c r="M1784" s="14">
        <v>0.116230448</v>
      </c>
      <c r="N1784" s="14">
        <v>0.083631987</v>
      </c>
      <c r="O1784" s="14">
        <v>0.199006363</v>
      </c>
    </row>
    <row r="1785" spans="1:21">
      <c r="A1785" s="14" t="s">
        <v>8913</v>
      </c>
      <c r="B1785" s="14">
        <v>1065.427617</v>
      </c>
      <c r="C1785" s="14">
        <v>1475.619099</v>
      </c>
      <c r="D1785" s="14">
        <v>655.236135</v>
      </c>
      <c r="E1785" s="14">
        <v>0.444112733</v>
      </c>
      <c r="F1785" s="14">
        <v>-1.171002161</v>
      </c>
      <c r="G1785" s="51" t="s">
        <v>8914</v>
      </c>
      <c r="H1785" s="51" t="s">
        <v>8915</v>
      </c>
      <c r="I1785" s="14" t="s">
        <v>147</v>
      </c>
      <c r="J1785" s="14">
        <v>11.67776336</v>
      </c>
      <c r="K1785" s="14">
        <v>11.57858453</v>
      </c>
      <c r="L1785" s="14">
        <v>11.32783779</v>
      </c>
      <c r="M1785" s="14">
        <v>21.131134</v>
      </c>
      <c r="N1785" s="14">
        <v>21.88948908</v>
      </c>
      <c r="O1785" s="14">
        <v>20.96615178</v>
      </c>
      <c r="P1785" s="14" t="s">
        <v>8916</v>
      </c>
      <c r="Q1785" s="14" t="s">
        <v>8917</v>
      </c>
      <c r="T1785" s="14" t="s">
        <v>8918</v>
      </c>
      <c r="U1785" s="14" t="s">
        <v>8919</v>
      </c>
    </row>
    <row r="1786" spans="1:19">
      <c r="A1786" s="14" t="s">
        <v>8920</v>
      </c>
      <c r="B1786" s="14">
        <v>6.869454086</v>
      </c>
      <c r="C1786" s="14">
        <v>0</v>
      </c>
      <c r="D1786" s="14">
        <v>13.73890817</v>
      </c>
      <c r="E1786" s="14">
        <v>74.09752953</v>
      </c>
      <c r="F1786" s="14">
        <v>6.211353538</v>
      </c>
      <c r="G1786" s="51" t="s">
        <v>8921</v>
      </c>
      <c r="H1786" s="14">
        <v>0.000375626</v>
      </c>
      <c r="I1786" s="14" t="s">
        <v>164</v>
      </c>
      <c r="J1786" s="14">
        <v>0.839784882</v>
      </c>
      <c r="K1786" s="14">
        <v>0.596660165</v>
      </c>
      <c r="L1786" s="14">
        <v>0.618330777</v>
      </c>
      <c r="M1786" s="14">
        <v>0</v>
      </c>
      <c r="N1786" s="14">
        <v>0</v>
      </c>
      <c r="O1786" s="14">
        <v>0</v>
      </c>
      <c r="R1786" s="14" t="s">
        <v>8922</v>
      </c>
      <c r="S1786" s="14" t="s">
        <v>8923</v>
      </c>
    </row>
    <row r="1787" spans="1:21">
      <c r="A1787" s="14" t="s">
        <v>8924</v>
      </c>
      <c r="B1787" s="14">
        <v>47794.81827</v>
      </c>
      <c r="C1787" s="14">
        <v>72484.54672</v>
      </c>
      <c r="D1787" s="14">
        <v>23105.08982</v>
      </c>
      <c r="E1787" s="14">
        <v>0.318759413</v>
      </c>
      <c r="F1787" s="14">
        <v>-1.649460148</v>
      </c>
      <c r="G1787" s="51" t="s">
        <v>8925</v>
      </c>
      <c r="H1787" s="51" t="s">
        <v>8926</v>
      </c>
      <c r="I1787" s="14" t="s">
        <v>147</v>
      </c>
      <c r="J1787" s="14">
        <v>317.2926359</v>
      </c>
      <c r="K1787" s="14">
        <v>444.9801882</v>
      </c>
      <c r="L1787" s="14">
        <v>317.1957349</v>
      </c>
      <c r="M1787" s="14">
        <v>1086.952939</v>
      </c>
      <c r="N1787" s="14">
        <v>1068.035481</v>
      </c>
      <c r="O1787" s="14">
        <v>592.7890869</v>
      </c>
      <c r="P1787" s="14" t="s">
        <v>8927</v>
      </c>
      <c r="Q1787" s="14" t="s">
        <v>8928</v>
      </c>
      <c r="R1787" s="14" t="s">
        <v>2754</v>
      </c>
      <c r="S1787" s="14" t="s">
        <v>2755</v>
      </c>
      <c r="T1787" s="14" t="s">
        <v>8929</v>
      </c>
      <c r="U1787" s="14" t="s">
        <v>8930</v>
      </c>
    </row>
    <row r="1788" spans="1:15">
      <c r="A1788" s="14" t="s">
        <v>8931</v>
      </c>
      <c r="B1788" s="14">
        <v>25.05933983</v>
      </c>
      <c r="C1788" s="14">
        <v>37.01955504</v>
      </c>
      <c r="D1788" s="14">
        <v>13.09912463</v>
      </c>
      <c r="E1788" s="14">
        <v>0.352818587</v>
      </c>
      <c r="F1788" s="14">
        <v>-1.503001529</v>
      </c>
      <c r="G1788" s="14">
        <v>0.006226472</v>
      </c>
      <c r="H1788" s="14">
        <v>0.017904125</v>
      </c>
      <c r="I1788" s="14" t="s">
        <v>147</v>
      </c>
      <c r="J1788" s="14">
        <v>2.271549271</v>
      </c>
      <c r="K1788" s="14">
        <v>1.981531233</v>
      </c>
      <c r="L1788" s="14">
        <v>1.74972795</v>
      </c>
      <c r="M1788" s="14">
        <v>2.591367359</v>
      </c>
      <c r="N1788" s="14">
        <v>5.593746005</v>
      </c>
      <c r="O1788" s="14">
        <v>5.958073409</v>
      </c>
    </row>
    <row r="1789" spans="1:21">
      <c r="A1789" s="14" t="s">
        <v>8932</v>
      </c>
      <c r="B1789" s="14">
        <v>2418.780017</v>
      </c>
      <c r="C1789" s="14">
        <v>3587.099525</v>
      </c>
      <c r="D1789" s="14">
        <v>1250.46051</v>
      </c>
      <c r="E1789" s="14">
        <v>0.348620644</v>
      </c>
      <c r="F1789" s="14">
        <v>-1.520270093</v>
      </c>
      <c r="G1789" s="51" t="s">
        <v>8933</v>
      </c>
      <c r="H1789" s="51" t="s">
        <v>8934</v>
      </c>
      <c r="I1789" s="14" t="s">
        <v>147</v>
      </c>
      <c r="J1789" s="14">
        <v>15.90949641</v>
      </c>
      <c r="K1789" s="14">
        <v>16.99802504</v>
      </c>
      <c r="L1789" s="14">
        <v>15.82658594</v>
      </c>
      <c r="M1789" s="14">
        <v>44.29432772</v>
      </c>
      <c r="N1789" s="14">
        <v>44.15395999</v>
      </c>
      <c r="O1789" s="14">
        <v>24.9224472</v>
      </c>
      <c r="P1789" s="14" t="s">
        <v>3375</v>
      </c>
      <c r="Q1789" s="14" t="s">
        <v>3376</v>
      </c>
      <c r="T1789" s="14" t="s">
        <v>3377</v>
      </c>
      <c r="U1789" s="14" t="s">
        <v>3378</v>
      </c>
    </row>
    <row r="1790" spans="1:21">
      <c r="A1790" s="14" t="s">
        <v>8935</v>
      </c>
      <c r="B1790" s="14">
        <v>25.9125447</v>
      </c>
      <c r="C1790" s="14">
        <v>42.45963701</v>
      </c>
      <c r="D1790" s="14">
        <v>9.365452396</v>
      </c>
      <c r="E1790" s="14">
        <v>0.221211042</v>
      </c>
      <c r="F1790" s="14">
        <v>-2.176504694</v>
      </c>
      <c r="G1790" s="14">
        <v>0.007155242</v>
      </c>
      <c r="H1790" s="14">
        <v>0.020218326</v>
      </c>
      <c r="I1790" s="14" t="s">
        <v>147</v>
      </c>
      <c r="J1790" s="14">
        <v>0.012007323</v>
      </c>
      <c r="K1790" s="14">
        <v>0.06647151</v>
      </c>
      <c r="L1790" s="14">
        <v>0.092489952</v>
      </c>
      <c r="M1790" s="14">
        <v>0.200331335</v>
      </c>
      <c r="N1790" s="14">
        <v>0.290755226</v>
      </c>
      <c r="O1790" s="14">
        <v>0.135692875</v>
      </c>
      <c r="P1790" s="14" t="s">
        <v>8936</v>
      </c>
      <c r="Q1790" s="14" t="s">
        <v>8937</v>
      </c>
      <c r="T1790" s="14" t="s">
        <v>8938</v>
      </c>
      <c r="U1790" s="14" t="s">
        <v>8939</v>
      </c>
    </row>
    <row r="1791" spans="1:21">
      <c r="A1791" s="14" t="s">
        <v>8940</v>
      </c>
      <c r="B1791" s="14">
        <v>3023.748656</v>
      </c>
      <c r="C1791" s="14">
        <v>4627.146212</v>
      </c>
      <c r="D1791" s="14">
        <v>1420.3511</v>
      </c>
      <c r="E1791" s="14">
        <v>0.306975401</v>
      </c>
      <c r="F1791" s="14">
        <v>-1.703805043</v>
      </c>
      <c r="G1791" s="51" t="s">
        <v>8941</v>
      </c>
      <c r="H1791" s="51" t="s">
        <v>8626</v>
      </c>
      <c r="I1791" s="14" t="s">
        <v>147</v>
      </c>
      <c r="J1791" s="14">
        <v>9.780666348</v>
      </c>
      <c r="K1791" s="14">
        <v>7.837692074</v>
      </c>
      <c r="L1791" s="14">
        <v>8.533521846</v>
      </c>
      <c r="M1791" s="14">
        <v>25.53653556</v>
      </c>
      <c r="N1791" s="14">
        <v>28.08185645</v>
      </c>
      <c r="O1791" s="14">
        <v>15.51482616</v>
      </c>
      <c r="P1791" s="14" t="s">
        <v>8942</v>
      </c>
      <c r="Q1791" s="14" t="s">
        <v>8943</v>
      </c>
      <c r="T1791" s="14" t="s">
        <v>8944</v>
      </c>
      <c r="U1791" s="14" t="s">
        <v>8945</v>
      </c>
    </row>
    <row r="1792" spans="1:21">
      <c r="A1792" s="14" t="s">
        <v>8946</v>
      </c>
      <c r="B1792" s="14">
        <v>713.1542745</v>
      </c>
      <c r="C1792" s="14">
        <v>961.9111095</v>
      </c>
      <c r="D1792" s="14">
        <v>464.3974396</v>
      </c>
      <c r="E1792" s="14">
        <v>0.482880078</v>
      </c>
      <c r="F1792" s="14">
        <v>-1.050263152</v>
      </c>
      <c r="G1792" s="14">
        <v>0.001781179</v>
      </c>
      <c r="H1792" s="14">
        <v>0.006061931</v>
      </c>
      <c r="I1792" s="14" t="s">
        <v>147</v>
      </c>
      <c r="J1792" s="14">
        <v>11.18902481</v>
      </c>
      <c r="K1792" s="14">
        <v>11.14328929</v>
      </c>
      <c r="L1792" s="14">
        <v>10.86426055</v>
      </c>
      <c r="M1792" s="14">
        <v>20.60070831</v>
      </c>
      <c r="N1792" s="14">
        <v>23.60046228</v>
      </c>
      <c r="O1792" s="14">
        <v>11.5004271</v>
      </c>
      <c r="P1792" s="14" t="s">
        <v>7864</v>
      </c>
      <c r="Q1792" s="14" t="s">
        <v>7865</v>
      </c>
      <c r="T1792" s="14" t="s">
        <v>7866</v>
      </c>
      <c r="U1792" s="14" t="s">
        <v>7867</v>
      </c>
    </row>
    <row r="1793" spans="1:21">
      <c r="A1793" s="14" t="s">
        <v>8947</v>
      </c>
      <c r="B1793" s="14">
        <v>906.6350203</v>
      </c>
      <c r="C1793" s="14">
        <v>247.6389983</v>
      </c>
      <c r="D1793" s="14">
        <v>1565.631042</v>
      </c>
      <c r="E1793" s="14">
        <v>6.328560539</v>
      </c>
      <c r="F1793" s="14">
        <v>2.661877389</v>
      </c>
      <c r="G1793" s="51" t="s">
        <v>8948</v>
      </c>
      <c r="H1793" s="51" t="s">
        <v>8949</v>
      </c>
      <c r="I1793" s="14" t="s">
        <v>164</v>
      </c>
      <c r="J1793" s="14">
        <v>26.59591135</v>
      </c>
      <c r="K1793" s="14">
        <v>36.771826</v>
      </c>
      <c r="L1793" s="14">
        <v>27.8515591</v>
      </c>
      <c r="M1793" s="14">
        <v>4.794930019</v>
      </c>
      <c r="N1793" s="14">
        <v>3.999457127</v>
      </c>
      <c r="O1793" s="14">
        <v>2.950185862</v>
      </c>
      <c r="P1793" s="14" t="s">
        <v>8950</v>
      </c>
      <c r="Q1793" s="14" t="s">
        <v>8951</v>
      </c>
      <c r="T1793" s="14" t="s">
        <v>8952</v>
      </c>
      <c r="U1793" s="14" t="s">
        <v>8953</v>
      </c>
    </row>
    <row r="1794" spans="1:21">
      <c r="A1794" s="14" t="s">
        <v>8954</v>
      </c>
      <c r="B1794" s="14">
        <v>8.099842753</v>
      </c>
      <c r="C1794" s="14">
        <v>0.987064597</v>
      </c>
      <c r="D1794" s="14">
        <v>15.21262091</v>
      </c>
      <c r="E1794" s="14">
        <v>15.23055532</v>
      </c>
      <c r="F1794" s="14">
        <v>3.92889664</v>
      </c>
      <c r="G1794" s="14">
        <v>0.001216048</v>
      </c>
      <c r="H1794" s="14">
        <v>0.004346054</v>
      </c>
      <c r="I1794" s="14" t="s">
        <v>164</v>
      </c>
      <c r="J1794" s="14">
        <v>0.276265681</v>
      </c>
      <c r="K1794" s="14">
        <v>0.156414184</v>
      </c>
      <c r="L1794" s="14">
        <v>0.365753101</v>
      </c>
      <c r="M1794" s="14">
        <v>0</v>
      </c>
      <c r="N1794" s="14">
        <v>0.028346293</v>
      </c>
      <c r="O1794" s="14">
        <v>0.014453867</v>
      </c>
      <c r="P1794" s="14" t="s">
        <v>8955</v>
      </c>
      <c r="Q1794" s="14" t="s">
        <v>8956</v>
      </c>
      <c r="R1794" s="14" t="s">
        <v>341</v>
      </c>
      <c r="S1794" s="14" t="s">
        <v>342</v>
      </c>
      <c r="T1794" s="14" t="s">
        <v>8957</v>
      </c>
      <c r="U1794" s="14" t="s">
        <v>8958</v>
      </c>
    </row>
    <row r="1795" spans="1:15">
      <c r="A1795" s="14" t="s">
        <v>8959</v>
      </c>
      <c r="B1795" s="14">
        <v>4.736015491</v>
      </c>
      <c r="C1795" s="14">
        <v>8.827656082</v>
      </c>
      <c r="D1795" s="14">
        <v>0.6443749</v>
      </c>
      <c r="E1795" s="14">
        <v>0.073404966</v>
      </c>
      <c r="F1795" s="14">
        <v>-3.767978529</v>
      </c>
      <c r="G1795" s="14">
        <v>0.020034439</v>
      </c>
      <c r="H1795" s="14">
        <v>0.048616288</v>
      </c>
      <c r="I1795" s="14" t="s">
        <v>147</v>
      </c>
      <c r="J1795" s="14">
        <v>0.031817338</v>
      </c>
      <c r="K1795" s="14">
        <v>0</v>
      </c>
      <c r="L1795" s="14">
        <v>0.030635306</v>
      </c>
      <c r="M1795" s="14">
        <v>0.217781964</v>
      </c>
      <c r="N1795" s="14">
        <v>0.052233985</v>
      </c>
      <c r="O1795" s="14">
        <v>0.452782724</v>
      </c>
    </row>
    <row r="1796" spans="1:15">
      <c r="A1796" s="14" t="s">
        <v>8960</v>
      </c>
      <c r="B1796" s="14">
        <v>3599.507425</v>
      </c>
      <c r="C1796" s="14">
        <v>5355.374902</v>
      </c>
      <c r="D1796" s="14">
        <v>1843.639948</v>
      </c>
      <c r="E1796" s="14">
        <v>0.344270175</v>
      </c>
      <c r="F1796" s="14">
        <v>-1.538386893</v>
      </c>
      <c r="G1796" s="51" t="s">
        <v>8961</v>
      </c>
      <c r="H1796" s="51" t="s">
        <v>8962</v>
      </c>
      <c r="I1796" s="14" t="s">
        <v>147</v>
      </c>
      <c r="J1796" s="14">
        <v>90.14477382</v>
      </c>
      <c r="K1796" s="14">
        <v>109.7994372</v>
      </c>
      <c r="L1796" s="14">
        <v>89.5940988</v>
      </c>
      <c r="M1796" s="14">
        <v>269.2576268</v>
      </c>
      <c r="N1796" s="14">
        <v>252.9106457</v>
      </c>
      <c r="O1796" s="14">
        <v>161.3900078</v>
      </c>
    </row>
    <row r="1797" spans="1:21">
      <c r="A1797" s="14" t="s">
        <v>8963</v>
      </c>
      <c r="B1797" s="14">
        <v>540.6423172</v>
      </c>
      <c r="C1797" s="14">
        <v>796.2051402</v>
      </c>
      <c r="D1797" s="14">
        <v>285.0794941</v>
      </c>
      <c r="E1797" s="14">
        <v>0.35812698</v>
      </c>
      <c r="F1797" s="14">
        <v>-1.481456886</v>
      </c>
      <c r="G1797" s="51" t="s">
        <v>8964</v>
      </c>
      <c r="H1797" s="51" t="s">
        <v>8965</v>
      </c>
      <c r="I1797" s="14" t="s">
        <v>147</v>
      </c>
      <c r="J1797" s="14">
        <v>3.44385467</v>
      </c>
      <c r="K1797" s="14">
        <v>2.304098311</v>
      </c>
      <c r="L1797" s="14">
        <v>3.003827551</v>
      </c>
      <c r="M1797" s="14">
        <v>6.41306593</v>
      </c>
      <c r="N1797" s="14">
        <v>6.751204364</v>
      </c>
      <c r="O1797" s="14">
        <v>6.94427467</v>
      </c>
      <c r="P1797" s="14" t="s">
        <v>8966</v>
      </c>
      <c r="Q1797" s="14" t="s">
        <v>8967</v>
      </c>
      <c r="T1797" s="14" t="s">
        <v>8968</v>
      </c>
      <c r="U1797" s="14" t="s">
        <v>8969</v>
      </c>
    </row>
    <row r="1798" spans="1:21">
      <c r="A1798" s="14" t="s">
        <v>8970</v>
      </c>
      <c r="B1798" s="14">
        <v>109.7452137</v>
      </c>
      <c r="C1798" s="14">
        <v>39.96017346</v>
      </c>
      <c r="D1798" s="14">
        <v>179.5302539</v>
      </c>
      <c r="E1798" s="14">
        <v>4.478866927</v>
      </c>
      <c r="F1798" s="14">
        <v>2.163133802</v>
      </c>
      <c r="G1798" s="14">
        <v>0.001009387</v>
      </c>
      <c r="H1798" s="14">
        <v>0.003698871</v>
      </c>
      <c r="I1798" s="14" t="s">
        <v>164</v>
      </c>
      <c r="J1798" s="14">
        <v>3.627461039</v>
      </c>
      <c r="K1798" s="14">
        <v>4.921112369</v>
      </c>
      <c r="L1798" s="14">
        <v>3.687942853</v>
      </c>
      <c r="M1798" s="14">
        <v>0.443376635</v>
      </c>
      <c r="N1798" s="14">
        <v>0.258919192</v>
      </c>
      <c r="O1798" s="14">
        <v>1.640866403</v>
      </c>
      <c r="P1798" s="14" t="s">
        <v>8971</v>
      </c>
      <c r="Q1798" s="14" t="s">
        <v>8972</v>
      </c>
      <c r="T1798" s="14" t="s">
        <v>8973</v>
      </c>
      <c r="U1798" s="14" t="s">
        <v>8974</v>
      </c>
    </row>
    <row r="1799" spans="1:21">
      <c r="A1799" s="14" t="s">
        <v>8975</v>
      </c>
      <c r="B1799" s="14">
        <v>4091.54991</v>
      </c>
      <c r="C1799" s="14">
        <v>2292.792729</v>
      </c>
      <c r="D1799" s="14">
        <v>5890.307091</v>
      </c>
      <c r="E1799" s="14">
        <v>2.568903988</v>
      </c>
      <c r="F1799" s="14">
        <v>1.361152971</v>
      </c>
      <c r="G1799" s="14">
        <v>0.006557249</v>
      </c>
      <c r="H1799" s="14">
        <v>0.018715634</v>
      </c>
      <c r="I1799" s="14" t="s">
        <v>164</v>
      </c>
      <c r="J1799" s="14">
        <v>255.3545888</v>
      </c>
      <c r="K1799" s="14">
        <v>89.03621365</v>
      </c>
      <c r="L1799" s="14">
        <v>96.39360633</v>
      </c>
      <c r="M1799" s="14">
        <v>31.81933039</v>
      </c>
      <c r="N1799" s="14">
        <v>34.67023752</v>
      </c>
      <c r="O1799" s="14">
        <v>78.41906658</v>
      </c>
      <c r="P1799" s="14" t="s">
        <v>4209</v>
      </c>
      <c r="Q1799" s="14" t="s">
        <v>4210</v>
      </c>
      <c r="T1799" s="14" t="s">
        <v>4211</v>
      </c>
      <c r="U1799" s="14" t="s">
        <v>4212</v>
      </c>
    </row>
    <row r="1800" spans="1:17">
      <c r="A1800" s="14" t="s">
        <v>8976</v>
      </c>
      <c r="B1800" s="14">
        <v>83774.66173</v>
      </c>
      <c r="C1800" s="14">
        <v>129353.7654</v>
      </c>
      <c r="D1800" s="14">
        <v>38195.55808</v>
      </c>
      <c r="E1800" s="14">
        <v>0.295279875</v>
      </c>
      <c r="F1800" s="14">
        <v>-1.759845062</v>
      </c>
      <c r="G1800" s="51" t="s">
        <v>8977</v>
      </c>
      <c r="H1800" s="51" t="s">
        <v>8978</v>
      </c>
      <c r="I1800" s="14" t="s">
        <v>147</v>
      </c>
      <c r="J1800" s="14">
        <v>154.1703432</v>
      </c>
      <c r="K1800" s="14">
        <v>168.4672743</v>
      </c>
      <c r="L1800" s="14">
        <v>148.8354613</v>
      </c>
      <c r="M1800" s="14">
        <v>453.7748873</v>
      </c>
      <c r="N1800" s="14">
        <v>438.9983278</v>
      </c>
      <c r="O1800" s="14">
        <v>417.7531267</v>
      </c>
      <c r="P1800" s="14" t="s">
        <v>8979</v>
      </c>
      <c r="Q1800" s="14" t="s">
        <v>8980</v>
      </c>
    </row>
    <row r="1801" spans="1:15">
      <c r="A1801" s="14" t="s">
        <v>8981</v>
      </c>
      <c r="B1801" s="14">
        <v>1544.434526</v>
      </c>
      <c r="C1801" s="14">
        <v>2237.927902</v>
      </c>
      <c r="D1801" s="14">
        <v>850.9411487</v>
      </c>
      <c r="E1801" s="14">
        <v>0.380256136</v>
      </c>
      <c r="F1801" s="14">
        <v>-1.394956566</v>
      </c>
      <c r="G1801" s="51" t="s">
        <v>8982</v>
      </c>
      <c r="H1801" s="51" t="s">
        <v>8983</v>
      </c>
      <c r="I1801" s="14" t="s">
        <v>147</v>
      </c>
      <c r="J1801" s="14">
        <v>6.763722965</v>
      </c>
      <c r="K1801" s="14">
        <v>6.908005211</v>
      </c>
      <c r="L1801" s="14">
        <v>6.033590464</v>
      </c>
      <c r="M1801" s="14">
        <v>14.99122472</v>
      </c>
      <c r="N1801" s="14">
        <v>14.87845834</v>
      </c>
      <c r="O1801" s="14">
        <v>12.55995922</v>
      </c>
    </row>
    <row r="1802" spans="1:21">
      <c r="A1802" s="14" t="s">
        <v>8984</v>
      </c>
      <c r="B1802" s="14">
        <v>46.71893602</v>
      </c>
      <c r="C1802" s="14">
        <v>63.04665056</v>
      </c>
      <c r="D1802" s="14">
        <v>30.39122147</v>
      </c>
      <c r="E1802" s="14">
        <v>0.482459208</v>
      </c>
      <c r="F1802" s="14">
        <v>-1.051521129</v>
      </c>
      <c r="G1802" s="14">
        <v>0.019709187</v>
      </c>
      <c r="H1802" s="14">
        <v>0.047959036</v>
      </c>
      <c r="I1802" s="14" t="s">
        <v>147</v>
      </c>
      <c r="J1802" s="14">
        <v>0.252605251</v>
      </c>
      <c r="K1802" s="14">
        <v>0.243660783</v>
      </c>
      <c r="L1802" s="14">
        <v>0.476307447</v>
      </c>
      <c r="M1802" s="14">
        <v>0.405239464</v>
      </c>
      <c r="N1802" s="14">
        <v>0.561569893</v>
      </c>
      <c r="O1802" s="14">
        <v>0.704852443</v>
      </c>
      <c r="P1802" s="14" t="s">
        <v>8985</v>
      </c>
      <c r="Q1802" s="14" t="s">
        <v>8986</v>
      </c>
      <c r="T1802" s="14" t="s">
        <v>8987</v>
      </c>
      <c r="U1802" s="14" t="s">
        <v>8988</v>
      </c>
    </row>
    <row r="1803" spans="1:21">
      <c r="A1803" s="14" t="s">
        <v>8989</v>
      </c>
      <c r="B1803" s="14">
        <v>75.64015508</v>
      </c>
      <c r="C1803" s="14">
        <v>146.6661682</v>
      </c>
      <c r="D1803" s="14">
        <v>4.614141938</v>
      </c>
      <c r="E1803" s="14">
        <v>0.031315722</v>
      </c>
      <c r="F1803" s="14">
        <v>-4.996969027</v>
      </c>
      <c r="G1803" s="51" t="s">
        <v>8990</v>
      </c>
      <c r="H1803" s="51" t="s">
        <v>1998</v>
      </c>
      <c r="I1803" s="14" t="s">
        <v>147</v>
      </c>
      <c r="J1803" s="14">
        <v>0.0762181</v>
      </c>
      <c r="K1803" s="14">
        <v>0.092058953</v>
      </c>
      <c r="L1803" s="14">
        <v>0.044031933</v>
      </c>
      <c r="M1803" s="14">
        <v>2.595429733</v>
      </c>
      <c r="N1803" s="14">
        <v>1.101108491</v>
      </c>
      <c r="O1803" s="14">
        <v>1.850261895</v>
      </c>
      <c r="P1803" s="14" t="s">
        <v>8991</v>
      </c>
      <c r="Q1803" s="14" t="s">
        <v>8992</v>
      </c>
      <c r="T1803" s="14" t="s">
        <v>8993</v>
      </c>
      <c r="U1803" s="14" t="s">
        <v>8994</v>
      </c>
    </row>
    <row r="1804" spans="1:21">
      <c r="A1804" s="14" t="s">
        <v>8995</v>
      </c>
      <c r="B1804" s="14">
        <v>350.9991943</v>
      </c>
      <c r="C1804" s="14">
        <v>499.7702283</v>
      </c>
      <c r="D1804" s="14">
        <v>202.2281604</v>
      </c>
      <c r="E1804" s="14">
        <v>0.404719201</v>
      </c>
      <c r="F1804" s="14">
        <v>-1.305006799</v>
      </c>
      <c r="G1804" s="14">
        <v>0.002766204</v>
      </c>
      <c r="H1804" s="14">
        <v>0.008865489</v>
      </c>
      <c r="I1804" s="14" t="s">
        <v>147</v>
      </c>
      <c r="J1804" s="14">
        <v>4.643306866</v>
      </c>
      <c r="K1804" s="14">
        <v>7.897838124</v>
      </c>
      <c r="L1804" s="14">
        <v>5.432877451</v>
      </c>
      <c r="M1804" s="14">
        <v>14.86024146</v>
      </c>
      <c r="N1804" s="14">
        <v>14.44962073</v>
      </c>
      <c r="O1804" s="14">
        <v>6.592986446</v>
      </c>
      <c r="Q1804" s="14" t="s">
        <v>8996</v>
      </c>
      <c r="R1804" s="14" t="s">
        <v>2668</v>
      </c>
      <c r="S1804" s="14" t="s">
        <v>2669</v>
      </c>
      <c r="T1804" s="14" t="s">
        <v>482</v>
      </c>
      <c r="U1804" s="14" t="s">
        <v>483</v>
      </c>
    </row>
    <row r="1805" spans="1:21">
      <c r="A1805" s="14" t="s">
        <v>8997</v>
      </c>
      <c r="B1805" s="14">
        <v>1321.98364</v>
      </c>
      <c r="C1805" s="14">
        <v>1783.710211</v>
      </c>
      <c r="D1805" s="14">
        <v>860.257069</v>
      </c>
      <c r="E1805" s="14">
        <v>0.482188031</v>
      </c>
      <c r="F1805" s="14">
        <v>-1.052332256</v>
      </c>
      <c r="G1805" s="51" t="s">
        <v>6237</v>
      </c>
      <c r="H1805" s="51" t="s">
        <v>6238</v>
      </c>
      <c r="I1805" s="14" t="s">
        <v>147</v>
      </c>
      <c r="J1805" s="14">
        <v>15.01983675</v>
      </c>
      <c r="K1805" s="14">
        <v>14.50620681</v>
      </c>
      <c r="L1805" s="14">
        <v>15.73247714</v>
      </c>
      <c r="M1805" s="14">
        <v>22.3590677</v>
      </c>
      <c r="N1805" s="14">
        <v>23.38928859</v>
      </c>
      <c r="O1805" s="14">
        <v>32.10863997</v>
      </c>
      <c r="P1805" s="14" t="s">
        <v>8998</v>
      </c>
      <c r="Q1805" s="14" t="s">
        <v>8999</v>
      </c>
      <c r="T1805" s="14" t="s">
        <v>9000</v>
      </c>
      <c r="U1805" s="14" t="s">
        <v>9001</v>
      </c>
    </row>
    <row r="1806" spans="1:21">
      <c r="A1806" s="14" t="s">
        <v>9002</v>
      </c>
      <c r="B1806" s="14">
        <v>6369.050931</v>
      </c>
      <c r="C1806" s="14">
        <v>9188.805101</v>
      </c>
      <c r="D1806" s="14">
        <v>3549.296761</v>
      </c>
      <c r="E1806" s="14">
        <v>0.386237316</v>
      </c>
      <c r="F1806" s="14">
        <v>-1.372440538</v>
      </c>
      <c r="G1806" s="51" t="s">
        <v>9003</v>
      </c>
      <c r="H1806" s="51" t="s">
        <v>9004</v>
      </c>
      <c r="I1806" s="14" t="s">
        <v>147</v>
      </c>
      <c r="J1806" s="14">
        <v>37.39611479</v>
      </c>
      <c r="K1806" s="14">
        <v>43.48160956</v>
      </c>
      <c r="L1806" s="14">
        <v>35.84986719</v>
      </c>
      <c r="M1806" s="14">
        <v>79.12039036</v>
      </c>
      <c r="N1806" s="14">
        <v>76.62920181</v>
      </c>
      <c r="O1806" s="14">
        <v>94.11295206</v>
      </c>
      <c r="P1806" s="14" t="s">
        <v>9005</v>
      </c>
      <c r="Q1806" s="14" t="s">
        <v>9006</v>
      </c>
      <c r="T1806" s="14" t="s">
        <v>9007</v>
      </c>
      <c r="U1806" s="14" t="s">
        <v>9008</v>
      </c>
    </row>
    <row r="1807" spans="1:21">
      <c r="A1807" s="14" t="s">
        <v>9009</v>
      </c>
      <c r="B1807" s="14">
        <v>291.5716145</v>
      </c>
      <c r="C1807" s="14">
        <v>30.743385</v>
      </c>
      <c r="D1807" s="14">
        <v>552.399844</v>
      </c>
      <c r="E1807" s="14">
        <v>18.07765448</v>
      </c>
      <c r="F1807" s="14">
        <v>4.1761356</v>
      </c>
      <c r="G1807" s="51" t="s">
        <v>9010</v>
      </c>
      <c r="H1807" s="51" t="s">
        <v>9011</v>
      </c>
      <c r="I1807" s="14" t="s">
        <v>164</v>
      </c>
      <c r="J1807" s="14">
        <v>3.157918877</v>
      </c>
      <c r="K1807" s="14">
        <v>2.607055659</v>
      </c>
      <c r="L1807" s="14">
        <v>3.290512776</v>
      </c>
      <c r="M1807" s="14">
        <v>0.194314629</v>
      </c>
      <c r="N1807" s="14">
        <v>0.1509129</v>
      </c>
      <c r="O1807" s="14">
        <v>0.058844864</v>
      </c>
      <c r="P1807" s="14" t="s">
        <v>9012</v>
      </c>
      <c r="Q1807" s="14" t="s">
        <v>9013</v>
      </c>
      <c r="T1807" s="14" t="s">
        <v>9014</v>
      </c>
      <c r="U1807" s="14" t="s">
        <v>9015</v>
      </c>
    </row>
    <row r="1808" spans="1:21">
      <c r="A1808" s="14" t="s">
        <v>9016</v>
      </c>
      <c r="B1808" s="14">
        <v>633.480967</v>
      </c>
      <c r="C1808" s="14">
        <v>421.9274174</v>
      </c>
      <c r="D1808" s="14">
        <v>845.0345166</v>
      </c>
      <c r="E1808" s="14">
        <v>2.003534386</v>
      </c>
      <c r="F1808" s="14">
        <v>1.002547271</v>
      </c>
      <c r="G1808" s="14">
        <v>0.018209129</v>
      </c>
      <c r="H1808" s="14">
        <v>0.044931323</v>
      </c>
      <c r="I1808" s="14" t="s">
        <v>164</v>
      </c>
      <c r="J1808" s="14">
        <v>17.2439954</v>
      </c>
      <c r="K1808" s="14">
        <v>16.85215284</v>
      </c>
      <c r="L1808" s="14">
        <v>13.35061177</v>
      </c>
      <c r="M1808" s="14">
        <v>7.654860993</v>
      </c>
      <c r="N1808" s="14">
        <v>8.303821654</v>
      </c>
      <c r="O1808" s="14">
        <v>3.15424419</v>
      </c>
      <c r="P1808" s="14" t="s">
        <v>9017</v>
      </c>
      <c r="Q1808" s="14" t="s">
        <v>9018</v>
      </c>
      <c r="T1808" s="14" t="s">
        <v>9019</v>
      </c>
      <c r="U1808" s="14" t="s">
        <v>9020</v>
      </c>
    </row>
    <row r="1809" spans="1:15">
      <c r="A1809" s="14" t="s">
        <v>9021</v>
      </c>
      <c r="B1809" s="14">
        <v>78.58565228</v>
      </c>
      <c r="C1809" s="14">
        <v>38.41667562</v>
      </c>
      <c r="D1809" s="14">
        <v>118.7546289</v>
      </c>
      <c r="E1809" s="14">
        <v>3.082001501</v>
      </c>
      <c r="F1809" s="14">
        <v>1.623867565</v>
      </c>
      <c r="G1809" s="14">
        <v>0.003378855</v>
      </c>
      <c r="H1809" s="14">
        <v>0.01053888</v>
      </c>
      <c r="I1809" s="14" t="s">
        <v>164</v>
      </c>
      <c r="J1809" s="14">
        <v>1.653952984</v>
      </c>
      <c r="K1809" s="14">
        <v>1.794233876</v>
      </c>
      <c r="L1809" s="14">
        <v>3.185015399</v>
      </c>
      <c r="M1809" s="14">
        <v>0.267299199</v>
      </c>
      <c r="N1809" s="14">
        <v>0.527968511</v>
      </c>
      <c r="O1809" s="14">
        <v>1.015317042</v>
      </c>
    </row>
    <row r="1810" spans="1:21">
      <c r="A1810" s="14" t="s">
        <v>9022</v>
      </c>
      <c r="B1810" s="14">
        <v>682.7617484</v>
      </c>
      <c r="C1810" s="14">
        <v>137.8009843</v>
      </c>
      <c r="D1810" s="14">
        <v>1227.722512</v>
      </c>
      <c r="E1810" s="14">
        <v>8.906935032</v>
      </c>
      <c r="F1810" s="14">
        <v>3.154929071</v>
      </c>
      <c r="G1810" s="51" t="s">
        <v>9023</v>
      </c>
      <c r="H1810" s="51" t="s">
        <v>2967</v>
      </c>
      <c r="I1810" s="14" t="s">
        <v>164</v>
      </c>
      <c r="J1810" s="14">
        <v>26.00878118</v>
      </c>
      <c r="K1810" s="14">
        <v>8.801188545</v>
      </c>
      <c r="L1810" s="14">
        <v>17.18816677</v>
      </c>
      <c r="M1810" s="14">
        <v>1.207062573</v>
      </c>
      <c r="N1810" s="14">
        <v>1.845973774</v>
      </c>
      <c r="O1810" s="14">
        <v>1.765608297</v>
      </c>
      <c r="P1810" s="14" t="s">
        <v>9024</v>
      </c>
      <c r="Q1810" s="14" t="s">
        <v>9025</v>
      </c>
      <c r="T1810" s="14" t="s">
        <v>9026</v>
      </c>
      <c r="U1810" s="14" t="s">
        <v>9027</v>
      </c>
    </row>
    <row r="1811" spans="1:21">
      <c r="A1811" s="14" t="s">
        <v>9028</v>
      </c>
      <c r="B1811" s="14">
        <v>90.23499452</v>
      </c>
      <c r="C1811" s="14">
        <v>134.4456039</v>
      </c>
      <c r="D1811" s="14">
        <v>46.02438515</v>
      </c>
      <c r="E1811" s="14">
        <v>0.342703908</v>
      </c>
      <c r="F1811" s="14">
        <v>-1.54496545</v>
      </c>
      <c r="G1811" s="51" t="s">
        <v>9029</v>
      </c>
      <c r="H1811" s="14">
        <v>0.000124158</v>
      </c>
      <c r="I1811" s="14" t="s">
        <v>147</v>
      </c>
      <c r="J1811" s="14">
        <v>2.103619556</v>
      </c>
      <c r="K1811" s="14">
        <v>2.071326441</v>
      </c>
      <c r="L1811" s="14">
        <v>2.201596636</v>
      </c>
      <c r="M1811" s="14">
        <v>5.203901827</v>
      </c>
      <c r="N1811" s="14">
        <v>6.306348631</v>
      </c>
      <c r="O1811" s="14">
        <v>3.636721657</v>
      </c>
      <c r="P1811" s="14" t="s">
        <v>9030</v>
      </c>
      <c r="Q1811" s="14" t="s">
        <v>9031</v>
      </c>
      <c r="T1811" s="14" t="s">
        <v>9032</v>
      </c>
      <c r="U1811" s="14" t="s">
        <v>9033</v>
      </c>
    </row>
    <row r="1812" spans="1:21">
      <c r="A1812" s="14" t="s">
        <v>9034</v>
      </c>
      <c r="B1812" s="14">
        <v>3136.89622</v>
      </c>
      <c r="C1812" s="14">
        <v>933.8304667</v>
      </c>
      <c r="D1812" s="14">
        <v>5339.961973</v>
      </c>
      <c r="E1812" s="14">
        <v>5.716187583</v>
      </c>
      <c r="F1812" s="14">
        <v>2.515053261</v>
      </c>
      <c r="G1812" s="51" t="s">
        <v>9035</v>
      </c>
      <c r="H1812" s="51" t="s">
        <v>9036</v>
      </c>
      <c r="I1812" s="14" t="s">
        <v>164</v>
      </c>
      <c r="J1812" s="14">
        <v>35.79901835</v>
      </c>
      <c r="K1812" s="14">
        <v>27.79908639</v>
      </c>
      <c r="L1812" s="14">
        <v>31.60750333</v>
      </c>
      <c r="M1812" s="14">
        <v>3.610277155</v>
      </c>
      <c r="N1812" s="14">
        <v>4.23171815</v>
      </c>
      <c r="O1812" s="14">
        <v>6.015144367</v>
      </c>
      <c r="P1812" s="14" t="s">
        <v>9037</v>
      </c>
      <c r="Q1812" s="14" t="s">
        <v>9038</v>
      </c>
      <c r="T1812" s="14" t="s">
        <v>9039</v>
      </c>
      <c r="U1812" s="14" t="s">
        <v>9040</v>
      </c>
    </row>
    <row r="1813" spans="1:21">
      <c r="A1813" s="14" t="s">
        <v>9041</v>
      </c>
      <c r="B1813" s="14">
        <v>2053.523566</v>
      </c>
      <c r="C1813" s="14">
        <v>484.8578216</v>
      </c>
      <c r="D1813" s="14">
        <v>3622.18931</v>
      </c>
      <c r="E1813" s="14">
        <v>7.470846427</v>
      </c>
      <c r="F1813" s="14">
        <v>2.901271706</v>
      </c>
      <c r="G1813" s="51" t="s">
        <v>9042</v>
      </c>
      <c r="H1813" s="51" t="s">
        <v>9043</v>
      </c>
      <c r="I1813" s="14" t="s">
        <v>164</v>
      </c>
      <c r="J1813" s="14">
        <v>55.26335848</v>
      </c>
      <c r="K1813" s="14">
        <v>42.9853254</v>
      </c>
      <c r="L1813" s="14">
        <v>80.51928027</v>
      </c>
      <c r="M1813" s="14">
        <v>5.462149738</v>
      </c>
      <c r="N1813" s="14">
        <v>7.653748441</v>
      </c>
      <c r="O1813" s="14">
        <v>6.513517259</v>
      </c>
      <c r="P1813" s="14" t="s">
        <v>9044</v>
      </c>
      <c r="Q1813" s="14" t="s">
        <v>9045</v>
      </c>
      <c r="T1813" s="14" t="s">
        <v>9046</v>
      </c>
      <c r="U1813" s="14" t="s">
        <v>9047</v>
      </c>
    </row>
    <row r="1814" spans="1:21">
      <c r="A1814" s="14" t="s">
        <v>9048</v>
      </c>
      <c r="B1814" s="14">
        <v>5429.737385</v>
      </c>
      <c r="C1814" s="14">
        <v>7827.771987</v>
      </c>
      <c r="D1814" s="14">
        <v>3031.702783</v>
      </c>
      <c r="E1814" s="14">
        <v>0.387307276</v>
      </c>
      <c r="F1814" s="14">
        <v>-1.368449492</v>
      </c>
      <c r="G1814" s="51" t="s">
        <v>9049</v>
      </c>
      <c r="H1814" s="51" t="s">
        <v>9050</v>
      </c>
      <c r="I1814" s="14" t="s">
        <v>147</v>
      </c>
      <c r="J1814" s="14">
        <v>19.29844578</v>
      </c>
      <c r="K1814" s="14">
        <v>24.67507157</v>
      </c>
      <c r="L1814" s="14">
        <v>19.66352591</v>
      </c>
      <c r="M1814" s="14">
        <v>48.79898252</v>
      </c>
      <c r="N1814" s="14">
        <v>51.07031761</v>
      </c>
      <c r="O1814" s="14">
        <v>34.03988719</v>
      </c>
      <c r="P1814" s="14" t="s">
        <v>3265</v>
      </c>
      <c r="Q1814" s="14" t="s">
        <v>3266</v>
      </c>
      <c r="R1814" s="14" t="s">
        <v>1239</v>
      </c>
      <c r="S1814" s="14" t="s">
        <v>1240</v>
      </c>
      <c r="T1814" s="14" t="s">
        <v>3267</v>
      </c>
      <c r="U1814" s="14" t="s">
        <v>3268</v>
      </c>
    </row>
    <row r="1815" spans="1:15">
      <c r="A1815" s="14" t="s">
        <v>9051</v>
      </c>
      <c r="B1815" s="14">
        <v>119.9511318</v>
      </c>
      <c r="C1815" s="14">
        <v>51.60142621</v>
      </c>
      <c r="D1815" s="14">
        <v>188.3008375</v>
      </c>
      <c r="E1815" s="14">
        <v>3.650679625</v>
      </c>
      <c r="F1815" s="14">
        <v>1.868165067</v>
      </c>
      <c r="G1815" s="51" t="s">
        <v>9052</v>
      </c>
      <c r="H1815" s="51" t="s">
        <v>8382</v>
      </c>
      <c r="I1815" s="14" t="s">
        <v>164</v>
      </c>
      <c r="J1815" s="14">
        <v>3.7706201</v>
      </c>
      <c r="K1815" s="14">
        <v>3.795241758</v>
      </c>
      <c r="L1815" s="14">
        <v>5.657405019</v>
      </c>
      <c r="M1815" s="14">
        <v>1.029192479</v>
      </c>
      <c r="N1815" s="14">
        <v>0.797505691</v>
      </c>
      <c r="O1815" s="14">
        <v>1.161859234</v>
      </c>
    </row>
    <row r="1816" spans="1:15">
      <c r="A1816" s="14" t="s">
        <v>9053</v>
      </c>
      <c r="B1816" s="14">
        <v>52.33344838</v>
      </c>
      <c r="C1816" s="14">
        <v>18.45793831</v>
      </c>
      <c r="D1816" s="14">
        <v>86.20895844</v>
      </c>
      <c r="E1816" s="14">
        <v>4.643119391</v>
      </c>
      <c r="F1816" s="14">
        <v>2.215094378</v>
      </c>
      <c r="G1816" s="51" t="s">
        <v>2999</v>
      </c>
      <c r="H1816" s="51" t="s">
        <v>3389</v>
      </c>
      <c r="I1816" s="14" t="s">
        <v>164</v>
      </c>
      <c r="J1816" s="14">
        <v>6.555740047</v>
      </c>
      <c r="K1816" s="14">
        <v>5.323828641</v>
      </c>
      <c r="L1816" s="14">
        <v>7.603320512</v>
      </c>
      <c r="M1816" s="14">
        <v>0.701132056</v>
      </c>
      <c r="N1816" s="14">
        <v>1.161855129</v>
      </c>
      <c r="O1816" s="14">
        <v>1.621397465</v>
      </c>
    </row>
    <row r="1817" spans="1:21">
      <c r="A1817" s="14" t="s">
        <v>9054</v>
      </c>
      <c r="B1817" s="14">
        <v>4864.881467</v>
      </c>
      <c r="C1817" s="14">
        <v>6790.8763</v>
      </c>
      <c r="D1817" s="14">
        <v>2938.886635</v>
      </c>
      <c r="E1817" s="14">
        <v>0.432788714</v>
      </c>
      <c r="F1817" s="14">
        <v>-1.208265216</v>
      </c>
      <c r="G1817" s="51" t="s">
        <v>6625</v>
      </c>
      <c r="H1817" s="51" t="s">
        <v>5565</v>
      </c>
      <c r="I1817" s="14" t="s">
        <v>147</v>
      </c>
      <c r="J1817" s="14">
        <v>17.63776662</v>
      </c>
      <c r="K1817" s="14">
        <v>19.20706142</v>
      </c>
      <c r="L1817" s="14">
        <v>19.06904044</v>
      </c>
      <c r="M1817" s="14">
        <v>39.40370242</v>
      </c>
      <c r="N1817" s="14">
        <v>40.29348182</v>
      </c>
      <c r="O1817" s="14">
        <v>25.31744466</v>
      </c>
      <c r="P1817" s="14" t="s">
        <v>9055</v>
      </c>
      <c r="Q1817" s="14" t="s">
        <v>9056</v>
      </c>
      <c r="R1817" s="14" t="s">
        <v>9057</v>
      </c>
      <c r="S1817" s="14" t="s">
        <v>9058</v>
      </c>
      <c r="T1817" s="14" t="s">
        <v>9059</v>
      </c>
      <c r="U1817" s="14" t="s">
        <v>9060</v>
      </c>
    </row>
    <row r="1818" spans="1:21">
      <c r="A1818" s="14" t="s">
        <v>9061</v>
      </c>
      <c r="B1818" s="14">
        <v>9698.744802</v>
      </c>
      <c r="C1818" s="14">
        <v>13242.6771</v>
      </c>
      <c r="D1818" s="14">
        <v>6154.812504</v>
      </c>
      <c r="E1818" s="14">
        <v>0.464773217</v>
      </c>
      <c r="F1818" s="14">
        <v>-1.105401161</v>
      </c>
      <c r="G1818" s="51" t="s">
        <v>9062</v>
      </c>
      <c r="H1818" s="51" t="s">
        <v>9063</v>
      </c>
      <c r="I1818" s="14" t="s">
        <v>147</v>
      </c>
      <c r="J1818" s="14">
        <v>80.0122375</v>
      </c>
      <c r="K1818" s="14">
        <v>68.65291642</v>
      </c>
      <c r="L1818" s="14">
        <v>65.4965046</v>
      </c>
      <c r="M1818" s="14">
        <v>130.7400185</v>
      </c>
      <c r="N1818" s="14">
        <v>122.2121751</v>
      </c>
      <c r="O1818" s="14">
        <v>125.7873977</v>
      </c>
      <c r="P1818" s="14" t="s">
        <v>9064</v>
      </c>
      <c r="Q1818" s="14" t="s">
        <v>9065</v>
      </c>
      <c r="R1818" s="14" t="s">
        <v>5978</v>
      </c>
      <c r="S1818" s="14" t="s">
        <v>5979</v>
      </c>
      <c r="T1818" s="14" t="s">
        <v>9066</v>
      </c>
      <c r="U1818" s="14" t="s">
        <v>9067</v>
      </c>
    </row>
    <row r="1819" spans="1:15">
      <c r="A1819" s="14" t="s">
        <v>9068</v>
      </c>
      <c r="B1819" s="14">
        <v>3921.753039</v>
      </c>
      <c r="C1819" s="14">
        <v>6507.934416</v>
      </c>
      <c r="D1819" s="14">
        <v>1335.571663</v>
      </c>
      <c r="E1819" s="14">
        <v>0.205223047</v>
      </c>
      <c r="F1819" s="14">
        <v>-2.284735339</v>
      </c>
      <c r="G1819" s="51" t="s">
        <v>1523</v>
      </c>
      <c r="H1819" s="51" t="s">
        <v>1524</v>
      </c>
      <c r="I1819" s="14" t="s">
        <v>147</v>
      </c>
      <c r="J1819" s="14">
        <v>24.29467075</v>
      </c>
      <c r="K1819" s="14">
        <v>40.68624681</v>
      </c>
      <c r="L1819" s="14">
        <v>27.67735024</v>
      </c>
      <c r="M1819" s="14">
        <v>143.5419088</v>
      </c>
      <c r="N1819" s="14">
        <v>161.3443798</v>
      </c>
      <c r="O1819" s="14">
        <v>59.45564561</v>
      </c>
    </row>
    <row r="1820" spans="1:15">
      <c r="A1820" s="14" t="s">
        <v>9069</v>
      </c>
      <c r="B1820" s="14">
        <v>39.59395798</v>
      </c>
      <c r="C1820" s="14">
        <v>4.515565066</v>
      </c>
      <c r="D1820" s="14">
        <v>74.67235089</v>
      </c>
      <c r="E1820" s="14">
        <v>16.28028142</v>
      </c>
      <c r="F1820" s="14">
        <v>4.025053733</v>
      </c>
      <c r="G1820" s="51" t="s">
        <v>9070</v>
      </c>
      <c r="H1820" s="51" t="s">
        <v>8489</v>
      </c>
      <c r="I1820" s="14" t="s">
        <v>164</v>
      </c>
      <c r="J1820" s="14">
        <v>0.523279855</v>
      </c>
      <c r="K1820" s="14">
        <v>1.084995416</v>
      </c>
      <c r="L1820" s="14">
        <v>0.75575957</v>
      </c>
      <c r="M1820" s="14">
        <v>0.026862928</v>
      </c>
      <c r="N1820" s="14">
        <v>0.008590597</v>
      </c>
      <c r="O1820" s="14">
        <v>0.087607462</v>
      </c>
    </row>
    <row r="1821" spans="1:21">
      <c r="A1821" s="14" t="s">
        <v>9071</v>
      </c>
      <c r="B1821" s="14">
        <v>152.1667037</v>
      </c>
      <c r="C1821" s="14">
        <v>49.83194257</v>
      </c>
      <c r="D1821" s="14">
        <v>254.5014648</v>
      </c>
      <c r="E1821" s="14">
        <v>5.096696434</v>
      </c>
      <c r="F1821" s="14">
        <v>2.349562427</v>
      </c>
      <c r="G1821" s="51" t="s">
        <v>9072</v>
      </c>
      <c r="H1821" s="51" t="s">
        <v>9073</v>
      </c>
      <c r="I1821" s="14" t="s">
        <v>164</v>
      </c>
      <c r="J1821" s="14">
        <v>2.057001172</v>
      </c>
      <c r="K1821" s="14">
        <v>2.602287501</v>
      </c>
      <c r="L1821" s="14">
        <v>2.616549253</v>
      </c>
      <c r="M1821" s="14">
        <v>0.379440767</v>
      </c>
      <c r="N1821" s="14">
        <v>0.255594387</v>
      </c>
      <c r="O1821" s="14">
        <v>0.552908384</v>
      </c>
      <c r="P1821" s="14" t="s">
        <v>9074</v>
      </c>
      <c r="Q1821" s="14" t="s">
        <v>9075</v>
      </c>
      <c r="T1821" s="14" t="s">
        <v>9076</v>
      </c>
      <c r="U1821" s="14" t="s">
        <v>9077</v>
      </c>
    </row>
    <row r="1822" spans="1:21">
      <c r="A1822" s="14" t="s">
        <v>9078</v>
      </c>
      <c r="B1822" s="14">
        <v>12.89063308</v>
      </c>
      <c r="C1822" s="14">
        <v>3.105634662</v>
      </c>
      <c r="D1822" s="14">
        <v>22.6756315</v>
      </c>
      <c r="E1822" s="14">
        <v>7.381970664</v>
      </c>
      <c r="F1822" s="14">
        <v>2.884006004</v>
      </c>
      <c r="G1822" s="14">
        <v>0.005220833</v>
      </c>
      <c r="H1822" s="14">
        <v>0.015376371</v>
      </c>
      <c r="I1822" s="14" t="s">
        <v>164</v>
      </c>
      <c r="J1822" s="14">
        <v>0.628578144</v>
      </c>
      <c r="K1822" s="14">
        <v>0.111649884</v>
      </c>
      <c r="L1822" s="14">
        <v>0.53402304</v>
      </c>
      <c r="M1822" s="14">
        <v>0.079089431</v>
      </c>
      <c r="N1822" s="14">
        <v>0.030350768</v>
      </c>
      <c r="O1822" s="14">
        <v>0.030951909</v>
      </c>
      <c r="P1822" s="14" t="s">
        <v>9079</v>
      </c>
      <c r="Q1822" s="14" t="s">
        <v>9080</v>
      </c>
      <c r="T1822" s="14" t="s">
        <v>9081</v>
      </c>
      <c r="U1822" s="14" t="s">
        <v>9082</v>
      </c>
    </row>
    <row r="1823" spans="1:21">
      <c r="A1823" s="14" t="s">
        <v>9083</v>
      </c>
      <c r="B1823" s="14">
        <v>5618.359134</v>
      </c>
      <c r="C1823" s="14">
        <v>8129.127095</v>
      </c>
      <c r="D1823" s="14">
        <v>3107.591173</v>
      </c>
      <c r="E1823" s="14">
        <v>0.38228992</v>
      </c>
      <c r="F1823" s="14">
        <v>-1.387260936</v>
      </c>
      <c r="G1823" s="51" t="s">
        <v>1716</v>
      </c>
      <c r="H1823" s="51" t="s">
        <v>1717</v>
      </c>
      <c r="I1823" s="14" t="s">
        <v>147</v>
      </c>
      <c r="J1823" s="14">
        <v>28.5268982</v>
      </c>
      <c r="K1823" s="14">
        <v>30.72421463</v>
      </c>
      <c r="L1823" s="14">
        <v>27.76992294</v>
      </c>
      <c r="M1823" s="14">
        <v>73.5706146</v>
      </c>
      <c r="N1823" s="14">
        <v>67.43127624</v>
      </c>
      <c r="O1823" s="14">
        <v>43.95007893</v>
      </c>
      <c r="P1823" s="14" t="s">
        <v>9084</v>
      </c>
      <c r="Q1823" s="14" t="s">
        <v>9085</v>
      </c>
      <c r="T1823" s="14" t="s">
        <v>9086</v>
      </c>
      <c r="U1823" s="14" t="s">
        <v>9087</v>
      </c>
    </row>
    <row r="1824" spans="1:21">
      <c r="A1824" s="14" t="s">
        <v>9088</v>
      </c>
      <c r="B1824" s="14">
        <v>258.2396798</v>
      </c>
      <c r="C1824" s="14">
        <v>120.5367309</v>
      </c>
      <c r="D1824" s="14">
        <v>395.9426286</v>
      </c>
      <c r="E1824" s="14">
        <v>3.279928645</v>
      </c>
      <c r="F1824" s="14">
        <v>1.713664429</v>
      </c>
      <c r="G1824" s="51" t="s">
        <v>9089</v>
      </c>
      <c r="H1824" s="14">
        <v>0.000286127</v>
      </c>
      <c r="I1824" s="14" t="s">
        <v>164</v>
      </c>
      <c r="J1824" s="14">
        <v>7.019927026</v>
      </c>
      <c r="K1824" s="14">
        <v>3.972106423</v>
      </c>
      <c r="L1824" s="14">
        <v>4.16508723</v>
      </c>
      <c r="M1824" s="14">
        <v>0.779184307</v>
      </c>
      <c r="N1824" s="14">
        <v>1.038242831</v>
      </c>
      <c r="O1824" s="14">
        <v>2.075261243</v>
      </c>
      <c r="P1824" s="14" t="s">
        <v>5516</v>
      </c>
      <c r="Q1824" s="14" t="s">
        <v>5517</v>
      </c>
      <c r="T1824" s="14" t="s">
        <v>5518</v>
      </c>
      <c r="U1824" s="14" t="s">
        <v>5519</v>
      </c>
    </row>
    <row r="1825" spans="1:21">
      <c r="A1825" s="14" t="s">
        <v>9090</v>
      </c>
      <c r="B1825" s="14">
        <v>2597.674138</v>
      </c>
      <c r="C1825" s="14">
        <v>1513.705736</v>
      </c>
      <c r="D1825" s="14">
        <v>3681.64254</v>
      </c>
      <c r="E1825" s="14">
        <v>2.432020546</v>
      </c>
      <c r="F1825" s="14">
        <v>1.282155417</v>
      </c>
      <c r="G1825" s="14">
        <v>0.017533116</v>
      </c>
      <c r="H1825" s="14">
        <v>0.043534625</v>
      </c>
      <c r="I1825" s="14" t="s">
        <v>164</v>
      </c>
      <c r="J1825" s="14">
        <v>42.20927004</v>
      </c>
      <c r="K1825" s="14">
        <v>12.63322864</v>
      </c>
      <c r="L1825" s="14">
        <v>15.72084959</v>
      </c>
      <c r="M1825" s="14">
        <v>5.800361711</v>
      </c>
      <c r="N1825" s="14">
        <v>5.081092526</v>
      </c>
      <c r="O1825" s="14">
        <v>13.6464626</v>
      </c>
      <c r="P1825" s="14" t="s">
        <v>9091</v>
      </c>
      <c r="Q1825" s="14" t="s">
        <v>9092</v>
      </c>
      <c r="T1825" s="14" t="s">
        <v>9093</v>
      </c>
      <c r="U1825" s="14" t="s">
        <v>9094</v>
      </c>
    </row>
    <row r="1826" spans="1:21">
      <c r="A1826" s="14" t="s">
        <v>9095</v>
      </c>
      <c r="B1826" s="14">
        <v>88.06898589</v>
      </c>
      <c r="C1826" s="14">
        <v>57.57580794</v>
      </c>
      <c r="D1826" s="14">
        <v>118.5621638</v>
      </c>
      <c r="E1826" s="14">
        <v>2.064894486</v>
      </c>
      <c r="F1826" s="14">
        <v>1.046068064</v>
      </c>
      <c r="G1826" s="14">
        <v>0.011645981</v>
      </c>
      <c r="H1826" s="14">
        <v>0.030778652</v>
      </c>
      <c r="I1826" s="14" t="s">
        <v>164</v>
      </c>
      <c r="J1826" s="14">
        <v>2.294444656</v>
      </c>
      <c r="K1826" s="14">
        <v>2.711066573</v>
      </c>
      <c r="L1826" s="14">
        <v>2.151573318</v>
      </c>
      <c r="M1826" s="14">
        <v>1.246151064</v>
      </c>
      <c r="N1826" s="14">
        <v>0.982630688</v>
      </c>
      <c r="O1826" s="14">
        <v>0.584554328</v>
      </c>
      <c r="P1826" s="14" t="s">
        <v>9096</v>
      </c>
      <c r="Q1826" s="14" t="s">
        <v>9097</v>
      </c>
      <c r="R1826" s="14" t="s">
        <v>5098</v>
      </c>
      <c r="S1826" s="14" t="s">
        <v>5099</v>
      </c>
      <c r="T1826" s="14" t="s">
        <v>9098</v>
      </c>
      <c r="U1826" s="14" t="s">
        <v>9099</v>
      </c>
    </row>
    <row r="1827" spans="1:21">
      <c r="A1827" s="14" t="s">
        <v>9100</v>
      </c>
      <c r="B1827" s="14">
        <v>1382.986754</v>
      </c>
      <c r="C1827" s="14">
        <v>834.919225</v>
      </c>
      <c r="D1827" s="14">
        <v>1931.054283</v>
      </c>
      <c r="E1827" s="14">
        <v>2.312435406</v>
      </c>
      <c r="F1827" s="14">
        <v>1.209413067</v>
      </c>
      <c r="G1827" s="14">
        <v>0.005703918</v>
      </c>
      <c r="H1827" s="14">
        <v>0.016618235</v>
      </c>
      <c r="I1827" s="14" t="s">
        <v>164</v>
      </c>
      <c r="J1827" s="14">
        <v>22.72457891</v>
      </c>
      <c r="K1827" s="14">
        <v>9.627152085</v>
      </c>
      <c r="L1827" s="14">
        <v>11.42335901</v>
      </c>
      <c r="M1827" s="14">
        <v>3.78094505</v>
      </c>
      <c r="N1827" s="14">
        <v>3.713441042</v>
      </c>
      <c r="O1827" s="14">
        <v>8.451761822</v>
      </c>
      <c r="P1827" s="14" t="s">
        <v>9101</v>
      </c>
      <c r="Q1827" s="14" t="s">
        <v>9102</v>
      </c>
      <c r="T1827" s="14" t="s">
        <v>9103</v>
      </c>
      <c r="U1827" s="14" t="s">
        <v>9104</v>
      </c>
    </row>
    <row r="1828" spans="1:21">
      <c r="A1828" s="14" t="s">
        <v>9105</v>
      </c>
      <c r="B1828" s="14">
        <v>8901.514406</v>
      </c>
      <c r="C1828" s="14">
        <v>14281.89338</v>
      </c>
      <c r="D1828" s="14">
        <v>3521.135434</v>
      </c>
      <c r="E1828" s="14">
        <v>0.246545737</v>
      </c>
      <c r="F1828" s="14">
        <v>-2.020072789</v>
      </c>
      <c r="G1828" s="51" t="s">
        <v>9106</v>
      </c>
      <c r="H1828" s="51" t="s">
        <v>2802</v>
      </c>
      <c r="I1828" s="14" t="s">
        <v>147</v>
      </c>
      <c r="J1828" s="14">
        <v>67.27253856</v>
      </c>
      <c r="K1828" s="14">
        <v>93.05051921</v>
      </c>
      <c r="L1828" s="14">
        <v>64.93627766</v>
      </c>
      <c r="M1828" s="14">
        <v>266.1425272</v>
      </c>
      <c r="N1828" s="14">
        <v>330.7127966</v>
      </c>
      <c r="O1828" s="14">
        <v>143.4939613</v>
      </c>
      <c r="P1828" s="14" t="s">
        <v>9107</v>
      </c>
      <c r="Q1828" s="14" t="s">
        <v>9108</v>
      </c>
      <c r="R1828" s="14" t="s">
        <v>4592</v>
      </c>
      <c r="S1828" s="14" t="s">
        <v>4593</v>
      </c>
      <c r="T1828" s="14" t="s">
        <v>9109</v>
      </c>
      <c r="U1828" s="14" t="s">
        <v>9110</v>
      </c>
    </row>
    <row r="1829" spans="1:21">
      <c r="A1829" s="14" t="s">
        <v>9111</v>
      </c>
      <c r="B1829" s="14">
        <v>71.94123182</v>
      </c>
      <c r="C1829" s="14">
        <v>120.5879218</v>
      </c>
      <c r="D1829" s="14">
        <v>23.29454181</v>
      </c>
      <c r="E1829" s="14">
        <v>0.193799157</v>
      </c>
      <c r="F1829" s="14">
        <v>-2.367365803</v>
      </c>
      <c r="G1829" s="51" t="s">
        <v>9112</v>
      </c>
      <c r="H1829" s="51" t="s">
        <v>9113</v>
      </c>
      <c r="I1829" s="14" t="s">
        <v>147</v>
      </c>
      <c r="J1829" s="14">
        <v>0.128033731</v>
      </c>
      <c r="K1829" s="14">
        <v>0.109539309</v>
      </c>
      <c r="L1829" s="14">
        <v>0.21573511</v>
      </c>
      <c r="M1829" s="14">
        <v>0.564156657</v>
      </c>
      <c r="N1829" s="14">
        <v>0.735667835</v>
      </c>
      <c r="O1829" s="14">
        <v>0.62162645</v>
      </c>
      <c r="P1829" s="14" t="s">
        <v>9114</v>
      </c>
      <c r="Q1829" s="14" t="s">
        <v>9115</v>
      </c>
      <c r="R1829" s="14" t="s">
        <v>3743</v>
      </c>
      <c r="S1829" s="14" t="s">
        <v>3744</v>
      </c>
      <c r="T1829" s="14" t="s">
        <v>9116</v>
      </c>
      <c r="U1829" s="14" t="s">
        <v>9117</v>
      </c>
    </row>
    <row r="1830" spans="1:15">
      <c r="A1830" s="14" t="s">
        <v>9118</v>
      </c>
      <c r="B1830" s="14">
        <v>59.66984292</v>
      </c>
      <c r="C1830" s="14">
        <v>12.71029725</v>
      </c>
      <c r="D1830" s="14">
        <v>106.6293886</v>
      </c>
      <c r="E1830" s="14">
        <v>8.346540511</v>
      </c>
      <c r="F1830" s="14">
        <v>3.061178351</v>
      </c>
      <c r="G1830" s="14">
        <v>0.003152807</v>
      </c>
      <c r="H1830" s="14">
        <v>0.009917174</v>
      </c>
      <c r="I1830" s="14" t="s">
        <v>164</v>
      </c>
      <c r="J1830" s="14">
        <v>2.522275637</v>
      </c>
      <c r="K1830" s="14">
        <v>0.74383634</v>
      </c>
      <c r="L1830" s="14">
        <v>1.933576176</v>
      </c>
      <c r="M1830" s="14">
        <v>0.082473083</v>
      </c>
      <c r="N1830" s="14">
        <v>0.013187189</v>
      </c>
      <c r="O1830" s="14">
        <v>0.44379655</v>
      </c>
    </row>
    <row r="1831" spans="1:21">
      <c r="A1831" s="14" t="s">
        <v>9119</v>
      </c>
      <c r="B1831" s="14">
        <v>13.58370946</v>
      </c>
      <c r="C1831" s="14">
        <v>1.289162782</v>
      </c>
      <c r="D1831" s="14">
        <v>25.87825614</v>
      </c>
      <c r="E1831" s="14">
        <v>19.6535307</v>
      </c>
      <c r="F1831" s="14">
        <v>4.296716607</v>
      </c>
      <c r="G1831" s="14">
        <v>0.000368769</v>
      </c>
      <c r="H1831" s="14">
        <v>0.001520223</v>
      </c>
      <c r="I1831" s="14" t="s">
        <v>164</v>
      </c>
      <c r="J1831" s="14">
        <v>1.093624141</v>
      </c>
      <c r="K1831" s="14">
        <v>0.281046476</v>
      </c>
      <c r="L1831" s="14">
        <v>0.448083144</v>
      </c>
      <c r="M1831" s="14">
        <v>0.01990849</v>
      </c>
      <c r="N1831" s="14">
        <v>0</v>
      </c>
      <c r="O1831" s="14">
        <v>0.058434398</v>
      </c>
      <c r="Q1831" s="14" t="s">
        <v>9120</v>
      </c>
      <c r="R1831" s="14" t="s">
        <v>9121</v>
      </c>
      <c r="S1831" s="14" t="s">
        <v>9122</v>
      </c>
      <c r="T1831" s="14" t="s">
        <v>9123</v>
      </c>
      <c r="U1831" s="14" t="s">
        <v>9124</v>
      </c>
    </row>
    <row r="1832" spans="1:21">
      <c r="A1832" s="14" t="s">
        <v>9125</v>
      </c>
      <c r="B1832" s="14">
        <v>51.85697127</v>
      </c>
      <c r="C1832" s="14">
        <v>75.67419301</v>
      </c>
      <c r="D1832" s="14">
        <v>28.03974953</v>
      </c>
      <c r="E1832" s="14">
        <v>0.370829874</v>
      </c>
      <c r="F1832" s="14">
        <v>-1.431170625</v>
      </c>
      <c r="G1832" s="14">
        <v>0.000449178</v>
      </c>
      <c r="H1832" s="14">
        <v>0.001806744</v>
      </c>
      <c r="I1832" s="14" t="s">
        <v>147</v>
      </c>
      <c r="J1832" s="14">
        <v>0.451263715</v>
      </c>
      <c r="K1832" s="14">
        <v>0.935139076</v>
      </c>
      <c r="L1832" s="14">
        <v>0.868998029</v>
      </c>
      <c r="M1832" s="14">
        <v>1.748800644</v>
      </c>
      <c r="N1832" s="14">
        <v>1.503453189</v>
      </c>
      <c r="O1832" s="14">
        <v>1.755438723</v>
      </c>
      <c r="P1832" s="14" t="s">
        <v>4580</v>
      </c>
      <c r="Q1832" s="14" t="s">
        <v>4581</v>
      </c>
      <c r="T1832" s="14" t="s">
        <v>4582</v>
      </c>
      <c r="U1832" s="14" t="s">
        <v>4583</v>
      </c>
    </row>
    <row r="1833" spans="1:21">
      <c r="A1833" s="14" t="s">
        <v>9126</v>
      </c>
      <c r="B1833" s="14">
        <v>285.492836</v>
      </c>
      <c r="C1833" s="14">
        <v>187.602698</v>
      </c>
      <c r="D1833" s="14">
        <v>383.3829741</v>
      </c>
      <c r="E1833" s="14">
        <v>2.041451129</v>
      </c>
      <c r="F1833" s="14">
        <v>1.029595031</v>
      </c>
      <c r="G1833" s="14">
        <v>0.008821493</v>
      </c>
      <c r="H1833" s="14">
        <v>0.02425332</v>
      </c>
      <c r="I1833" s="14" t="s">
        <v>164</v>
      </c>
      <c r="J1833" s="14">
        <v>3.631696777</v>
      </c>
      <c r="K1833" s="14">
        <v>2.613448254</v>
      </c>
      <c r="L1833" s="14">
        <v>3.6193278</v>
      </c>
      <c r="M1833" s="14">
        <v>0.900234356</v>
      </c>
      <c r="N1833" s="14">
        <v>0.919388504</v>
      </c>
      <c r="O1833" s="14">
        <v>2.251656633</v>
      </c>
      <c r="P1833" s="14" t="s">
        <v>9127</v>
      </c>
      <c r="Q1833" s="14" t="s">
        <v>9128</v>
      </c>
      <c r="T1833" s="14" t="s">
        <v>9129</v>
      </c>
      <c r="U1833" s="14" t="s">
        <v>9130</v>
      </c>
    </row>
    <row r="1834" spans="1:21">
      <c r="A1834" s="14" t="s">
        <v>9131</v>
      </c>
      <c r="B1834" s="14">
        <v>16777.20015</v>
      </c>
      <c r="C1834" s="14">
        <v>24974.12078</v>
      </c>
      <c r="D1834" s="14">
        <v>8580.279524</v>
      </c>
      <c r="E1834" s="14">
        <v>0.34356873</v>
      </c>
      <c r="F1834" s="14">
        <v>-1.541329358</v>
      </c>
      <c r="G1834" s="51" t="s">
        <v>9132</v>
      </c>
      <c r="H1834" s="51" t="s">
        <v>9133</v>
      </c>
      <c r="I1834" s="14" t="s">
        <v>147</v>
      </c>
      <c r="J1834" s="14">
        <v>128.3763461</v>
      </c>
      <c r="K1834" s="14">
        <v>120.9662918</v>
      </c>
      <c r="L1834" s="14">
        <v>110.1721185</v>
      </c>
      <c r="M1834" s="14">
        <v>309.0129853</v>
      </c>
      <c r="N1834" s="14">
        <v>290.5527281</v>
      </c>
      <c r="O1834" s="14">
        <v>257.3151423</v>
      </c>
      <c r="P1834" s="14" t="s">
        <v>9134</v>
      </c>
      <c r="Q1834" s="14" t="s">
        <v>9135</v>
      </c>
      <c r="R1834" s="14" t="s">
        <v>9136</v>
      </c>
      <c r="S1834" s="14" t="s">
        <v>9137</v>
      </c>
      <c r="T1834" s="14" t="s">
        <v>9138</v>
      </c>
      <c r="U1834" s="14" t="s">
        <v>9139</v>
      </c>
    </row>
    <row r="1835" spans="1:21">
      <c r="A1835" s="14" t="s">
        <v>9140</v>
      </c>
      <c r="B1835" s="14">
        <v>17987.57932</v>
      </c>
      <c r="C1835" s="14">
        <v>24293.10365</v>
      </c>
      <c r="D1835" s="14">
        <v>11682.05499</v>
      </c>
      <c r="E1835" s="14">
        <v>0.480869011</v>
      </c>
      <c r="F1835" s="14">
        <v>-1.056284137</v>
      </c>
      <c r="G1835" s="51" t="s">
        <v>9141</v>
      </c>
      <c r="H1835" s="51" t="s">
        <v>9142</v>
      </c>
      <c r="I1835" s="14" t="s">
        <v>147</v>
      </c>
      <c r="J1835" s="14">
        <v>181.7244431</v>
      </c>
      <c r="K1835" s="14">
        <v>198.5975293</v>
      </c>
      <c r="L1835" s="14">
        <v>160.2473665</v>
      </c>
      <c r="M1835" s="14">
        <v>297.2774589</v>
      </c>
      <c r="N1835" s="14">
        <v>272.3471036</v>
      </c>
      <c r="O1835" s="14">
        <v>361.0867849</v>
      </c>
      <c r="P1835" s="14" t="s">
        <v>9143</v>
      </c>
      <c r="Q1835" s="14" t="s">
        <v>9144</v>
      </c>
      <c r="R1835" s="14" t="s">
        <v>1536</v>
      </c>
      <c r="S1835" s="14" t="s">
        <v>1537</v>
      </c>
      <c r="T1835" s="14" t="s">
        <v>9145</v>
      </c>
      <c r="U1835" s="14" t="s">
        <v>9146</v>
      </c>
    </row>
    <row r="1836" spans="1:21">
      <c r="A1836" s="14" t="s">
        <v>9147</v>
      </c>
      <c r="B1836" s="14">
        <v>5511.551464</v>
      </c>
      <c r="C1836" s="14">
        <v>3402.989813</v>
      </c>
      <c r="D1836" s="14">
        <v>7620.113115</v>
      </c>
      <c r="E1836" s="14">
        <v>2.239348366</v>
      </c>
      <c r="F1836" s="14">
        <v>1.16307898</v>
      </c>
      <c r="G1836" s="14">
        <v>0.000893486</v>
      </c>
      <c r="H1836" s="14">
        <v>0.003316456</v>
      </c>
      <c r="I1836" s="14" t="s">
        <v>164</v>
      </c>
      <c r="J1836" s="14">
        <v>76.25721519</v>
      </c>
      <c r="K1836" s="14">
        <v>79.380575</v>
      </c>
      <c r="L1836" s="14">
        <v>49.33805644</v>
      </c>
      <c r="M1836" s="14">
        <v>28.79901505</v>
      </c>
      <c r="N1836" s="14">
        <v>29.59492345</v>
      </c>
      <c r="O1836" s="14">
        <v>15.95499338</v>
      </c>
      <c r="P1836" s="14" t="s">
        <v>9148</v>
      </c>
      <c r="Q1836" s="14" t="s">
        <v>9149</v>
      </c>
      <c r="T1836" s="14" t="s">
        <v>9150</v>
      </c>
      <c r="U1836" s="14" t="s">
        <v>9151</v>
      </c>
    </row>
    <row r="1837" spans="1:15">
      <c r="A1837" s="14" t="s">
        <v>9152</v>
      </c>
      <c r="B1837" s="14">
        <v>37.04956808</v>
      </c>
      <c r="C1837" s="14">
        <v>1.944230165</v>
      </c>
      <c r="D1837" s="14">
        <v>72.15490599</v>
      </c>
      <c r="E1837" s="14">
        <v>36.30544736</v>
      </c>
      <c r="F1837" s="14">
        <v>5.182114125</v>
      </c>
      <c r="G1837" s="51" t="s">
        <v>1849</v>
      </c>
      <c r="H1837" s="51" t="s">
        <v>6099</v>
      </c>
      <c r="I1837" s="14" t="s">
        <v>164</v>
      </c>
      <c r="J1837" s="14">
        <v>2.196754356</v>
      </c>
      <c r="K1837" s="14">
        <v>1.133896859</v>
      </c>
      <c r="L1837" s="14">
        <v>2.847308821</v>
      </c>
      <c r="M1837" s="14">
        <v>0</v>
      </c>
      <c r="N1837" s="14">
        <v>0.069353355</v>
      </c>
      <c r="O1837" s="14">
        <v>0.070727</v>
      </c>
    </row>
    <row r="1838" spans="1:21">
      <c r="A1838" s="14" t="s">
        <v>9153</v>
      </c>
      <c r="B1838" s="14">
        <v>295.0352327</v>
      </c>
      <c r="C1838" s="14">
        <v>187.362974</v>
      </c>
      <c r="D1838" s="14">
        <v>402.7074914</v>
      </c>
      <c r="E1838" s="14">
        <v>2.151944184</v>
      </c>
      <c r="F1838" s="14">
        <v>1.105640659</v>
      </c>
      <c r="G1838" s="51" t="s">
        <v>5633</v>
      </c>
      <c r="H1838" s="51" t="s">
        <v>5634</v>
      </c>
      <c r="I1838" s="14" t="s">
        <v>164</v>
      </c>
      <c r="J1838" s="14">
        <v>2.029084241</v>
      </c>
      <c r="K1838" s="14">
        <v>1.456233662</v>
      </c>
      <c r="L1838" s="14">
        <v>1.983892285</v>
      </c>
      <c r="M1838" s="14">
        <v>0.747316504</v>
      </c>
      <c r="N1838" s="14">
        <v>0.716961465</v>
      </c>
      <c r="O1838" s="14">
        <v>0.61492594</v>
      </c>
      <c r="P1838" s="14" t="s">
        <v>9154</v>
      </c>
      <c r="Q1838" s="14" t="s">
        <v>9155</v>
      </c>
      <c r="R1838" s="14" t="s">
        <v>9156</v>
      </c>
      <c r="S1838" s="14" t="s">
        <v>9157</v>
      </c>
      <c r="T1838" s="14" t="s">
        <v>9158</v>
      </c>
      <c r="U1838" s="14" t="s">
        <v>9159</v>
      </c>
    </row>
    <row r="1839" spans="1:21">
      <c r="A1839" s="14" t="s">
        <v>9160</v>
      </c>
      <c r="B1839" s="14">
        <v>907.5073827</v>
      </c>
      <c r="C1839" s="14">
        <v>93.86042554</v>
      </c>
      <c r="D1839" s="14">
        <v>1721.15434</v>
      </c>
      <c r="E1839" s="14">
        <v>18.31010474</v>
      </c>
      <c r="F1839" s="14">
        <v>4.194568139</v>
      </c>
      <c r="G1839" s="51" t="s">
        <v>9161</v>
      </c>
      <c r="H1839" s="51" t="s">
        <v>9162</v>
      </c>
      <c r="I1839" s="14" t="s">
        <v>164</v>
      </c>
      <c r="J1839" s="14">
        <v>41.53639934</v>
      </c>
      <c r="K1839" s="14">
        <v>13.89718013</v>
      </c>
      <c r="L1839" s="14">
        <v>30.60177439</v>
      </c>
      <c r="M1839" s="14">
        <v>0.465198201</v>
      </c>
      <c r="N1839" s="14">
        <v>0.70326446</v>
      </c>
      <c r="O1839" s="14">
        <v>2.868774588</v>
      </c>
      <c r="P1839" s="14" t="s">
        <v>9163</v>
      </c>
      <c r="Q1839" s="14" t="s">
        <v>9164</v>
      </c>
      <c r="T1839" s="14" t="s">
        <v>9165</v>
      </c>
      <c r="U1839" s="14" t="s">
        <v>9166</v>
      </c>
    </row>
    <row r="1840" spans="1:15">
      <c r="A1840" s="14" t="s">
        <v>9167</v>
      </c>
      <c r="B1840" s="14">
        <v>83.00729232</v>
      </c>
      <c r="C1840" s="14">
        <v>30.00019866</v>
      </c>
      <c r="D1840" s="14">
        <v>136.014386</v>
      </c>
      <c r="E1840" s="14">
        <v>4.526730754</v>
      </c>
      <c r="F1840" s="14">
        <v>2.178469499</v>
      </c>
      <c r="G1840" s="51" t="s">
        <v>9168</v>
      </c>
      <c r="H1840" s="51" t="s">
        <v>7411</v>
      </c>
      <c r="I1840" s="14" t="s">
        <v>164</v>
      </c>
      <c r="J1840" s="14">
        <v>2.791408369</v>
      </c>
      <c r="K1840" s="14">
        <v>3.771493238</v>
      </c>
      <c r="L1840" s="14">
        <v>3.801530076</v>
      </c>
      <c r="M1840" s="14">
        <v>0.645490327</v>
      </c>
      <c r="N1840" s="14">
        <v>0.412847558</v>
      </c>
      <c r="O1840" s="14">
        <v>0.842049221</v>
      </c>
    </row>
    <row r="1841" spans="1:21">
      <c r="A1841" s="14" t="s">
        <v>9169</v>
      </c>
      <c r="B1841" s="14">
        <v>10.46275013</v>
      </c>
      <c r="C1841" s="14">
        <v>1.78657285</v>
      </c>
      <c r="D1841" s="14">
        <v>19.1389274</v>
      </c>
      <c r="E1841" s="14">
        <v>11.01426843</v>
      </c>
      <c r="F1841" s="14">
        <v>3.461301769</v>
      </c>
      <c r="G1841" s="14">
        <v>0.003569418</v>
      </c>
      <c r="H1841" s="14">
        <v>0.011073154</v>
      </c>
      <c r="I1841" s="14" t="s">
        <v>164</v>
      </c>
      <c r="J1841" s="14">
        <v>0.158832974</v>
      </c>
      <c r="K1841" s="14">
        <v>0.166821008</v>
      </c>
      <c r="L1841" s="14">
        <v>0.073141506</v>
      </c>
      <c r="M1841" s="14">
        <v>0.0236342</v>
      </c>
      <c r="N1841" s="14">
        <v>0.005668552</v>
      </c>
      <c r="O1841" s="14">
        <v>0</v>
      </c>
      <c r="P1841" s="14" t="s">
        <v>9170</v>
      </c>
      <c r="Q1841" s="14" t="s">
        <v>9171</v>
      </c>
      <c r="T1841" s="14" t="s">
        <v>9172</v>
      </c>
      <c r="U1841" s="14" t="s">
        <v>9173</v>
      </c>
    </row>
    <row r="1842" spans="1:21">
      <c r="A1842" s="14" t="s">
        <v>9174</v>
      </c>
      <c r="B1842" s="14">
        <v>31.81785075</v>
      </c>
      <c r="C1842" s="14">
        <v>3.096707617</v>
      </c>
      <c r="D1842" s="14">
        <v>60.53899388</v>
      </c>
      <c r="E1842" s="14">
        <v>19.65087736</v>
      </c>
      <c r="F1842" s="14">
        <v>4.296521821</v>
      </c>
      <c r="G1842" s="14">
        <v>0.001163396</v>
      </c>
      <c r="H1842" s="14">
        <v>0.004180668</v>
      </c>
      <c r="I1842" s="14" t="s">
        <v>164</v>
      </c>
      <c r="J1842" s="14">
        <v>0.916128962</v>
      </c>
      <c r="K1842" s="14">
        <v>8.12610464</v>
      </c>
      <c r="L1842" s="14">
        <v>1.378272274</v>
      </c>
      <c r="M1842" s="14">
        <v>0.097979386</v>
      </c>
      <c r="N1842" s="14">
        <v>0.32899856</v>
      </c>
      <c r="O1842" s="14">
        <v>0</v>
      </c>
      <c r="P1842" s="14" t="s">
        <v>9175</v>
      </c>
      <c r="Q1842" s="14" t="s">
        <v>9176</v>
      </c>
      <c r="T1842" s="14" t="s">
        <v>9177</v>
      </c>
      <c r="U1842" s="14" t="s">
        <v>9178</v>
      </c>
    </row>
    <row r="1843" spans="1:21">
      <c r="A1843" s="14" t="s">
        <v>9179</v>
      </c>
      <c r="B1843" s="14">
        <v>1269.720662</v>
      </c>
      <c r="C1843" s="14">
        <v>826.1720688</v>
      </c>
      <c r="D1843" s="14">
        <v>1713.269255</v>
      </c>
      <c r="E1843" s="14">
        <v>2.073307032</v>
      </c>
      <c r="F1843" s="14">
        <v>1.051933778</v>
      </c>
      <c r="G1843" s="51" t="s">
        <v>6753</v>
      </c>
      <c r="H1843" s="51" t="s">
        <v>6754</v>
      </c>
      <c r="I1843" s="14" t="s">
        <v>164</v>
      </c>
      <c r="J1843" s="14">
        <v>15.2492523</v>
      </c>
      <c r="K1843" s="14">
        <v>19.98118177</v>
      </c>
      <c r="L1843" s="14">
        <v>21.95519285</v>
      </c>
      <c r="M1843" s="14">
        <v>6.792069595</v>
      </c>
      <c r="N1843" s="14">
        <v>6.23601561</v>
      </c>
      <c r="O1843" s="14">
        <v>9.88031183</v>
      </c>
      <c r="P1843" s="14" t="s">
        <v>9180</v>
      </c>
      <c r="Q1843" s="14" t="s">
        <v>9181</v>
      </c>
      <c r="T1843" s="14" t="s">
        <v>1945</v>
      </c>
      <c r="U1843" s="14" t="s">
        <v>1946</v>
      </c>
    </row>
    <row r="1844" spans="1:15">
      <c r="A1844" s="14" t="s">
        <v>9182</v>
      </c>
      <c r="B1844" s="14">
        <v>225.5452149</v>
      </c>
      <c r="C1844" s="14">
        <v>108.028368</v>
      </c>
      <c r="D1844" s="14">
        <v>343.0620619</v>
      </c>
      <c r="E1844" s="14">
        <v>3.169769511</v>
      </c>
      <c r="F1844" s="14">
        <v>1.664377939</v>
      </c>
      <c r="G1844" s="14">
        <v>0.000182214</v>
      </c>
      <c r="H1844" s="14">
        <v>0.000809389</v>
      </c>
      <c r="I1844" s="14" t="s">
        <v>164</v>
      </c>
      <c r="J1844" s="14">
        <v>2.687625728</v>
      </c>
      <c r="K1844" s="14">
        <v>2.280395938</v>
      </c>
      <c r="L1844" s="14">
        <v>2.730356271</v>
      </c>
      <c r="M1844" s="14">
        <v>0.380085675</v>
      </c>
      <c r="N1844" s="14">
        <v>0.455808852</v>
      </c>
      <c r="O1844" s="14">
        <v>1.220971371</v>
      </c>
    </row>
    <row r="1845" spans="1:21">
      <c r="A1845" s="14" t="s">
        <v>9183</v>
      </c>
      <c r="B1845" s="14">
        <v>34.034365</v>
      </c>
      <c r="C1845" s="14">
        <v>67.09267146</v>
      </c>
      <c r="D1845" s="14">
        <v>0.976058537</v>
      </c>
      <c r="E1845" s="14">
        <v>0.014595808</v>
      </c>
      <c r="F1845" s="14">
        <v>-6.098302064</v>
      </c>
      <c r="G1845" s="51" t="s">
        <v>8482</v>
      </c>
      <c r="H1845" s="51" t="s">
        <v>8483</v>
      </c>
      <c r="I1845" s="14" t="s">
        <v>147</v>
      </c>
      <c r="J1845" s="14">
        <v>0.025851587</v>
      </c>
      <c r="K1845" s="14">
        <v>0</v>
      </c>
      <c r="L1845" s="14">
        <v>0.012445593</v>
      </c>
      <c r="M1845" s="14">
        <v>1.050627834</v>
      </c>
      <c r="N1845" s="14">
        <v>0.859412283</v>
      </c>
      <c r="O1845" s="14">
        <v>0.183942982</v>
      </c>
      <c r="P1845" s="14" t="s">
        <v>9184</v>
      </c>
      <c r="Q1845" s="14" t="s">
        <v>9185</v>
      </c>
      <c r="T1845" s="14" t="s">
        <v>9186</v>
      </c>
      <c r="U1845" s="14" t="s">
        <v>9187</v>
      </c>
    </row>
    <row r="1846" spans="1:21">
      <c r="A1846" s="14" t="s">
        <v>9188</v>
      </c>
      <c r="B1846" s="14">
        <v>41.92915354</v>
      </c>
      <c r="C1846" s="14">
        <v>73.99942238</v>
      </c>
      <c r="D1846" s="14">
        <v>9.858884707</v>
      </c>
      <c r="E1846" s="14">
        <v>0.133171022</v>
      </c>
      <c r="F1846" s="14">
        <v>-2.908647903</v>
      </c>
      <c r="G1846" s="51" t="s">
        <v>9189</v>
      </c>
      <c r="H1846" s="14">
        <v>0.000299606</v>
      </c>
      <c r="I1846" s="14" t="s">
        <v>147</v>
      </c>
      <c r="J1846" s="14">
        <v>0.891909461</v>
      </c>
      <c r="K1846" s="14">
        <v>0.577114401</v>
      </c>
      <c r="L1846" s="14">
        <v>0.429387261</v>
      </c>
      <c r="M1846" s="14">
        <v>4.57867805</v>
      </c>
      <c r="N1846" s="14">
        <v>5.438578491</v>
      </c>
      <c r="O1846" s="14">
        <v>1.439904168</v>
      </c>
      <c r="Q1846" s="14" t="s">
        <v>9190</v>
      </c>
      <c r="T1846" s="14" t="s">
        <v>9191</v>
      </c>
      <c r="U1846" s="14" t="s">
        <v>9192</v>
      </c>
    </row>
    <row r="1847" spans="1:21">
      <c r="A1847" s="14" t="s">
        <v>9193</v>
      </c>
      <c r="B1847" s="14">
        <v>99.36789091</v>
      </c>
      <c r="C1847" s="14">
        <v>136.8663489</v>
      </c>
      <c r="D1847" s="14">
        <v>61.86943296</v>
      </c>
      <c r="E1847" s="14">
        <v>0.451346414</v>
      </c>
      <c r="F1847" s="14">
        <v>-1.14769295</v>
      </c>
      <c r="G1847" s="14">
        <v>0.002442985</v>
      </c>
      <c r="H1847" s="14">
        <v>0.007962836</v>
      </c>
      <c r="I1847" s="14" t="s">
        <v>147</v>
      </c>
      <c r="J1847" s="14">
        <v>0.749747826</v>
      </c>
      <c r="K1847" s="14">
        <v>1.034141204</v>
      </c>
      <c r="L1847" s="14">
        <v>0.815473159</v>
      </c>
      <c r="M1847" s="14">
        <v>1.24732274</v>
      </c>
      <c r="N1847" s="14">
        <v>1.162467857</v>
      </c>
      <c r="O1847" s="14">
        <v>2.417474377</v>
      </c>
      <c r="P1847" s="14" t="s">
        <v>9194</v>
      </c>
      <c r="Q1847" s="14" t="s">
        <v>9195</v>
      </c>
      <c r="T1847" s="14" t="s">
        <v>9191</v>
      </c>
      <c r="U1847" s="14" t="s">
        <v>9192</v>
      </c>
    </row>
    <row r="1848" spans="1:21">
      <c r="A1848" s="14" t="s">
        <v>9196</v>
      </c>
      <c r="B1848" s="14">
        <v>16.07487444</v>
      </c>
      <c r="C1848" s="14">
        <v>26.58313215</v>
      </c>
      <c r="D1848" s="14">
        <v>5.566616743</v>
      </c>
      <c r="E1848" s="14">
        <v>0.209673938</v>
      </c>
      <c r="F1848" s="14">
        <v>-2.253780549</v>
      </c>
      <c r="G1848" s="14">
        <v>0.00062077</v>
      </c>
      <c r="H1848" s="14">
        <v>0.002406482</v>
      </c>
      <c r="I1848" s="14" t="s">
        <v>147</v>
      </c>
      <c r="J1848" s="14">
        <v>0.36327773</v>
      </c>
      <c r="K1848" s="14">
        <v>0.26117849</v>
      </c>
      <c r="L1848" s="14">
        <v>0.249844113</v>
      </c>
      <c r="M1848" s="14">
        <v>1.376481931</v>
      </c>
      <c r="N1848" s="14">
        <v>1.192773805</v>
      </c>
      <c r="O1848" s="14">
        <v>0.82541323</v>
      </c>
      <c r="Q1848" s="14" t="s">
        <v>9190</v>
      </c>
      <c r="T1848" s="14" t="s">
        <v>9191</v>
      </c>
      <c r="U1848" s="14" t="s">
        <v>9192</v>
      </c>
    </row>
    <row r="1849" spans="1:21">
      <c r="A1849" s="14" t="s">
        <v>9197</v>
      </c>
      <c r="B1849" s="14">
        <v>856.2276326</v>
      </c>
      <c r="C1849" s="14">
        <v>554.1390648</v>
      </c>
      <c r="D1849" s="14">
        <v>1158.3162</v>
      </c>
      <c r="E1849" s="14">
        <v>2.089082874</v>
      </c>
      <c r="F1849" s="14">
        <v>1.062869725</v>
      </c>
      <c r="G1849" s="51" t="s">
        <v>9198</v>
      </c>
      <c r="H1849" s="51" t="s">
        <v>9199</v>
      </c>
      <c r="I1849" s="14" t="s">
        <v>164</v>
      </c>
      <c r="J1849" s="14">
        <v>12.84794468</v>
      </c>
      <c r="K1849" s="14">
        <v>10.94395297</v>
      </c>
      <c r="L1849" s="14">
        <v>13.08880079</v>
      </c>
      <c r="M1849" s="14">
        <v>4.062690342</v>
      </c>
      <c r="N1849" s="14">
        <v>4.50991354</v>
      </c>
      <c r="O1849" s="14">
        <v>6.067829669</v>
      </c>
      <c r="P1849" s="14" t="s">
        <v>9200</v>
      </c>
      <c r="Q1849" s="14" t="s">
        <v>9201</v>
      </c>
      <c r="T1849" s="14" t="s">
        <v>9202</v>
      </c>
      <c r="U1849" s="14" t="s">
        <v>9203</v>
      </c>
    </row>
    <row r="1850" spans="1:21">
      <c r="A1850" s="14" t="s">
        <v>9204</v>
      </c>
      <c r="B1850" s="14">
        <v>5.533496079</v>
      </c>
      <c r="C1850" s="14">
        <v>10.73071716</v>
      </c>
      <c r="D1850" s="14">
        <v>0.336274994</v>
      </c>
      <c r="E1850" s="14">
        <v>0.032775479</v>
      </c>
      <c r="F1850" s="14">
        <v>-4.931239323</v>
      </c>
      <c r="G1850" s="14">
        <v>0.012033872</v>
      </c>
      <c r="H1850" s="14">
        <v>0.031597784</v>
      </c>
      <c r="I1850" s="14" t="s">
        <v>147</v>
      </c>
      <c r="J1850" s="14">
        <v>0</v>
      </c>
      <c r="K1850" s="14">
        <v>0.023779934</v>
      </c>
      <c r="L1850" s="14">
        <v>0</v>
      </c>
      <c r="M1850" s="14">
        <v>0.2223539</v>
      </c>
      <c r="N1850" s="14">
        <v>0.368465565</v>
      </c>
      <c r="O1850" s="14">
        <v>0.01977703</v>
      </c>
      <c r="P1850" s="14" t="s">
        <v>9205</v>
      </c>
      <c r="Q1850" s="14" t="s">
        <v>9206</v>
      </c>
      <c r="T1850" s="14" t="s">
        <v>9207</v>
      </c>
      <c r="U1850" s="14" t="s">
        <v>9208</v>
      </c>
    </row>
    <row r="1851" spans="1:15">
      <c r="A1851" s="14" t="s">
        <v>9209</v>
      </c>
      <c r="B1851" s="14">
        <v>67.32462292</v>
      </c>
      <c r="C1851" s="14">
        <v>7.900389544</v>
      </c>
      <c r="D1851" s="14">
        <v>126.7488563</v>
      </c>
      <c r="E1851" s="14">
        <v>15.9183897</v>
      </c>
      <c r="F1851" s="14">
        <v>3.992622495</v>
      </c>
      <c r="G1851" s="51" t="s">
        <v>6873</v>
      </c>
      <c r="H1851" s="51" t="s">
        <v>1070</v>
      </c>
      <c r="I1851" s="14" t="s">
        <v>164</v>
      </c>
      <c r="J1851" s="14">
        <v>13.96642238</v>
      </c>
      <c r="K1851" s="14">
        <v>15.60728034</v>
      </c>
      <c r="L1851" s="14">
        <v>12.60047142</v>
      </c>
      <c r="M1851" s="14">
        <v>0.752730518</v>
      </c>
      <c r="N1851" s="14">
        <v>0.180538892</v>
      </c>
      <c r="O1851" s="14">
        <v>1.288803113</v>
      </c>
    </row>
    <row r="1852" spans="1:15">
      <c r="A1852" s="14" t="s">
        <v>9210</v>
      </c>
      <c r="B1852" s="14">
        <v>8.50167939</v>
      </c>
      <c r="C1852" s="14">
        <v>0</v>
      </c>
      <c r="D1852" s="14">
        <v>17.00335878</v>
      </c>
      <c r="E1852" s="14">
        <v>91.70772422</v>
      </c>
      <c r="F1852" s="14">
        <v>6.518971347</v>
      </c>
      <c r="G1852" s="51" t="s">
        <v>504</v>
      </c>
      <c r="H1852" s="14">
        <v>0.000113036</v>
      </c>
      <c r="I1852" s="14" t="s">
        <v>164</v>
      </c>
      <c r="J1852" s="14">
        <v>1.880226329</v>
      </c>
      <c r="K1852" s="14">
        <v>1.069676152</v>
      </c>
      <c r="L1852" s="14">
        <v>1.259391209</v>
      </c>
      <c r="M1852" s="14">
        <v>0</v>
      </c>
      <c r="N1852" s="14">
        <v>0</v>
      </c>
      <c r="O1852" s="14">
        <v>0</v>
      </c>
    </row>
    <row r="1853" spans="1:21">
      <c r="A1853" s="14" t="s">
        <v>9211</v>
      </c>
      <c r="B1853" s="14">
        <v>1396.96735</v>
      </c>
      <c r="C1853" s="14">
        <v>649.4278763</v>
      </c>
      <c r="D1853" s="14">
        <v>2144.506823</v>
      </c>
      <c r="E1853" s="14">
        <v>3.301865407</v>
      </c>
      <c r="F1853" s="14">
        <v>1.723281313</v>
      </c>
      <c r="G1853" s="51" t="s">
        <v>9212</v>
      </c>
      <c r="H1853" s="51" t="s">
        <v>9213</v>
      </c>
      <c r="I1853" s="14" t="s">
        <v>164</v>
      </c>
      <c r="J1853" s="14">
        <v>10.40761056</v>
      </c>
      <c r="K1853" s="14">
        <v>7.188678854</v>
      </c>
      <c r="L1853" s="14">
        <v>6.423967792</v>
      </c>
      <c r="M1853" s="14">
        <v>1.818319373</v>
      </c>
      <c r="N1853" s="14">
        <v>2.011905154</v>
      </c>
      <c r="O1853" s="14">
        <v>2.178826265</v>
      </c>
      <c r="P1853" s="14" t="s">
        <v>9214</v>
      </c>
      <c r="Q1853" s="14" t="s">
        <v>9215</v>
      </c>
      <c r="R1853" s="14" t="s">
        <v>9216</v>
      </c>
      <c r="S1853" s="14" t="s">
        <v>9217</v>
      </c>
      <c r="T1853" s="14" t="s">
        <v>9218</v>
      </c>
      <c r="U1853" s="14" t="s">
        <v>9219</v>
      </c>
    </row>
    <row r="1854" spans="1:21">
      <c r="A1854" s="14" t="s">
        <v>9220</v>
      </c>
      <c r="B1854" s="14">
        <v>249.9625479</v>
      </c>
      <c r="C1854" s="14">
        <v>165.2364605</v>
      </c>
      <c r="D1854" s="14">
        <v>334.6886353</v>
      </c>
      <c r="E1854" s="14">
        <v>2.023609557</v>
      </c>
      <c r="F1854" s="14">
        <v>1.016930958</v>
      </c>
      <c r="G1854" s="14">
        <v>0.002142919</v>
      </c>
      <c r="H1854" s="14">
        <v>0.007121608</v>
      </c>
      <c r="I1854" s="14" t="s">
        <v>164</v>
      </c>
      <c r="J1854" s="14">
        <v>4.18730109</v>
      </c>
      <c r="K1854" s="14">
        <v>2.627449585</v>
      </c>
      <c r="L1854" s="14">
        <v>4.000963853</v>
      </c>
      <c r="M1854" s="14">
        <v>1.185094761</v>
      </c>
      <c r="N1854" s="14">
        <v>1.119466072</v>
      </c>
      <c r="O1854" s="14">
        <v>2.15841075</v>
      </c>
      <c r="P1854" s="14" t="s">
        <v>9221</v>
      </c>
      <c r="Q1854" s="14" t="s">
        <v>9222</v>
      </c>
      <c r="T1854" s="14" t="s">
        <v>9223</v>
      </c>
      <c r="U1854" s="14" t="s">
        <v>9224</v>
      </c>
    </row>
    <row r="1855" spans="1:15">
      <c r="A1855" s="14" t="s">
        <v>9225</v>
      </c>
      <c r="B1855" s="14">
        <v>216.5150684</v>
      </c>
      <c r="C1855" s="14">
        <v>131.6200006</v>
      </c>
      <c r="D1855" s="14">
        <v>301.4101361</v>
      </c>
      <c r="E1855" s="14">
        <v>2.286431139</v>
      </c>
      <c r="F1855" s="14">
        <v>1.19309747</v>
      </c>
      <c r="G1855" s="14">
        <v>0.000132382</v>
      </c>
      <c r="H1855" s="14">
        <v>0.000609649</v>
      </c>
      <c r="I1855" s="14" t="s">
        <v>164</v>
      </c>
      <c r="J1855" s="14">
        <v>3.578439788</v>
      </c>
      <c r="K1855" s="14">
        <v>3.037945447</v>
      </c>
      <c r="L1855" s="14">
        <v>3.830778147</v>
      </c>
      <c r="M1855" s="14">
        <v>0.987958806</v>
      </c>
      <c r="N1855" s="14">
        <v>0.929060289</v>
      </c>
      <c r="O1855" s="14">
        <v>1.90449371</v>
      </c>
    </row>
    <row r="1856" spans="1:15">
      <c r="A1856" s="14" t="s">
        <v>9226</v>
      </c>
      <c r="B1856" s="14">
        <v>5.231330689</v>
      </c>
      <c r="C1856" s="14">
        <v>0.618177692</v>
      </c>
      <c r="D1856" s="14">
        <v>9.844483687</v>
      </c>
      <c r="E1856" s="14">
        <v>15.08832926</v>
      </c>
      <c r="F1856" s="14">
        <v>3.915361159</v>
      </c>
      <c r="G1856" s="14">
        <v>0.0093036</v>
      </c>
      <c r="H1856" s="14">
        <v>0.025390689</v>
      </c>
      <c r="I1856" s="14" t="s">
        <v>164</v>
      </c>
      <c r="J1856" s="14">
        <v>0.786181592</v>
      </c>
      <c r="K1856" s="14">
        <v>0.659429379</v>
      </c>
      <c r="L1856" s="14">
        <v>0.504649669</v>
      </c>
      <c r="M1856" s="14">
        <v>0</v>
      </c>
      <c r="N1856" s="14">
        <v>0</v>
      </c>
      <c r="O1856" s="14">
        <v>0.109685371</v>
      </c>
    </row>
    <row r="1857" spans="1:19">
      <c r="A1857" s="14" t="s">
        <v>9227</v>
      </c>
      <c r="B1857" s="14">
        <v>272.7247166</v>
      </c>
      <c r="C1857" s="14">
        <v>416.8407113</v>
      </c>
      <c r="D1857" s="14">
        <v>128.608722</v>
      </c>
      <c r="E1857" s="14">
        <v>0.308607971</v>
      </c>
      <c r="F1857" s="14">
        <v>-1.69615277</v>
      </c>
      <c r="G1857" s="51" t="s">
        <v>4044</v>
      </c>
      <c r="H1857" s="14">
        <v>0.000146545</v>
      </c>
      <c r="I1857" s="14" t="s">
        <v>147</v>
      </c>
      <c r="J1857" s="14">
        <v>3.082324693</v>
      </c>
      <c r="K1857" s="14">
        <v>4.34343262</v>
      </c>
      <c r="L1857" s="14">
        <v>3.480437117</v>
      </c>
      <c r="M1857" s="14">
        <v>10.81260476</v>
      </c>
      <c r="N1857" s="14">
        <v>12.25948526</v>
      </c>
      <c r="O1857" s="14">
        <v>5.535728641</v>
      </c>
      <c r="R1857" s="14" t="s">
        <v>2231</v>
      </c>
      <c r="S1857" s="14" t="s">
        <v>2232</v>
      </c>
    </row>
    <row r="1858" spans="1:15">
      <c r="A1858" s="14" t="s">
        <v>9228</v>
      </c>
      <c r="B1858" s="14">
        <v>273.6056627</v>
      </c>
      <c r="C1858" s="14">
        <v>144.7561749</v>
      </c>
      <c r="D1858" s="14">
        <v>402.4551506</v>
      </c>
      <c r="E1858" s="14">
        <v>2.780569496</v>
      </c>
      <c r="F1858" s="14">
        <v>1.475380396</v>
      </c>
      <c r="G1858" s="51" t="s">
        <v>9229</v>
      </c>
      <c r="H1858" s="51" t="s">
        <v>9230</v>
      </c>
      <c r="I1858" s="14" t="s">
        <v>164</v>
      </c>
      <c r="J1858" s="14">
        <v>4.107733896</v>
      </c>
      <c r="K1858" s="14">
        <v>4.468546136</v>
      </c>
      <c r="L1858" s="14">
        <v>5.387348783</v>
      </c>
      <c r="M1858" s="14">
        <v>1.566375645</v>
      </c>
      <c r="N1858" s="14">
        <v>0.873474294</v>
      </c>
      <c r="O1858" s="14">
        <v>1.714501912</v>
      </c>
    </row>
    <row r="1859" spans="1:17">
      <c r="A1859" s="14" t="s">
        <v>9231</v>
      </c>
      <c r="B1859" s="14">
        <v>811.5277982</v>
      </c>
      <c r="C1859" s="14">
        <v>283.8610782</v>
      </c>
      <c r="D1859" s="14">
        <v>1339.194518</v>
      </c>
      <c r="E1859" s="14">
        <v>4.717567722</v>
      </c>
      <c r="F1859" s="14">
        <v>2.238043228</v>
      </c>
      <c r="G1859" s="51" t="s">
        <v>4966</v>
      </c>
      <c r="H1859" s="51" t="s">
        <v>9232</v>
      </c>
      <c r="I1859" s="14" t="s">
        <v>164</v>
      </c>
      <c r="J1859" s="14">
        <v>13.36257572</v>
      </c>
      <c r="K1859" s="14">
        <v>40.10563452</v>
      </c>
      <c r="L1859" s="14">
        <v>21.94602458</v>
      </c>
      <c r="M1859" s="14">
        <v>4.098002631</v>
      </c>
      <c r="N1859" s="14">
        <v>4.344588917</v>
      </c>
      <c r="O1859" s="14">
        <v>4.773858472</v>
      </c>
      <c r="P1859" s="14" t="s">
        <v>9233</v>
      </c>
      <c r="Q1859" s="14" t="s">
        <v>9234</v>
      </c>
    </row>
    <row r="1860" spans="1:21">
      <c r="A1860" s="14" t="s">
        <v>9235</v>
      </c>
      <c r="B1860" s="14">
        <v>376.4925906</v>
      </c>
      <c r="C1860" s="14">
        <v>600.8473935</v>
      </c>
      <c r="D1860" s="14">
        <v>152.1377876</v>
      </c>
      <c r="E1860" s="14">
        <v>0.253360939</v>
      </c>
      <c r="F1860" s="14">
        <v>-1.980733975</v>
      </c>
      <c r="G1860" s="51" t="s">
        <v>9236</v>
      </c>
      <c r="H1860" s="51" t="s">
        <v>8409</v>
      </c>
      <c r="I1860" s="14" t="s">
        <v>147</v>
      </c>
      <c r="J1860" s="14">
        <v>4.343275704</v>
      </c>
      <c r="K1860" s="14">
        <v>1.917879339</v>
      </c>
      <c r="L1860" s="14">
        <v>6.71805304</v>
      </c>
      <c r="M1860" s="14">
        <v>13.16212864</v>
      </c>
      <c r="N1860" s="14">
        <v>14.53657539</v>
      </c>
      <c r="O1860" s="14">
        <v>14.26153819</v>
      </c>
      <c r="Q1860" s="14" t="s">
        <v>9237</v>
      </c>
      <c r="T1860" s="14" t="s">
        <v>2445</v>
      </c>
      <c r="U1860" s="14" t="s">
        <v>2446</v>
      </c>
    </row>
    <row r="1861" spans="1:15">
      <c r="A1861" s="14" t="s">
        <v>9238</v>
      </c>
      <c r="B1861" s="14">
        <v>323.2742494</v>
      </c>
      <c r="C1861" s="14">
        <v>134.1521412</v>
      </c>
      <c r="D1861" s="14">
        <v>512.3963576</v>
      </c>
      <c r="E1861" s="14">
        <v>3.815165875</v>
      </c>
      <c r="F1861" s="14">
        <v>1.931745784</v>
      </c>
      <c r="G1861" s="51" t="s">
        <v>9239</v>
      </c>
      <c r="H1861" s="14">
        <v>0.000200776</v>
      </c>
      <c r="I1861" s="14" t="s">
        <v>164</v>
      </c>
      <c r="J1861" s="14">
        <v>17.11776568</v>
      </c>
      <c r="K1861" s="14">
        <v>12.93048834</v>
      </c>
      <c r="L1861" s="14">
        <v>21.45507214</v>
      </c>
      <c r="M1861" s="14">
        <v>2.662885383</v>
      </c>
      <c r="N1861" s="14">
        <v>1.956808638</v>
      </c>
      <c r="O1861" s="14">
        <v>6.790468017</v>
      </c>
    </row>
    <row r="1862" spans="1:21">
      <c r="A1862" s="14" t="s">
        <v>9240</v>
      </c>
      <c r="B1862" s="14">
        <v>38358.69867</v>
      </c>
      <c r="C1862" s="14">
        <v>18057.31739</v>
      </c>
      <c r="D1862" s="14">
        <v>58660.07996</v>
      </c>
      <c r="E1862" s="14">
        <v>3.248517436</v>
      </c>
      <c r="F1862" s="14">
        <v>1.699781449</v>
      </c>
      <c r="G1862" s="51" t="s">
        <v>9241</v>
      </c>
      <c r="H1862" s="51" t="s">
        <v>9242</v>
      </c>
      <c r="I1862" s="14" t="s">
        <v>164</v>
      </c>
      <c r="J1862" s="14">
        <v>1393.040011</v>
      </c>
      <c r="K1862" s="14">
        <v>1348.862276</v>
      </c>
      <c r="L1862" s="14">
        <v>1569.065095</v>
      </c>
      <c r="M1862" s="14">
        <v>336.4972133</v>
      </c>
      <c r="N1862" s="14">
        <v>350.333588</v>
      </c>
      <c r="O1862" s="14">
        <v>408.4186622</v>
      </c>
      <c r="P1862" s="14" t="s">
        <v>9243</v>
      </c>
      <c r="Q1862" s="14" t="s">
        <v>9244</v>
      </c>
      <c r="T1862" s="14" t="s">
        <v>9245</v>
      </c>
      <c r="U1862" s="14" t="s">
        <v>9246</v>
      </c>
    </row>
    <row r="1863" spans="1:21">
      <c r="A1863" s="14" t="s">
        <v>9247</v>
      </c>
      <c r="B1863" s="14">
        <v>817.1534322</v>
      </c>
      <c r="C1863" s="14">
        <v>1335.876658</v>
      </c>
      <c r="D1863" s="14">
        <v>298.4302065</v>
      </c>
      <c r="E1863" s="14">
        <v>0.22332957</v>
      </c>
      <c r="F1863" s="14">
        <v>-2.162753814</v>
      </c>
      <c r="G1863" s="51" t="s">
        <v>6678</v>
      </c>
      <c r="H1863" s="51" t="s">
        <v>6679</v>
      </c>
      <c r="I1863" s="14" t="s">
        <v>147</v>
      </c>
      <c r="J1863" s="14">
        <v>3.247915042</v>
      </c>
      <c r="K1863" s="14">
        <v>5.541563011</v>
      </c>
      <c r="L1863" s="14">
        <v>3.114540758</v>
      </c>
      <c r="M1863" s="14">
        <v>10.27966666</v>
      </c>
      <c r="N1863" s="14">
        <v>9.916307234</v>
      </c>
      <c r="O1863" s="14">
        <v>24.90048664</v>
      </c>
      <c r="P1863" s="14" t="s">
        <v>9248</v>
      </c>
      <c r="Q1863" s="14" t="s">
        <v>9249</v>
      </c>
      <c r="T1863" s="14" t="s">
        <v>7944</v>
      </c>
      <c r="U1863" s="14" t="s">
        <v>7945</v>
      </c>
    </row>
    <row r="1864" spans="1:21">
      <c r="A1864" s="14" t="s">
        <v>9250</v>
      </c>
      <c r="B1864" s="14">
        <v>130.8904737</v>
      </c>
      <c r="C1864" s="14">
        <v>206.703117</v>
      </c>
      <c r="D1864" s="14">
        <v>55.07783043</v>
      </c>
      <c r="E1864" s="14">
        <v>0.266174819</v>
      </c>
      <c r="F1864" s="14">
        <v>-1.909554003</v>
      </c>
      <c r="G1864" s="14">
        <v>0.000641692</v>
      </c>
      <c r="H1864" s="14">
        <v>0.00247788</v>
      </c>
      <c r="I1864" s="14" t="s">
        <v>147</v>
      </c>
      <c r="J1864" s="14">
        <v>4.437686778</v>
      </c>
      <c r="K1864" s="14">
        <v>8.659859346</v>
      </c>
      <c r="L1864" s="14">
        <v>1.918410873</v>
      </c>
      <c r="M1864" s="14">
        <v>17.1246193</v>
      </c>
      <c r="N1864" s="14">
        <v>13.82715516</v>
      </c>
      <c r="O1864" s="14">
        <v>15.61726126</v>
      </c>
      <c r="P1864" s="14" t="s">
        <v>9251</v>
      </c>
      <c r="Q1864" s="14" t="s">
        <v>9252</v>
      </c>
      <c r="T1864" s="14" t="s">
        <v>9253</v>
      </c>
      <c r="U1864" s="14" t="s">
        <v>9254</v>
      </c>
    </row>
    <row r="1865" spans="1:21">
      <c r="A1865" s="14" t="s">
        <v>9255</v>
      </c>
      <c r="B1865" s="14">
        <v>1213.967937</v>
      </c>
      <c r="C1865" s="14">
        <v>698.5233813</v>
      </c>
      <c r="D1865" s="14">
        <v>1729.412492</v>
      </c>
      <c r="E1865" s="14">
        <v>2.476439325</v>
      </c>
      <c r="F1865" s="14">
        <v>1.308267274</v>
      </c>
      <c r="G1865" s="51" t="s">
        <v>9256</v>
      </c>
      <c r="H1865" s="51" t="s">
        <v>8426</v>
      </c>
      <c r="I1865" s="14" t="s">
        <v>164</v>
      </c>
      <c r="J1865" s="14">
        <v>25.53733016</v>
      </c>
      <c r="K1865" s="14">
        <v>14.52590386</v>
      </c>
      <c r="L1865" s="14">
        <v>19.63140103</v>
      </c>
      <c r="M1865" s="14">
        <v>7.240970579</v>
      </c>
      <c r="N1865" s="14">
        <v>6.572862308</v>
      </c>
      <c r="O1865" s="14">
        <v>5.902114381</v>
      </c>
      <c r="P1865" s="14" t="s">
        <v>9257</v>
      </c>
      <c r="Q1865" s="14" t="s">
        <v>9258</v>
      </c>
      <c r="T1865" s="14" t="s">
        <v>9259</v>
      </c>
      <c r="U1865" s="14" t="s">
        <v>9260</v>
      </c>
    </row>
    <row r="1866" spans="1:21">
      <c r="A1866" s="14" t="s">
        <v>9261</v>
      </c>
      <c r="B1866" s="14">
        <v>75.19186438</v>
      </c>
      <c r="C1866" s="14">
        <v>6.385609223</v>
      </c>
      <c r="D1866" s="14">
        <v>143.9981195</v>
      </c>
      <c r="E1866" s="14">
        <v>22.87566476</v>
      </c>
      <c r="F1866" s="14">
        <v>4.515741763</v>
      </c>
      <c r="G1866" s="51" t="s">
        <v>5319</v>
      </c>
      <c r="H1866" s="51" t="s">
        <v>9262</v>
      </c>
      <c r="I1866" s="14" t="s">
        <v>164</v>
      </c>
      <c r="J1866" s="14">
        <v>7.840192062</v>
      </c>
      <c r="K1866" s="14">
        <v>8.549003118</v>
      </c>
      <c r="L1866" s="14">
        <v>7.339232166</v>
      </c>
      <c r="M1866" s="14">
        <v>0.69875279</v>
      </c>
      <c r="N1866" s="14">
        <v>0.044691356</v>
      </c>
      <c r="O1866" s="14">
        <v>0.091153069</v>
      </c>
      <c r="P1866" s="14" t="s">
        <v>9263</v>
      </c>
      <c r="Q1866" s="14" t="s">
        <v>9264</v>
      </c>
      <c r="T1866" s="14" t="s">
        <v>9265</v>
      </c>
      <c r="U1866" s="14" t="s">
        <v>9266</v>
      </c>
    </row>
    <row r="1867" spans="1:21">
      <c r="A1867" s="14" t="s">
        <v>9267</v>
      </c>
      <c r="B1867" s="14">
        <v>253.1488609</v>
      </c>
      <c r="C1867" s="14">
        <v>485.9925547</v>
      </c>
      <c r="D1867" s="14">
        <v>20.30516719</v>
      </c>
      <c r="E1867" s="14">
        <v>0.041777085</v>
      </c>
      <c r="F1867" s="14">
        <v>-4.581144361</v>
      </c>
      <c r="G1867" s="51" t="s">
        <v>9268</v>
      </c>
      <c r="H1867" s="51" t="s">
        <v>9269</v>
      </c>
      <c r="I1867" s="14" t="s">
        <v>147</v>
      </c>
      <c r="J1867" s="14">
        <v>0.171515218</v>
      </c>
      <c r="K1867" s="14">
        <v>0.11951667</v>
      </c>
      <c r="L1867" s="14">
        <v>0.114329998</v>
      </c>
      <c r="M1867" s="14">
        <v>2.850288199</v>
      </c>
      <c r="N1867" s="14">
        <v>4.705528556</v>
      </c>
      <c r="O1867" s="14">
        <v>0.154619559</v>
      </c>
      <c r="P1867" s="14" t="s">
        <v>9270</v>
      </c>
      <c r="Q1867" s="14" t="s">
        <v>9271</v>
      </c>
      <c r="T1867" s="14" t="s">
        <v>9272</v>
      </c>
      <c r="U1867" s="14" t="s">
        <v>9273</v>
      </c>
    </row>
    <row r="1868" spans="1:21">
      <c r="A1868" s="14" t="s">
        <v>9274</v>
      </c>
      <c r="B1868" s="14">
        <v>113.4041419</v>
      </c>
      <c r="C1868" s="14">
        <v>170.5896234</v>
      </c>
      <c r="D1868" s="14">
        <v>56.21866042</v>
      </c>
      <c r="E1868" s="14">
        <v>0.329211308</v>
      </c>
      <c r="F1868" s="14">
        <v>-1.602914205</v>
      </c>
      <c r="G1868" s="14">
        <v>0.0090269</v>
      </c>
      <c r="H1868" s="14">
        <v>0.024745589</v>
      </c>
      <c r="I1868" s="14" t="s">
        <v>147</v>
      </c>
      <c r="J1868" s="14">
        <v>0.66878796</v>
      </c>
      <c r="K1868" s="14">
        <v>0.683673106</v>
      </c>
      <c r="L1868" s="14">
        <v>0.42258701</v>
      </c>
      <c r="M1868" s="14">
        <v>1.126541262</v>
      </c>
      <c r="N1868" s="14">
        <v>0.566124219</v>
      </c>
      <c r="O1868" s="14">
        <v>2.904180771</v>
      </c>
      <c r="P1868" s="14" t="s">
        <v>9275</v>
      </c>
      <c r="Q1868" s="14" t="s">
        <v>9276</v>
      </c>
      <c r="T1868" s="14" t="s">
        <v>9277</v>
      </c>
      <c r="U1868" s="14" t="s">
        <v>9278</v>
      </c>
    </row>
    <row r="1869" spans="1:21">
      <c r="A1869" s="14" t="s">
        <v>9279</v>
      </c>
      <c r="B1869" s="14">
        <v>9383.777003</v>
      </c>
      <c r="C1869" s="14">
        <v>13369.12824</v>
      </c>
      <c r="D1869" s="14">
        <v>5398.425764</v>
      </c>
      <c r="E1869" s="14">
        <v>0.403804929</v>
      </c>
      <c r="F1869" s="14">
        <v>-1.308269574</v>
      </c>
      <c r="G1869" s="51" t="s">
        <v>9280</v>
      </c>
      <c r="H1869" s="51" t="s">
        <v>9281</v>
      </c>
      <c r="I1869" s="14" t="s">
        <v>147</v>
      </c>
      <c r="J1869" s="14">
        <v>91.6400039</v>
      </c>
      <c r="K1869" s="14">
        <v>95.5398487</v>
      </c>
      <c r="L1869" s="14">
        <v>86.30195</v>
      </c>
      <c r="M1869" s="14">
        <v>205.1231572</v>
      </c>
      <c r="N1869" s="14">
        <v>203.6046981</v>
      </c>
      <c r="O1869" s="14">
        <v>143.2252503</v>
      </c>
      <c r="P1869" s="14" t="s">
        <v>9282</v>
      </c>
      <c r="Q1869" s="14" t="s">
        <v>9283</v>
      </c>
      <c r="T1869" s="14" t="s">
        <v>9284</v>
      </c>
      <c r="U1869" s="14" t="s">
        <v>9285</v>
      </c>
    </row>
    <row r="1870" spans="1:15">
      <c r="A1870" s="14" t="s">
        <v>9286</v>
      </c>
      <c r="B1870" s="14">
        <v>57.23675062</v>
      </c>
      <c r="C1870" s="14">
        <v>8.314328307</v>
      </c>
      <c r="D1870" s="14">
        <v>106.1591729</v>
      </c>
      <c r="E1870" s="14">
        <v>12.58562061</v>
      </c>
      <c r="F1870" s="14">
        <v>3.653704454</v>
      </c>
      <c r="G1870" s="51" t="s">
        <v>9287</v>
      </c>
      <c r="H1870" s="51" t="s">
        <v>9288</v>
      </c>
      <c r="I1870" s="14" t="s">
        <v>164</v>
      </c>
      <c r="J1870" s="14">
        <v>1.061390314</v>
      </c>
      <c r="K1870" s="14">
        <v>1.335401318</v>
      </c>
      <c r="L1870" s="14">
        <v>1.011739476</v>
      </c>
      <c r="M1870" s="14">
        <v>0.027243598</v>
      </c>
      <c r="N1870" s="14">
        <v>0.03484933</v>
      </c>
      <c r="O1870" s="14">
        <v>0.16881297</v>
      </c>
    </row>
    <row r="1871" spans="1:21">
      <c r="A1871" s="14" t="s">
        <v>9289</v>
      </c>
      <c r="B1871" s="14">
        <v>4979.79873</v>
      </c>
      <c r="C1871" s="14">
        <v>8219.688989</v>
      </c>
      <c r="D1871" s="14">
        <v>1739.90847</v>
      </c>
      <c r="E1871" s="14">
        <v>0.211676569</v>
      </c>
      <c r="F1871" s="14">
        <v>-2.24006651</v>
      </c>
      <c r="G1871" s="14">
        <v>0.003229421</v>
      </c>
      <c r="H1871" s="14">
        <v>0.010124194</v>
      </c>
      <c r="I1871" s="14" t="s">
        <v>147</v>
      </c>
      <c r="J1871" s="14">
        <v>7.544992464</v>
      </c>
      <c r="K1871" s="14">
        <v>21.58689432</v>
      </c>
      <c r="L1871" s="14">
        <v>10.63107849</v>
      </c>
      <c r="M1871" s="14">
        <v>68.64020511</v>
      </c>
      <c r="N1871" s="14">
        <v>73.53622206</v>
      </c>
      <c r="O1871" s="14">
        <v>7.58922729</v>
      </c>
      <c r="P1871" s="14" t="s">
        <v>9290</v>
      </c>
      <c r="Q1871" s="14" t="s">
        <v>9291</v>
      </c>
      <c r="R1871" s="14" t="s">
        <v>9292</v>
      </c>
      <c r="S1871" s="14" t="s">
        <v>9293</v>
      </c>
      <c r="T1871" s="14" t="s">
        <v>9294</v>
      </c>
      <c r="U1871" s="14" t="s">
        <v>9295</v>
      </c>
    </row>
    <row r="1872" spans="1:21">
      <c r="A1872" s="14" t="s">
        <v>9296</v>
      </c>
      <c r="B1872" s="14">
        <v>19.77444706</v>
      </c>
      <c r="C1872" s="14">
        <v>33.02583817</v>
      </c>
      <c r="D1872" s="14">
        <v>6.523055952</v>
      </c>
      <c r="E1872" s="14">
        <v>0.197913209</v>
      </c>
      <c r="F1872" s="14">
        <v>-2.33706019</v>
      </c>
      <c r="G1872" s="14">
        <v>0.000719361</v>
      </c>
      <c r="H1872" s="14">
        <v>0.002743306</v>
      </c>
      <c r="I1872" s="14" t="s">
        <v>147</v>
      </c>
      <c r="J1872" s="14">
        <v>0.074363778</v>
      </c>
      <c r="K1872" s="14">
        <v>0.22454809</v>
      </c>
      <c r="L1872" s="14">
        <v>0.190936324</v>
      </c>
      <c r="M1872" s="14">
        <v>0.74229463</v>
      </c>
      <c r="N1872" s="14">
        <v>0.813878369</v>
      </c>
      <c r="O1872" s="14">
        <v>0.456499135</v>
      </c>
      <c r="P1872" s="14" t="s">
        <v>9297</v>
      </c>
      <c r="Q1872" s="14" t="s">
        <v>9298</v>
      </c>
      <c r="T1872" s="14" t="s">
        <v>9299</v>
      </c>
      <c r="U1872" s="14" t="s">
        <v>9300</v>
      </c>
    </row>
    <row r="1873" spans="1:21">
      <c r="A1873" s="14" t="s">
        <v>9301</v>
      </c>
      <c r="B1873" s="14">
        <v>114.0554824</v>
      </c>
      <c r="C1873" s="14">
        <v>57.46248597</v>
      </c>
      <c r="D1873" s="14">
        <v>170.6484789</v>
      </c>
      <c r="E1873" s="14">
        <v>2.95937387</v>
      </c>
      <c r="F1873" s="14">
        <v>1.56529197</v>
      </c>
      <c r="G1873" s="51" t="s">
        <v>4443</v>
      </c>
      <c r="H1873" s="51" t="s">
        <v>9302</v>
      </c>
      <c r="I1873" s="14" t="s">
        <v>164</v>
      </c>
      <c r="J1873" s="14">
        <v>5.251715953</v>
      </c>
      <c r="K1873" s="14">
        <v>4.635423254</v>
      </c>
      <c r="L1873" s="14">
        <v>4.019358057</v>
      </c>
      <c r="M1873" s="14">
        <v>0.875625297</v>
      </c>
      <c r="N1873" s="14">
        <v>1.237980975</v>
      </c>
      <c r="O1873" s="14">
        <v>1.80357287</v>
      </c>
      <c r="P1873" s="14" t="s">
        <v>9303</v>
      </c>
      <c r="Q1873" s="14" t="s">
        <v>9304</v>
      </c>
      <c r="R1873" s="14" t="s">
        <v>4751</v>
      </c>
      <c r="S1873" s="14" t="s">
        <v>4752</v>
      </c>
      <c r="T1873" s="14" t="s">
        <v>9305</v>
      </c>
      <c r="U1873" s="14" t="s">
        <v>9306</v>
      </c>
    </row>
    <row r="1874" spans="1:21">
      <c r="A1874" s="14" t="s">
        <v>9307</v>
      </c>
      <c r="B1874" s="14">
        <v>326.7600202</v>
      </c>
      <c r="C1874" s="14">
        <v>548.8813782</v>
      </c>
      <c r="D1874" s="14">
        <v>104.6386622</v>
      </c>
      <c r="E1874" s="14">
        <v>0.190396739</v>
      </c>
      <c r="F1874" s="14">
        <v>-2.392919328</v>
      </c>
      <c r="G1874" s="51" t="s">
        <v>9308</v>
      </c>
      <c r="H1874" s="51" t="s">
        <v>9309</v>
      </c>
      <c r="I1874" s="14" t="s">
        <v>147</v>
      </c>
      <c r="J1874" s="14">
        <v>2.778538472</v>
      </c>
      <c r="K1874" s="14">
        <v>3.112828623</v>
      </c>
      <c r="L1874" s="14">
        <v>1.744770133</v>
      </c>
      <c r="M1874" s="14">
        <v>10.2947547</v>
      </c>
      <c r="N1874" s="14">
        <v>9.579107152</v>
      </c>
      <c r="O1874" s="14">
        <v>13.40939525</v>
      </c>
      <c r="P1874" s="14" t="s">
        <v>9310</v>
      </c>
      <c r="Q1874" s="14" t="s">
        <v>9311</v>
      </c>
      <c r="T1874" s="14" t="s">
        <v>9312</v>
      </c>
      <c r="U1874" s="14" t="s">
        <v>9313</v>
      </c>
    </row>
    <row r="1875" spans="1:21">
      <c r="A1875" s="14" t="s">
        <v>9314</v>
      </c>
      <c r="B1875" s="14">
        <v>6987.177416</v>
      </c>
      <c r="C1875" s="14">
        <v>2481.001112</v>
      </c>
      <c r="D1875" s="14">
        <v>11493.35372</v>
      </c>
      <c r="E1875" s="14">
        <v>4.632822688</v>
      </c>
      <c r="F1875" s="14">
        <v>2.211891467</v>
      </c>
      <c r="G1875" s="51" t="s">
        <v>9315</v>
      </c>
      <c r="H1875" s="51" t="s">
        <v>8323</v>
      </c>
      <c r="I1875" s="14" t="s">
        <v>164</v>
      </c>
      <c r="J1875" s="14">
        <v>142.1208294</v>
      </c>
      <c r="K1875" s="14">
        <v>80.11312424</v>
      </c>
      <c r="L1875" s="14">
        <v>162.0931428</v>
      </c>
      <c r="M1875" s="14">
        <v>26.00015545</v>
      </c>
      <c r="N1875" s="14">
        <v>30.48417486</v>
      </c>
      <c r="O1875" s="14">
        <v>10.10151284</v>
      </c>
      <c r="Q1875" s="14" t="s">
        <v>9316</v>
      </c>
      <c r="R1875" s="14" t="s">
        <v>9317</v>
      </c>
      <c r="S1875" s="14" t="s">
        <v>9318</v>
      </c>
      <c r="T1875" s="14" t="s">
        <v>9319</v>
      </c>
      <c r="U1875" s="14" t="s">
        <v>9320</v>
      </c>
    </row>
    <row r="1876" spans="1:21">
      <c r="A1876" s="14" t="s">
        <v>9321</v>
      </c>
      <c r="B1876" s="14">
        <v>950.1436032</v>
      </c>
      <c r="C1876" s="14">
        <v>579.8514158</v>
      </c>
      <c r="D1876" s="14">
        <v>1320.435791</v>
      </c>
      <c r="E1876" s="14">
        <v>2.276132142</v>
      </c>
      <c r="F1876" s="14">
        <v>1.186584317</v>
      </c>
      <c r="G1876" s="14">
        <v>0.000189987</v>
      </c>
      <c r="H1876" s="14">
        <v>0.000838303</v>
      </c>
      <c r="I1876" s="14" t="s">
        <v>164</v>
      </c>
      <c r="J1876" s="14">
        <v>7.391637321</v>
      </c>
      <c r="K1876" s="14">
        <v>7.243508774</v>
      </c>
      <c r="L1876" s="14">
        <v>8.33267626</v>
      </c>
      <c r="M1876" s="14">
        <v>1.949321081</v>
      </c>
      <c r="N1876" s="14">
        <v>2.053858891</v>
      </c>
      <c r="O1876" s="14">
        <v>4.482120415</v>
      </c>
      <c r="P1876" s="14" t="s">
        <v>9322</v>
      </c>
      <c r="Q1876" s="14" t="s">
        <v>9323</v>
      </c>
      <c r="T1876" s="14" t="s">
        <v>9324</v>
      </c>
      <c r="U1876" s="14" t="s">
        <v>9325</v>
      </c>
    </row>
    <row r="1877" spans="1:21">
      <c r="A1877" s="14" t="s">
        <v>9326</v>
      </c>
      <c r="B1877" s="14">
        <v>3599.299542</v>
      </c>
      <c r="C1877" s="14">
        <v>5401.754507</v>
      </c>
      <c r="D1877" s="14">
        <v>1796.844576</v>
      </c>
      <c r="E1877" s="14">
        <v>0.332625536</v>
      </c>
      <c r="F1877" s="14">
        <v>-1.588029163</v>
      </c>
      <c r="G1877" s="51" t="s">
        <v>9327</v>
      </c>
      <c r="H1877" s="51" t="s">
        <v>9328</v>
      </c>
      <c r="I1877" s="14" t="s">
        <v>147</v>
      </c>
      <c r="J1877" s="14">
        <v>8.311941807</v>
      </c>
      <c r="K1877" s="14">
        <v>16.88772483</v>
      </c>
      <c r="L1877" s="14">
        <v>9.705287574</v>
      </c>
      <c r="M1877" s="14">
        <v>27.94610266</v>
      </c>
      <c r="N1877" s="14">
        <v>27.61830452</v>
      </c>
      <c r="O1877" s="14">
        <v>31.14114245</v>
      </c>
      <c r="Q1877" s="14" t="s">
        <v>9329</v>
      </c>
      <c r="R1877" s="14" t="s">
        <v>5709</v>
      </c>
      <c r="S1877" s="14" t="s">
        <v>5710</v>
      </c>
      <c r="T1877" s="14" t="s">
        <v>9330</v>
      </c>
      <c r="U1877" s="14" t="s">
        <v>9331</v>
      </c>
    </row>
    <row r="1878" spans="1:21">
      <c r="A1878" s="14" t="s">
        <v>9332</v>
      </c>
      <c r="B1878" s="14">
        <v>545.8069696</v>
      </c>
      <c r="C1878" s="14">
        <v>237.1350588</v>
      </c>
      <c r="D1878" s="14">
        <v>854.4788804</v>
      </c>
      <c r="E1878" s="14">
        <v>3.601155285</v>
      </c>
      <c r="F1878" s="14">
        <v>1.848459811</v>
      </c>
      <c r="G1878" s="14">
        <v>0.009531766</v>
      </c>
      <c r="H1878" s="14">
        <v>0.025914126</v>
      </c>
      <c r="I1878" s="14" t="s">
        <v>164</v>
      </c>
      <c r="J1878" s="14">
        <v>14.9753989</v>
      </c>
      <c r="K1878" s="14">
        <v>13.15939972</v>
      </c>
      <c r="L1878" s="14">
        <v>15.43972904</v>
      </c>
      <c r="M1878" s="14">
        <v>1.094132885</v>
      </c>
      <c r="N1878" s="14">
        <v>1.173996075</v>
      </c>
      <c r="O1878" s="14">
        <v>8.239888758</v>
      </c>
      <c r="P1878" s="14" t="s">
        <v>9333</v>
      </c>
      <c r="Q1878" s="14" t="s">
        <v>9334</v>
      </c>
      <c r="T1878" s="14" t="s">
        <v>9335</v>
      </c>
      <c r="U1878" s="14" t="s">
        <v>9336</v>
      </c>
    </row>
    <row r="1879" spans="1:15">
      <c r="A1879" s="14" t="s">
        <v>9337</v>
      </c>
      <c r="B1879" s="14">
        <v>946.0608475</v>
      </c>
      <c r="C1879" s="14">
        <v>609.211383</v>
      </c>
      <c r="D1879" s="14">
        <v>1282.910312</v>
      </c>
      <c r="E1879" s="14">
        <v>2.106448706</v>
      </c>
      <c r="F1879" s="14">
        <v>1.074812785</v>
      </c>
      <c r="G1879" s="51" t="s">
        <v>9338</v>
      </c>
      <c r="H1879" s="51" t="s">
        <v>1524</v>
      </c>
      <c r="I1879" s="14" t="s">
        <v>164</v>
      </c>
      <c r="J1879" s="14">
        <v>32.9475602</v>
      </c>
      <c r="K1879" s="14">
        <v>23.13419568</v>
      </c>
      <c r="L1879" s="14">
        <v>29.43639541</v>
      </c>
      <c r="M1879" s="14">
        <v>10.70759163</v>
      </c>
      <c r="N1879" s="14">
        <v>12.27664467</v>
      </c>
      <c r="O1879" s="14">
        <v>10.29201343</v>
      </c>
    </row>
    <row r="1880" spans="1:21">
      <c r="A1880" s="14" t="s">
        <v>9339</v>
      </c>
      <c r="B1880" s="14">
        <v>140.3082676</v>
      </c>
      <c r="C1880" s="14">
        <v>225.1847486</v>
      </c>
      <c r="D1880" s="14">
        <v>55.4317867</v>
      </c>
      <c r="E1880" s="14">
        <v>0.246401518</v>
      </c>
      <c r="F1880" s="14">
        <v>-2.020916951</v>
      </c>
      <c r="G1880" s="51" t="s">
        <v>1791</v>
      </c>
      <c r="H1880" s="51" t="s">
        <v>9340</v>
      </c>
      <c r="I1880" s="14" t="s">
        <v>147</v>
      </c>
      <c r="J1880" s="14">
        <v>0.753626483</v>
      </c>
      <c r="K1880" s="14">
        <v>1.051622761</v>
      </c>
      <c r="L1880" s="14">
        <v>1.071951687</v>
      </c>
      <c r="M1880" s="14">
        <v>3.223994124</v>
      </c>
      <c r="N1880" s="14">
        <v>3.627291909</v>
      </c>
      <c r="O1880" s="14">
        <v>2.695494274</v>
      </c>
      <c r="P1880" s="14" t="s">
        <v>9341</v>
      </c>
      <c r="Q1880" s="14" t="s">
        <v>9342</v>
      </c>
      <c r="R1880" s="14" t="s">
        <v>9343</v>
      </c>
      <c r="S1880" s="14" t="s">
        <v>9344</v>
      </c>
      <c r="T1880" s="14" t="s">
        <v>9345</v>
      </c>
      <c r="U1880" s="14" t="s">
        <v>9346</v>
      </c>
    </row>
    <row r="1881" spans="1:21">
      <c r="A1881" s="14" t="s">
        <v>9347</v>
      </c>
      <c r="B1881" s="14">
        <v>430.3948451</v>
      </c>
      <c r="C1881" s="14">
        <v>280.399288</v>
      </c>
      <c r="D1881" s="14">
        <v>580.3904021</v>
      </c>
      <c r="E1881" s="14">
        <v>2.070338693</v>
      </c>
      <c r="F1881" s="14">
        <v>1.049866802</v>
      </c>
      <c r="G1881" s="51" t="s">
        <v>7000</v>
      </c>
      <c r="H1881" s="51" t="s">
        <v>7225</v>
      </c>
      <c r="I1881" s="14" t="s">
        <v>164</v>
      </c>
      <c r="J1881" s="14">
        <v>15.44869226</v>
      </c>
      <c r="K1881" s="14">
        <v>16.31777725</v>
      </c>
      <c r="L1881" s="14">
        <v>14.46931961</v>
      </c>
      <c r="M1881" s="14">
        <v>6.98044968</v>
      </c>
      <c r="N1881" s="14">
        <v>4.515015373</v>
      </c>
      <c r="O1881" s="14">
        <v>6.939709072</v>
      </c>
      <c r="P1881" s="14" t="s">
        <v>9348</v>
      </c>
      <c r="Q1881" s="14" t="s">
        <v>9349</v>
      </c>
      <c r="T1881" s="14" t="s">
        <v>9350</v>
      </c>
      <c r="U1881" s="14" t="s">
        <v>9351</v>
      </c>
    </row>
    <row r="1882" spans="1:15">
      <c r="A1882" s="14" t="s">
        <v>9352</v>
      </c>
      <c r="B1882" s="14">
        <v>2.740732263</v>
      </c>
      <c r="C1882" s="14">
        <v>0</v>
      </c>
      <c r="D1882" s="14">
        <v>5.481464527</v>
      </c>
      <c r="E1882" s="14">
        <v>29.59681768</v>
      </c>
      <c r="F1882" s="14">
        <v>4.887370157</v>
      </c>
      <c r="G1882" s="14">
        <v>0.019221637</v>
      </c>
      <c r="H1882" s="14">
        <v>0.047025823</v>
      </c>
      <c r="I1882" s="14" t="s">
        <v>164</v>
      </c>
      <c r="J1882" s="14">
        <v>0.520919194</v>
      </c>
      <c r="K1882" s="14">
        <v>0.314592437</v>
      </c>
      <c r="L1882" s="14">
        <v>0.902820154</v>
      </c>
      <c r="M1882" s="14">
        <v>0</v>
      </c>
      <c r="N1882" s="14">
        <v>0</v>
      </c>
      <c r="O1882" s="14">
        <v>0</v>
      </c>
    </row>
    <row r="1883" spans="1:17">
      <c r="A1883" s="14" t="s">
        <v>9353</v>
      </c>
      <c r="B1883" s="14">
        <v>77.32754739</v>
      </c>
      <c r="C1883" s="14">
        <v>124.6129807</v>
      </c>
      <c r="D1883" s="14">
        <v>30.04211403</v>
      </c>
      <c r="E1883" s="14">
        <v>0.241019807</v>
      </c>
      <c r="F1883" s="14">
        <v>-2.052776383</v>
      </c>
      <c r="G1883" s="14">
        <v>0.006978686</v>
      </c>
      <c r="H1883" s="14">
        <v>0.019772759</v>
      </c>
      <c r="I1883" s="14" t="s">
        <v>147</v>
      </c>
      <c r="J1883" s="14">
        <v>0.511705657</v>
      </c>
      <c r="K1883" s="14">
        <v>1.409602393</v>
      </c>
      <c r="L1883" s="14">
        <v>0.518626846</v>
      </c>
      <c r="M1883" s="14">
        <v>3.364244562</v>
      </c>
      <c r="N1883" s="14">
        <v>3.935010957</v>
      </c>
      <c r="O1883" s="14">
        <v>0.834152452</v>
      </c>
      <c r="P1883" s="14" t="s">
        <v>9354</v>
      </c>
      <c r="Q1883" s="14" t="s">
        <v>9355</v>
      </c>
    </row>
    <row r="1884" spans="1:21">
      <c r="A1884" s="14" t="s">
        <v>9356</v>
      </c>
      <c r="B1884" s="14">
        <v>14170.56862</v>
      </c>
      <c r="C1884" s="14">
        <v>20743.54669</v>
      </c>
      <c r="D1884" s="14">
        <v>7597.590548</v>
      </c>
      <c r="E1884" s="14">
        <v>0.366262</v>
      </c>
      <c r="F1884" s="14">
        <v>-1.449052066</v>
      </c>
      <c r="G1884" s="51" t="s">
        <v>9357</v>
      </c>
      <c r="H1884" s="51" t="s">
        <v>9358</v>
      </c>
      <c r="I1884" s="14" t="s">
        <v>147</v>
      </c>
      <c r="J1884" s="14">
        <v>67.82248229</v>
      </c>
      <c r="K1884" s="14">
        <v>75.7995351</v>
      </c>
      <c r="L1884" s="14">
        <v>65.53052749</v>
      </c>
      <c r="M1884" s="14">
        <v>161.3002438</v>
      </c>
      <c r="N1884" s="14">
        <v>152.7028406</v>
      </c>
      <c r="O1884" s="14">
        <v>155.3923491</v>
      </c>
      <c r="P1884" s="14" t="s">
        <v>9359</v>
      </c>
      <c r="Q1884" s="14" t="s">
        <v>9360</v>
      </c>
      <c r="R1884" s="14" t="s">
        <v>9361</v>
      </c>
      <c r="S1884" s="14" t="s">
        <v>9362</v>
      </c>
      <c r="T1884" s="14" t="s">
        <v>9363</v>
      </c>
      <c r="U1884" s="14" t="s">
        <v>9364</v>
      </c>
    </row>
    <row r="1885" spans="1:21">
      <c r="A1885" s="14" t="s">
        <v>9365</v>
      </c>
      <c r="B1885" s="14">
        <v>4.038978251</v>
      </c>
      <c r="C1885" s="14">
        <v>0</v>
      </c>
      <c r="D1885" s="14">
        <v>8.077956501</v>
      </c>
      <c r="E1885" s="14">
        <v>43.60334651</v>
      </c>
      <c r="F1885" s="14">
        <v>5.446366959</v>
      </c>
      <c r="G1885" s="14">
        <v>0.005298577</v>
      </c>
      <c r="H1885" s="14">
        <v>0.015569707</v>
      </c>
      <c r="I1885" s="14" t="s">
        <v>164</v>
      </c>
      <c r="J1885" s="14">
        <v>0.229411433</v>
      </c>
      <c r="K1885" s="14">
        <v>0.069272838</v>
      </c>
      <c r="L1885" s="14">
        <v>0.265066403</v>
      </c>
      <c r="M1885" s="14">
        <v>0</v>
      </c>
      <c r="N1885" s="14">
        <v>0</v>
      </c>
      <c r="O1885" s="14">
        <v>0</v>
      </c>
      <c r="P1885" s="14" t="s">
        <v>9366</v>
      </c>
      <c r="Q1885" s="14" t="s">
        <v>9367</v>
      </c>
      <c r="T1885" s="14" t="s">
        <v>1945</v>
      </c>
      <c r="U1885" s="14" t="s">
        <v>1946</v>
      </c>
    </row>
    <row r="1886" spans="1:21">
      <c r="A1886" s="14" t="s">
        <v>9368</v>
      </c>
      <c r="B1886" s="14">
        <v>5.468733424</v>
      </c>
      <c r="C1886" s="14">
        <v>0.338987876</v>
      </c>
      <c r="D1886" s="14">
        <v>10.59847897</v>
      </c>
      <c r="E1886" s="14">
        <v>29.38739106</v>
      </c>
      <c r="F1886" s="14">
        <v>4.877125381</v>
      </c>
      <c r="G1886" s="14">
        <v>0.005242686</v>
      </c>
      <c r="H1886" s="14">
        <v>0.015433476</v>
      </c>
      <c r="I1886" s="14" t="s">
        <v>164</v>
      </c>
      <c r="J1886" s="14">
        <v>0.214828691</v>
      </c>
      <c r="K1886" s="14">
        <v>0.058972226</v>
      </c>
      <c r="L1886" s="14">
        <v>0.357282363</v>
      </c>
      <c r="M1886" s="14">
        <v>0</v>
      </c>
      <c r="N1886" s="14">
        <v>0.016030938</v>
      </c>
      <c r="O1886" s="14">
        <v>0</v>
      </c>
      <c r="P1886" s="14" t="s">
        <v>9369</v>
      </c>
      <c r="Q1886" s="14" t="s">
        <v>9370</v>
      </c>
      <c r="T1886" s="14" t="s">
        <v>1945</v>
      </c>
      <c r="U1886" s="14" t="s">
        <v>1946</v>
      </c>
    </row>
    <row r="1887" spans="1:15">
      <c r="A1887" s="14" t="s">
        <v>9371</v>
      </c>
      <c r="B1887" s="14">
        <v>1634.694793</v>
      </c>
      <c r="C1887" s="14">
        <v>2605.559748</v>
      </c>
      <c r="D1887" s="14">
        <v>663.829839</v>
      </c>
      <c r="E1887" s="14">
        <v>0.254780269</v>
      </c>
      <c r="F1887" s="14">
        <v>-1.97267454</v>
      </c>
      <c r="G1887" s="51" t="s">
        <v>9372</v>
      </c>
      <c r="H1887" s="51" t="s">
        <v>9373</v>
      </c>
      <c r="I1887" s="14" t="s">
        <v>147</v>
      </c>
      <c r="J1887" s="14">
        <v>23.18500585</v>
      </c>
      <c r="K1887" s="14">
        <v>16.50020817</v>
      </c>
      <c r="L1887" s="14">
        <v>15.10130606</v>
      </c>
      <c r="M1887" s="14">
        <v>70.15285439</v>
      </c>
      <c r="N1887" s="14">
        <v>63.47470245</v>
      </c>
      <c r="O1887" s="14">
        <v>41.12245997</v>
      </c>
    </row>
    <row r="1888" spans="1:21">
      <c r="A1888" s="14" t="s">
        <v>9374</v>
      </c>
      <c r="B1888" s="14">
        <v>26.51794498</v>
      </c>
      <c r="C1888" s="14">
        <v>6.761893416</v>
      </c>
      <c r="D1888" s="14">
        <v>46.27399654</v>
      </c>
      <c r="E1888" s="14">
        <v>6.761834708</v>
      </c>
      <c r="F1888" s="14">
        <v>2.75741475</v>
      </c>
      <c r="G1888" s="14">
        <v>0.000399178</v>
      </c>
      <c r="H1888" s="14">
        <v>0.001629367</v>
      </c>
      <c r="I1888" s="14" t="s">
        <v>164</v>
      </c>
      <c r="J1888" s="14">
        <v>0.88270722</v>
      </c>
      <c r="K1888" s="14">
        <v>1.198402992</v>
      </c>
      <c r="L1888" s="14">
        <v>0.790617814</v>
      </c>
      <c r="M1888" s="14">
        <v>0.070254848</v>
      </c>
      <c r="N1888" s="14">
        <v>0.033700593</v>
      </c>
      <c r="O1888" s="14">
        <v>0.257760623</v>
      </c>
      <c r="P1888" s="14" t="s">
        <v>9375</v>
      </c>
      <c r="Q1888" s="14" t="s">
        <v>9376</v>
      </c>
      <c r="T1888" s="14" t="s">
        <v>9377</v>
      </c>
      <c r="U1888" s="14" t="s">
        <v>9378</v>
      </c>
    </row>
    <row r="1889" spans="1:21">
      <c r="A1889" s="14" t="s">
        <v>9379</v>
      </c>
      <c r="B1889" s="14">
        <v>653.3042233</v>
      </c>
      <c r="C1889" s="14">
        <v>384.8716962</v>
      </c>
      <c r="D1889" s="14">
        <v>921.7367503</v>
      </c>
      <c r="E1889" s="14">
        <v>2.394324599</v>
      </c>
      <c r="F1889" s="14">
        <v>1.259618752</v>
      </c>
      <c r="G1889" s="14">
        <v>0.014881678</v>
      </c>
      <c r="H1889" s="14">
        <v>0.037858801</v>
      </c>
      <c r="I1889" s="14" t="s">
        <v>164</v>
      </c>
      <c r="J1889" s="14">
        <v>37.08506345</v>
      </c>
      <c r="K1889" s="14">
        <v>12.95394596</v>
      </c>
      <c r="L1889" s="14">
        <v>12.4349598</v>
      </c>
      <c r="M1889" s="14">
        <v>5.889385501</v>
      </c>
      <c r="N1889" s="14">
        <v>4.895583747</v>
      </c>
      <c r="O1889" s="14">
        <v>11.14877256</v>
      </c>
      <c r="P1889" s="14" t="s">
        <v>9375</v>
      </c>
      <c r="Q1889" s="14" t="s">
        <v>9376</v>
      </c>
      <c r="T1889" s="14" t="s">
        <v>9377</v>
      </c>
      <c r="U1889" s="14" t="s">
        <v>9378</v>
      </c>
    </row>
    <row r="1890" spans="1:21">
      <c r="A1890" s="14" t="s">
        <v>9380</v>
      </c>
      <c r="B1890" s="14">
        <v>729.797029</v>
      </c>
      <c r="C1890" s="14">
        <v>983.4495261</v>
      </c>
      <c r="D1890" s="14">
        <v>476.1445318</v>
      </c>
      <c r="E1890" s="14">
        <v>0.484262436</v>
      </c>
      <c r="F1890" s="14">
        <v>-1.046138996</v>
      </c>
      <c r="G1890" s="51" t="s">
        <v>9381</v>
      </c>
      <c r="H1890" s="51" t="s">
        <v>3439</v>
      </c>
      <c r="I1890" s="14" t="s">
        <v>147</v>
      </c>
      <c r="J1890" s="14">
        <v>7.917971745</v>
      </c>
      <c r="K1890" s="14">
        <v>7.142054964</v>
      </c>
      <c r="L1890" s="14">
        <v>6.890755538</v>
      </c>
      <c r="M1890" s="14">
        <v>13.15830849</v>
      </c>
      <c r="N1890" s="14">
        <v>13.72373333</v>
      </c>
      <c r="O1890" s="14">
        <v>10.13339151</v>
      </c>
      <c r="P1890" s="14" t="s">
        <v>9382</v>
      </c>
      <c r="Q1890" s="14" t="s">
        <v>9383</v>
      </c>
      <c r="T1890" s="14" t="s">
        <v>9384</v>
      </c>
      <c r="U1890" s="14" t="s">
        <v>9385</v>
      </c>
    </row>
    <row r="1891" spans="1:21">
      <c r="A1891" s="14" t="s">
        <v>9386</v>
      </c>
      <c r="B1891" s="14">
        <v>73.79786156</v>
      </c>
      <c r="C1891" s="14">
        <v>38.15493327</v>
      </c>
      <c r="D1891" s="14">
        <v>109.4407899</v>
      </c>
      <c r="E1891" s="14">
        <v>2.859104629</v>
      </c>
      <c r="F1891" s="14">
        <v>1.515563416</v>
      </c>
      <c r="G1891" s="51" t="s">
        <v>9387</v>
      </c>
      <c r="H1891" s="51" t="s">
        <v>1435</v>
      </c>
      <c r="I1891" s="14" t="s">
        <v>164</v>
      </c>
      <c r="J1891" s="14">
        <v>1.318079629</v>
      </c>
      <c r="K1891" s="14">
        <v>1.148308498</v>
      </c>
      <c r="L1891" s="14">
        <v>1.205123377</v>
      </c>
      <c r="M1891" s="14">
        <v>0.312735161</v>
      </c>
      <c r="N1891" s="14">
        <v>0.263664713</v>
      </c>
      <c r="O1891" s="14">
        <v>0.491414137</v>
      </c>
      <c r="P1891" s="14" t="s">
        <v>9388</v>
      </c>
      <c r="Q1891" s="14" t="s">
        <v>9389</v>
      </c>
      <c r="T1891" s="14" t="s">
        <v>9390</v>
      </c>
      <c r="U1891" s="14" t="s">
        <v>9391</v>
      </c>
    </row>
    <row r="1892" spans="1:21">
      <c r="A1892" s="14" t="s">
        <v>9392</v>
      </c>
      <c r="B1892" s="14">
        <v>77.78675329</v>
      </c>
      <c r="C1892" s="14">
        <v>152.2756626</v>
      </c>
      <c r="D1892" s="14">
        <v>3.297844003</v>
      </c>
      <c r="E1892" s="14">
        <v>0.021572355</v>
      </c>
      <c r="F1892" s="14">
        <v>-5.534672508</v>
      </c>
      <c r="G1892" s="51" t="s">
        <v>9393</v>
      </c>
      <c r="H1892" s="51" t="s">
        <v>9394</v>
      </c>
      <c r="I1892" s="14" t="s">
        <v>147</v>
      </c>
      <c r="J1892" s="14">
        <v>0.126800259</v>
      </c>
      <c r="K1892" s="14">
        <v>0</v>
      </c>
      <c r="L1892" s="14">
        <v>0.013565506</v>
      </c>
      <c r="M1892" s="14">
        <v>1.735834078</v>
      </c>
      <c r="N1892" s="14">
        <v>1.919751637</v>
      </c>
      <c r="O1892" s="14">
        <v>1.674723314</v>
      </c>
      <c r="P1892" s="14" t="s">
        <v>9395</v>
      </c>
      <c r="Q1892" s="14" t="s">
        <v>9396</v>
      </c>
      <c r="R1892" s="14" t="s">
        <v>907</v>
      </c>
      <c r="S1892" s="14" t="s">
        <v>908</v>
      </c>
      <c r="T1892" s="14" t="s">
        <v>9397</v>
      </c>
      <c r="U1892" s="14" t="s">
        <v>9398</v>
      </c>
    </row>
    <row r="1893" spans="1:15">
      <c r="A1893" s="14" t="s">
        <v>9399</v>
      </c>
      <c r="B1893" s="14">
        <v>123.7495002</v>
      </c>
      <c r="C1893" s="14">
        <v>63.69553053</v>
      </c>
      <c r="D1893" s="14">
        <v>183.8034699</v>
      </c>
      <c r="E1893" s="14">
        <v>2.880710379</v>
      </c>
      <c r="F1893" s="14">
        <v>1.526424622</v>
      </c>
      <c r="G1893" s="14">
        <v>0.016841624</v>
      </c>
      <c r="H1893" s="14">
        <v>0.042052124</v>
      </c>
      <c r="I1893" s="14" t="s">
        <v>164</v>
      </c>
      <c r="J1893" s="14">
        <v>2.714842882</v>
      </c>
      <c r="K1893" s="14">
        <v>1.35275765</v>
      </c>
      <c r="L1893" s="14">
        <v>3.44217819</v>
      </c>
      <c r="M1893" s="14">
        <v>0.402466245</v>
      </c>
      <c r="N1893" s="14">
        <v>0.353022703</v>
      </c>
      <c r="O1893" s="14">
        <v>1.462560274</v>
      </c>
    </row>
    <row r="1894" spans="1:21">
      <c r="A1894" s="14" t="s">
        <v>9400</v>
      </c>
      <c r="B1894" s="14">
        <v>4335.115412</v>
      </c>
      <c r="C1894" s="14">
        <v>6003.361695</v>
      </c>
      <c r="D1894" s="14">
        <v>2666.869129</v>
      </c>
      <c r="E1894" s="14">
        <v>0.444261664</v>
      </c>
      <c r="F1894" s="14">
        <v>-1.170518442</v>
      </c>
      <c r="G1894" s="51" t="s">
        <v>9401</v>
      </c>
      <c r="H1894" s="51" t="s">
        <v>9402</v>
      </c>
      <c r="I1894" s="14" t="s">
        <v>147</v>
      </c>
      <c r="J1894" s="14">
        <v>19.36427632</v>
      </c>
      <c r="K1894" s="14">
        <v>20.98123427</v>
      </c>
      <c r="L1894" s="14">
        <v>20.68177959</v>
      </c>
      <c r="M1894" s="14">
        <v>39.3739831</v>
      </c>
      <c r="N1894" s="14">
        <v>38.28320319</v>
      </c>
      <c r="O1894" s="14">
        <v>34.91785055</v>
      </c>
      <c r="P1894" s="14" t="s">
        <v>9403</v>
      </c>
      <c r="Q1894" s="14" t="s">
        <v>9404</v>
      </c>
      <c r="T1894" s="14" t="s">
        <v>9405</v>
      </c>
      <c r="U1894" s="14" t="s">
        <v>9406</v>
      </c>
    </row>
    <row r="1895" spans="1:21">
      <c r="A1895" s="14" t="s">
        <v>9407</v>
      </c>
      <c r="B1895" s="14">
        <v>1889.900788</v>
      </c>
      <c r="C1895" s="14">
        <v>2716.198059</v>
      </c>
      <c r="D1895" s="14">
        <v>1063.603517</v>
      </c>
      <c r="E1895" s="14">
        <v>0.39150897</v>
      </c>
      <c r="F1895" s="14">
        <v>-1.352882731</v>
      </c>
      <c r="G1895" s="51" t="s">
        <v>9408</v>
      </c>
      <c r="H1895" s="51" t="s">
        <v>9409</v>
      </c>
      <c r="I1895" s="14" t="s">
        <v>147</v>
      </c>
      <c r="J1895" s="14">
        <v>15.71145894</v>
      </c>
      <c r="K1895" s="14">
        <v>14.83065784</v>
      </c>
      <c r="L1895" s="14">
        <v>11.93695417</v>
      </c>
      <c r="M1895" s="14">
        <v>29.26880913</v>
      </c>
      <c r="N1895" s="14">
        <v>27.23462304</v>
      </c>
      <c r="O1895" s="14">
        <v>33.13433597</v>
      </c>
      <c r="P1895" s="14" t="s">
        <v>9410</v>
      </c>
      <c r="Q1895" s="14" t="s">
        <v>9411</v>
      </c>
      <c r="T1895" s="14" t="s">
        <v>9412</v>
      </c>
      <c r="U1895" s="14" t="s">
        <v>9413</v>
      </c>
    </row>
    <row r="1896" spans="1:21">
      <c r="A1896" s="14" t="s">
        <v>9414</v>
      </c>
      <c r="B1896" s="14">
        <v>4528.349863</v>
      </c>
      <c r="C1896" s="14">
        <v>6405.922722</v>
      </c>
      <c r="D1896" s="14">
        <v>2650.777005</v>
      </c>
      <c r="E1896" s="14">
        <v>0.41380981</v>
      </c>
      <c r="F1896" s="14">
        <v>-1.272960249</v>
      </c>
      <c r="G1896" s="14">
        <v>0.00120216</v>
      </c>
      <c r="H1896" s="14">
        <v>0.004304338</v>
      </c>
      <c r="I1896" s="14" t="s">
        <v>147</v>
      </c>
      <c r="J1896" s="14">
        <v>32.30918714</v>
      </c>
      <c r="K1896" s="14">
        <v>59.12138224</v>
      </c>
      <c r="L1896" s="14">
        <v>44.10888121</v>
      </c>
      <c r="M1896" s="14">
        <v>107.3212421</v>
      </c>
      <c r="N1896" s="14">
        <v>106.2493398</v>
      </c>
      <c r="O1896" s="14">
        <v>51.39023829</v>
      </c>
      <c r="Q1896" s="14" t="s">
        <v>9415</v>
      </c>
      <c r="R1896" s="14" t="s">
        <v>9416</v>
      </c>
      <c r="S1896" s="14" t="s">
        <v>9417</v>
      </c>
      <c r="T1896" s="14" t="s">
        <v>9418</v>
      </c>
      <c r="U1896" s="14" t="s">
        <v>9419</v>
      </c>
    </row>
    <row r="1897" spans="1:21">
      <c r="A1897" s="14" t="s">
        <v>9420</v>
      </c>
      <c r="B1897" s="14">
        <v>63.79416503</v>
      </c>
      <c r="C1897" s="14">
        <v>31.31773072</v>
      </c>
      <c r="D1897" s="14">
        <v>96.27059935</v>
      </c>
      <c r="E1897" s="14">
        <v>3.064620801</v>
      </c>
      <c r="F1897" s="14">
        <v>1.615708574</v>
      </c>
      <c r="G1897" s="14">
        <v>0.005768121</v>
      </c>
      <c r="H1897" s="14">
        <v>0.016777847</v>
      </c>
      <c r="I1897" s="14" t="s">
        <v>164</v>
      </c>
      <c r="J1897" s="14">
        <v>4.699144101</v>
      </c>
      <c r="K1897" s="14">
        <v>2.021294401</v>
      </c>
      <c r="L1897" s="14">
        <v>5.027298058</v>
      </c>
      <c r="M1897" s="14">
        <v>0.584184337</v>
      </c>
      <c r="N1897" s="14">
        <v>0.824199291</v>
      </c>
      <c r="O1897" s="14">
        <v>1.815531342</v>
      </c>
      <c r="P1897" s="14" t="s">
        <v>932</v>
      </c>
      <c r="Q1897" s="14" t="s">
        <v>933</v>
      </c>
      <c r="T1897" s="14" t="s">
        <v>934</v>
      </c>
      <c r="U1897" s="14" t="s">
        <v>935</v>
      </c>
    </row>
    <row r="1898" spans="1:21">
      <c r="A1898" s="14" t="s">
        <v>9421</v>
      </c>
      <c r="B1898" s="14">
        <v>34.00810196</v>
      </c>
      <c r="C1898" s="14">
        <v>13.62746524</v>
      </c>
      <c r="D1898" s="14">
        <v>54.38873868</v>
      </c>
      <c r="E1898" s="14">
        <v>3.963026183</v>
      </c>
      <c r="F1898" s="14">
        <v>1.986602499</v>
      </c>
      <c r="G1898" s="14">
        <v>0.002206428</v>
      </c>
      <c r="H1898" s="14">
        <v>0.007304051</v>
      </c>
      <c r="I1898" s="14" t="s">
        <v>164</v>
      </c>
      <c r="J1898" s="14">
        <v>0.878225739</v>
      </c>
      <c r="K1898" s="14">
        <v>0.417425763</v>
      </c>
      <c r="L1898" s="14">
        <v>0.716410398</v>
      </c>
      <c r="M1898" s="14">
        <v>0.062617107</v>
      </c>
      <c r="N1898" s="14">
        <v>0.110135081</v>
      </c>
      <c r="O1898" s="14">
        <v>0.255264701</v>
      </c>
      <c r="P1898" s="14" t="s">
        <v>9422</v>
      </c>
      <c r="Q1898" s="14" t="s">
        <v>9423</v>
      </c>
      <c r="T1898" s="14" t="s">
        <v>9424</v>
      </c>
      <c r="U1898" s="14" t="s">
        <v>9425</v>
      </c>
    </row>
    <row r="1899" spans="1:15">
      <c r="A1899" s="14" t="s">
        <v>9426</v>
      </c>
      <c r="B1899" s="14">
        <v>132.0033331</v>
      </c>
      <c r="C1899" s="14">
        <v>57.08850643</v>
      </c>
      <c r="D1899" s="14">
        <v>206.9181599</v>
      </c>
      <c r="E1899" s="14">
        <v>3.631272845</v>
      </c>
      <c r="F1899" s="14">
        <v>1.860475335</v>
      </c>
      <c r="G1899" s="14">
        <v>0.000108504</v>
      </c>
      <c r="H1899" s="14">
        <v>0.000509833</v>
      </c>
      <c r="I1899" s="14" t="s">
        <v>164</v>
      </c>
      <c r="J1899" s="14">
        <v>11.46740735</v>
      </c>
      <c r="K1899" s="14">
        <v>21.24101616</v>
      </c>
      <c r="L1899" s="14">
        <v>17.17549045</v>
      </c>
      <c r="M1899" s="14">
        <v>4.088105402</v>
      </c>
      <c r="N1899" s="14">
        <v>5.033299806</v>
      </c>
      <c r="O1899" s="14">
        <v>1.9998669</v>
      </c>
    </row>
    <row r="1900" spans="1:21">
      <c r="A1900" s="14" t="s">
        <v>9427</v>
      </c>
      <c r="B1900" s="14">
        <v>1612.532078</v>
      </c>
      <c r="C1900" s="14">
        <v>2158.930701</v>
      </c>
      <c r="D1900" s="14">
        <v>1066.133456</v>
      </c>
      <c r="E1900" s="14">
        <v>0.493873937</v>
      </c>
      <c r="F1900" s="14">
        <v>-1.017785258</v>
      </c>
      <c r="G1900" s="14">
        <v>0.00104004</v>
      </c>
      <c r="H1900" s="14">
        <v>0.003797917</v>
      </c>
      <c r="I1900" s="14" t="s">
        <v>147</v>
      </c>
      <c r="J1900" s="14">
        <v>9.983364821</v>
      </c>
      <c r="K1900" s="14">
        <v>9.318721852</v>
      </c>
      <c r="L1900" s="14">
        <v>9.246368679</v>
      </c>
      <c r="M1900" s="14">
        <v>17.66598962</v>
      </c>
      <c r="N1900" s="14">
        <v>19.12594691</v>
      </c>
      <c r="O1900" s="14">
        <v>10.07437737</v>
      </c>
      <c r="P1900" s="14" t="s">
        <v>9428</v>
      </c>
      <c r="Q1900" s="14" t="s">
        <v>9429</v>
      </c>
      <c r="T1900" s="14" t="s">
        <v>9430</v>
      </c>
      <c r="U1900" s="14" t="s">
        <v>9431</v>
      </c>
    </row>
    <row r="1901" spans="1:21">
      <c r="A1901" s="14" t="s">
        <v>9432</v>
      </c>
      <c r="B1901" s="14">
        <v>170.6077317</v>
      </c>
      <c r="C1901" s="14">
        <v>94.05411092</v>
      </c>
      <c r="D1901" s="14">
        <v>247.1613525</v>
      </c>
      <c r="E1901" s="14">
        <v>2.623735906</v>
      </c>
      <c r="F1901" s="14">
        <v>1.391622512</v>
      </c>
      <c r="G1901" s="14">
        <v>0.000237744</v>
      </c>
      <c r="H1901" s="14">
        <v>0.001022439</v>
      </c>
      <c r="I1901" s="14" t="s">
        <v>164</v>
      </c>
      <c r="J1901" s="14">
        <v>3.151170478</v>
      </c>
      <c r="K1901" s="14">
        <v>1.887481469</v>
      </c>
      <c r="L1901" s="14">
        <v>2.196467001</v>
      </c>
      <c r="M1901" s="14">
        <v>0.620274102</v>
      </c>
      <c r="N1901" s="14">
        <v>0.53160423</v>
      </c>
      <c r="O1901" s="14">
        <v>1.157090762</v>
      </c>
      <c r="P1901" s="14" t="s">
        <v>860</v>
      </c>
      <c r="Q1901" s="14" t="s">
        <v>861</v>
      </c>
      <c r="T1901" s="14" t="s">
        <v>862</v>
      </c>
      <c r="U1901" s="14" t="s">
        <v>863</v>
      </c>
    </row>
    <row r="1902" spans="1:15">
      <c r="A1902" s="14" t="s">
        <v>9433</v>
      </c>
      <c r="B1902" s="14">
        <v>14.57380139</v>
      </c>
      <c r="C1902" s="14">
        <v>1.960147871</v>
      </c>
      <c r="D1902" s="14">
        <v>27.18745491</v>
      </c>
      <c r="E1902" s="14">
        <v>13.66018447</v>
      </c>
      <c r="F1902" s="14">
        <v>3.771905061</v>
      </c>
      <c r="G1902" s="51" t="s">
        <v>9434</v>
      </c>
      <c r="H1902" s="14">
        <v>0.000227478</v>
      </c>
      <c r="I1902" s="14" t="s">
        <v>164</v>
      </c>
      <c r="J1902" s="14">
        <v>0.519616896</v>
      </c>
      <c r="K1902" s="14">
        <v>0.719138649</v>
      </c>
      <c r="L1902" s="14">
        <v>0.542005572</v>
      </c>
      <c r="M1902" s="14">
        <v>0.037048455</v>
      </c>
      <c r="N1902" s="14">
        <v>0</v>
      </c>
      <c r="O1902" s="14">
        <v>0.072495175</v>
      </c>
    </row>
    <row r="1903" spans="1:21">
      <c r="A1903" s="14" t="s">
        <v>9435</v>
      </c>
      <c r="B1903" s="14">
        <v>3.448032088</v>
      </c>
      <c r="C1903" s="14">
        <v>0.338987876</v>
      </c>
      <c r="D1903" s="14">
        <v>6.557076301</v>
      </c>
      <c r="E1903" s="14">
        <v>18.15150677</v>
      </c>
      <c r="F1903" s="14">
        <v>4.182017407</v>
      </c>
      <c r="G1903" s="14">
        <v>0.018146286</v>
      </c>
      <c r="H1903" s="14">
        <v>0.044801079</v>
      </c>
      <c r="I1903" s="14" t="s">
        <v>164</v>
      </c>
      <c r="J1903" s="14">
        <v>0.359483387</v>
      </c>
      <c r="K1903" s="14">
        <v>0.131574824</v>
      </c>
      <c r="L1903" s="14">
        <v>0.15733108</v>
      </c>
      <c r="M1903" s="14">
        <v>0</v>
      </c>
      <c r="N1903" s="14">
        <v>0.026825354</v>
      </c>
      <c r="O1903" s="14">
        <v>0</v>
      </c>
      <c r="P1903" s="14" t="s">
        <v>9436</v>
      </c>
      <c r="Q1903" s="14" t="s">
        <v>9437</v>
      </c>
      <c r="T1903" s="14" t="s">
        <v>9438</v>
      </c>
      <c r="U1903" s="14" t="s">
        <v>9439</v>
      </c>
    </row>
    <row r="1904" spans="1:21">
      <c r="A1904" s="14" t="s">
        <v>9440</v>
      </c>
      <c r="B1904" s="14">
        <v>499.162284</v>
      </c>
      <c r="C1904" s="14">
        <v>257.2324008</v>
      </c>
      <c r="D1904" s="14">
        <v>741.0921671</v>
      </c>
      <c r="E1904" s="14">
        <v>2.883931424</v>
      </c>
      <c r="F1904" s="14">
        <v>1.52803686</v>
      </c>
      <c r="G1904" s="51" t="s">
        <v>9441</v>
      </c>
      <c r="H1904" s="51" t="s">
        <v>9442</v>
      </c>
      <c r="I1904" s="14" t="s">
        <v>164</v>
      </c>
      <c r="J1904" s="14">
        <v>10.19083414</v>
      </c>
      <c r="K1904" s="14">
        <v>10.45490758</v>
      </c>
      <c r="L1904" s="14">
        <v>10.82450566</v>
      </c>
      <c r="M1904" s="14">
        <v>3.418127582</v>
      </c>
      <c r="N1904" s="14">
        <v>3.394350341</v>
      </c>
      <c r="O1904" s="14">
        <v>2.053479923</v>
      </c>
      <c r="P1904" s="14" t="s">
        <v>9443</v>
      </c>
      <c r="Q1904" s="14" t="s">
        <v>9444</v>
      </c>
      <c r="T1904" s="14" t="s">
        <v>9445</v>
      </c>
      <c r="U1904" s="14" t="s">
        <v>9446</v>
      </c>
    </row>
    <row r="1905" spans="1:21">
      <c r="A1905" s="14" t="s">
        <v>9447</v>
      </c>
      <c r="B1905" s="14">
        <v>144.2741249</v>
      </c>
      <c r="C1905" s="14">
        <v>223.9531759</v>
      </c>
      <c r="D1905" s="14">
        <v>64.59507394</v>
      </c>
      <c r="E1905" s="14">
        <v>0.288210531</v>
      </c>
      <c r="F1905" s="14">
        <v>-1.794805041</v>
      </c>
      <c r="G1905" s="14">
        <v>0.001953194</v>
      </c>
      <c r="H1905" s="14">
        <v>0.006578229</v>
      </c>
      <c r="I1905" s="14" t="s">
        <v>147</v>
      </c>
      <c r="J1905" s="14">
        <v>2.351164072</v>
      </c>
      <c r="K1905" s="14">
        <v>0.814702528</v>
      </c>
      <c r="L1905" s="14">
        <v>0.593788066</v>
      </c>
      <c r="M1905" s="14">
        <v>2.539287723</v>
      </c>
      <c r="N1905" s="14">
        <v>3.638398537</v>
      </c>
      <c r="O1905" s="14">
        <v>4.710673967</v>
      </c>
      <c r="P1905" s="14" t="s">
        <v>9448</v>
      </c>
      <c r="Q1905" s="14" t="s">
        <v>9449</v>
      </c>
      <c r="R1905" s="14" t="s">
        <v>9450</v>
      </c>
      <c r="S1905" s="14" t="s">
        <v>9451</v>
      </c>
      <c r="T1905" s="14" t="s">
        <v>9452</v>
      </c>
      <c r="U1905" s="14" t="s">
        <v>9453</v>
      </c>
    </row>
    <row r="1906" spans="1:21">
      <c r="A1906" s="14" t="s">
        <v>9454</v>
      </c>
      <c r="B1906" s="14">
        <v>11.34641689</v>
      </c>
      <c r="C1906" s="14">
        <v>2.193520951</v>
      </c>
      <c r="D1906" s="14">
        <v>20.49931283</v>
      </c>
      <c r="E1906" s="14">
        <v>9.090773637</v>
      </c>
      <c r="F1906" s="14">
        <v>3.184403075</v>
      </c>
      <c r="G1906" s="14">
        <v>0.00416938</v>
      </c>
      <c r="H1906" s="14">
        <v>0.012652329</v>
      </c>
      <c r="I1906" s="14" t="s">
        <v>164</v>
      </c>
      <c r="J1906" s="14">
        <v>0.484975769</v>
      </c>
      <c r="K1906" s="14">
        <v>0.395163055</v>
      </c>
      <c r="L1906" s="14">
        <v>0.555903151</v>
      </c>
      <c r="M1906" s="14">
        <v>0</v>
      </c>
      <c r="N1906" s="14">
        <v>0.018956584</v>
      </c>
      <c r="O1906" s="14">
        <v>0.11599228</v>
      </c>
      <c r="P1906" s="14" t="s">
        <v>9455</v>
      </c>
      <c r="Q1906" s="14" t="s">
        <v>9456</v>
      </c>
      <c r="T1906" s="14" t="s">
        <v>9457</v>
      </c>
      <c r="U1906" s="14" t="s">
        <v>9458</v>
      </c>
    </row>
    <row r="1907" spans="1:21">
      <c r="A1907" s="14" t="s">
        <v>9459</v>
      </c>
      <c r="B1907" s="14">
        <v>511.4566765</v>
      </c>
      <c r="C1907" s="14">
        <v>272.5110118</v>
      </c>
      <c r="D1907" s="14">
        <v>750.4023413</v>
      </c>
      <c r="E1907" s="14">
        <v>2.753649939</v>
      </c>
      <c r="F1907" s="14">
        <v>1.461345167</v>
      </c>
      <c r="G1907" s="14">
        <v>0.000491951</v>
      </c>
      <c r="H1907" s="14">
        <v>0.001957363</v>
      </c>
      <c r="I1907" s="14" t="s">
        <v>164</v>
      </c>
      <c r="J1907" s="14">
        <v>12.10425404</v>
      </c>
      <c r="K1907" s="14">
        <v>3.871895191</v>
      </c>
      <c r="L1907" s="14">
        <v>6.922933423</v>
      </c>
      <c r="M1907" s="14">
        <v>2.145364034</v>
      </c>
      <c r="N1907" s="14">
        <v>2.231807091</v>
      </c>
      <c r="O1907" s="14">
        <v>2.478323429</v>
      </c>
      <c r="P1907" s="14" t="s">
        <v>853</v>
      </c>
      <c r="Q1907" s="14" t="s">
        <v>854</v>
      </c>
      <c r="T1907" s="14" t="s">
        <v>855</v>
      </c>
      <c r="U1907" s="14" t="s">
        <v>856</v>
      </c>
    </row>
    <row r="1908" spans="1:21">
      <c r="A1908" s="14" t="s">
        <v>9460</v>
      </c>
      <c r="B1908" s="14">
        <v>2667.937651</v>
      </c>
      <c r="C1908" s="14">
        <v>4229.882302</v>
      </c>
      <c r="D1908" s="14">
        <v>1105.992999</v>
      </c>
      <c r="E1908" s="14">
        <v>0.261485511</v>
      </c>
      <c r="F1908" s="14">
        <v>-1.935197085</v>
      </c>
      <c r="G1908" s="51" t="s">
        <v>9461</v>
      </c>
      <c r="H1908" s="51" t="s">
        <v>9462</v>
      </c>
      <c r="I1908" s="14" t="s">
        <v>147</v>
      </c>
      <c r="J1908" s="14">
        <v>17.26589864</v>
      </c>
      <c r="K1908" s="14">
        <v>17.99814405</v>
      </c>
      <c r="L1908" s="14">
        <v>19.01052318</v>
      </c>
      <c r="M1908" s="14">
        <v>66.22730751</v>
      </c>
      <c r="N1908" s="14">
        <v>71.54088379</v>
      </c>
      <c r="O1908" s="14">
        <v>29.66582222</v>
      </c>
      <c r="P1908" s="14" t="s">
        <v>9463</v>
      </c>
      <c r="Q1908" s="14" t="s">
        <v>9464</v>
      </c>
      <c r="R1908" s="14" t="s">
        <v>841</v>
      </c>
      <c r="S1908" s="14" t="s">
        <v>842</v>
      </c>
      <c r="T1908" s="14" t="s">
        <v>9465</v>
      </c>
      <c r="U1908" s="14" t="s">
        <v>9466</v>
      </c>
    </row>
    <row r="1909" spans="1:21">
      <c r="A1909" s="14" t="s">
        <v>9467</v>
      </c>
      <c r="B1909" s="14">
        <v>13.39619011</v>
      </c>
      <c r="C1909" s="14">
        <v>3.716821692</v>
      </c>
      <c r="D1909" s="14">
        <v>23.07555853</v>
      </c>
      <c r="E1909" s="14">
        <v>6.228142385</v>
      </c>
      <c r="F1909" s="14">
        <v>2.638801927</v>
      </c>
      <c r="G1909" s="14">
        <v>0.009907108</v>
      </c>
      <c r="H1909" s="14">
        <v>0.026802932</v>
      </c>
      <c r="I1909" s="14" t="s">
        <v>164</v>
      </c>
      <c r="J1909" s="14">
        <v>0.165088768</v>
      </c>
      <c r="K1909" s="14">
        <v>0.276944626</v>
      </c>
      <c r="L1909" s="14">
        <v>0.328508296</v>
      </c>
      <c r="M1909" s="14">
        <v>0.05649963</v>
      </c>
      <c r="N1909" s="14">
        <v>0</v>
      </c>
      <c r="O1909" s="14">
        <v>0.046065242</v>
      </c>
      <c r="P1909" s="14" t="s">
        <v>9468</v>
      </c>
      <c r="Q1909" s="14" t="s">
        <v>9469</v>
      </c>
      <c r="T1909" s="14" t="s">
        <v>2238</v>
      </c>
      <c r="U1909" s="14" t="s">
        <v>2239</v>
      </c>
    </row>
    <row r="1910" spans="1:21">
      <c r="A1910" s="14" t="s">
        <v>9470</v>
      </c>
      <c r="B1910" s="14">
        <v>47777.51841</v>
      </c>
      <c r="C1910" s="14">
        <v>84095.24093</v>
      </c>
      <c r="D1910" s="14">
        <v>11459.79588</v>
      </c>
      <c r="E1910" s="14">
        <v>0.136271712</v>
      </c>
      <c r="F1910" s="14">
        <v>-2.875441988</v>
      </c>
      <c r="G1910" s="51" t="s">
        <v>9471</v>
      </c>
      <c r="H1910" s="51" t="s">
        <v>9472</v>
      </c>
      <c r="I1910" s="14" t="s">
        <v>147</v>
      </c>
      <c r="J1910" s="14">
        <v>82.52616863</v>
      </c>
      <c r="K1910" s="14">
        <v>59.91908254</v>
      </c>
      <c r="L1910" s="14">
        <v>56.078582</v>
      </c>
      <c r="M1910" s="14">
        <v>449.3435015</v>
      </c>
      <c r="N1910" s="14">
        <v>491.3988198</v>
      </c>
      <c r="O1910" s="14">
        <v>239.4554121</v>
      </c>
      <c r="P1910" s="14" t="s">
        <v>9473</v>
      </c>
      <c r="Q1910" s="14" t="s">
        <v>9474</v>
      </c>
      <c r="T1910" s="14" t="s">
        <v>9475</v>
      </c>
      <c r="U1910" s="14" t="s">
        <v>9476</v>
      </c>
    </row>
    <row r="1911" spans="1:15">
      <c r="A1911" s="14" t="s">
        <v>9477</v>
      </c>
      <c r="B1911" s="14">
        <v>33.3856654</v>
      </c>
      <c r="C1911" s="14">
        <v>47.37668927</v>
      </c>
      <c r="D1911" s="14">
        <v>19.39464154</v>
      </c>
      <c r="E1911" s="14">
        <v>0.409514604</v>
      </c>
      <c r="F1911" s="14">
        <v>-1.288013193</v>
      </c>
      <c r="G1911" s="14">
        <v>0.011293688</v>
      </c>
      <c r="H1911" s="14">
        <v>0.029981292</v>
      </c>
      <c r="I1911" s="14" t="s">
        <v>147</v>
      </c>
      <c r="J1911" s="14">
        <v>1.154704213</v>
      </c>
      <c r="K1911" s="14">
        <v>1.394693137</v>
      </c>
      <c r="L1911" s="14">
        <v>0.833854726</v>
      </c>
      <c r="M1911" s="14">
        <v>2.618090835</v>
      </c>
      <c r="N1911" s="14">
        <v>2.559138797</v>
      </c>
      <c r="O1911" s="14">
        <v>1.546563736</v>
      </c>
    </row>
    <row r="1912" spans="1:21">
      <c r="A1912" s="14" t="s">
        <v>9478</v>
      </c>
      <c r="B1912" s="14">
        <v>82.71185518</v>
      </c>
      <c r="C1912" s="14">
        <v>110.6225245</v>
      </c>
      <c r="D1912" s="14">
        <v>54.80118587</v>
      </c>
      <c r="E1912" s="14">
        <v>0.495731059</v>
      </c>
      <c r="F1912" s="14">
        <v>-1.012370445</v>
      </c>
      <c r="G1912" s="14">
        <v>0.000876041</v>
      </c>
      <c r="H1912" s="14">
        <v>0.003259171</v>
      </c>
      <c r="I1912" s="14" t="s">
        <v>147</v>
      </c>
      <c r="J1912" s="14">
        <v>0.5972608</v>
      </c>
      <c r="K1912" s="14">
        <v>0.961857336</v>
      </c>
      <c r="L1912" s="14">
        <v>0.92011556</v>
      </c>
      <c r="M1912" s="14">
        <v>1.379735573</v>
      </c>
      <c r="N1912" s="14">
        <v>1.323692481</v>
      </c>
      <c r="O1912" s="14">
        <v>1.412405998</v>
      </c>
      <c r="Q1912" s="14" t="s">
        <v>9479</v>
      </c>
      <c r="R1912" s="14" t="s">
        <v>9480</v>
      </c>
      <c r="S1912" s="14" t="s">
        <v>9481</v>
      </c>
      <c r="T1912" s="14" t="s">
        <v>9482</v>
      </c>
      <c r="U1912" s="14" t="s">
        <v>9483</v>
      </c>
    </row>
    <row r="1913" spans="1:15">
      <c r="A1913" s="14" t="s">
        <v>9484</v>
      </c>
      <c r="B1913" s="14">
        <v>125.709488</v>
      </c>
      <c r="C1913" s="14">
        <v>231.0783319</v>
      </c>
      <c r="D1913" s="14">
        <v>20.34064413</v>
      </c>
      <c r="E1913" s="14">
        <v>0.087997642</v>
      </c>
      <c r="F1913" s="14">
        <v>-3.506391326</v>
      </c>
      <c r="G1913" s="51" t="s">
        <v>9485</v>
      </c>
      <c r="H1913" s="51" t="s">
        <v>9486</v>
      </c>
      <c r="I1913" s="14" t="s">
        <v>147</v>
      </c>
      <c r="J1913" s="14">
        <v>0.653991767</v>
      </c>
      <c r="K1913" s="14">
        <v>2.797614552</v>
      </c>
      <c r="L1913" s="14">
        <v>1.574239011</v>
      </c>
      <c r="M1913" s="14">
        <v>17.55594054</v>
      </c>
      <c r="N1913" s="14">
        <v>22.00976796</v>
      </c>
      <c r="O1913" s="14">
        <v>6.43261023</v>
      </c>
    </row>
    <row r="1914" spans="1:21">
      <c r="A1914" s="14" t="s">
        <v>9487</v>
      </c>
      <c r="B1914" s="14">
        <v>563.3550719</v>
      </c>
      <c r="C1914" s="14">
        <v>267.0547306</v>
      </c>
      <c r="D1914" s="14">
        <v>859.6554133</v>
      </c>
      <c r="E1914" s="14">
        <v>3.21623131</v>
      </c>
      <c r="F1914" s="14">
        <v>1.685371168</v>
      </c>
      <c r="G1914" s="51" t="s">
        <v>9381</v>
      </c>
      <c r="H1914" s="51" t="s">
        <v>3439</v>
      </c>
      <c r="I1914" s="14" t="s">
        <v>164</v>
      </c>
      <c r="J1914" s="14">
        <v>5.972548405</v>
      </c>
      <c r="K1914" s="14">
        <v>5.141822041</v>
      </c>
      <c r="L1914" s="14">
        <v>6.908784879</v>
      </c>
      <c r="M1914" s="14">
        <v>1.046856824</v>
      </c>
      <c r="N1914" s="14">
        <v>1.100796379</v>
      </c>
      <c r="O1914" s="14">
        <v>2.569247813</v>
      </c>
      <c r="P1914" s="14" t="s">
        <v>9488</v>
      </c>
      <c r="Q1914" s="14" t="s">
        <v>9489</v>
      </c>
      <c r="R1914" s="14" t="s">
        <v>4730</v>
      </c>
      <c r="S1914" s="14" t="s">
        <v>4731</v>
      </c>
      <c r="T1914" s="14" t="s">
        <v>9490</v>
      </c>
      <c r="U1914" s="14" t="s">
        <v>9491</v>
      </c>
    </row>
    <row r="1915" spans="1:21">
      <c r="A1915" s="14" t="s">
        <v>9492</v>
      </c>
      <c r="B1915" s="14">
        <v>66.4349982</v>
      </c>
      <c r="C1915" s="14">
        <v>16.09318535</v>
      </c>
      <c r="D1915" s="14">
        <v>116.7768111</v>
      </c>
      <c r="E1915" s="14">
        <v>7.201798712</v>
      </c>
      <c r="F1915" s="14">
        <v>2.848357277</v>
      </c>
      <c r="G1915" s="51" t="s">
        <v>9493</v>
      </c>
      <c r="H1915" s="51" t="s">
        <v>9494</v>
      </c>
      <c r="I1915" s="14" t="s">
        <v>164</v>
      </c>
      <c r="J1915" s="14">
        <v>0.550587439</v>
      </c>
      <c r="K1915" s="14">
        <v>0.345508969</v>
      </c>
      <c r="L1915" s="14">
        <v>0.3043355</v>
      </c>
      <c r="M1915" s="14">
        <v>0.020355295</v>
      </c>
      <c r="N1915" s="14">
        <v>0.025108058</v>
      </c>
      <c r="O1915" s="14">
        <v>0.09673136</v>
      </c>
      <c r="P1915" s="14" t="s">
        <v>9495</v>
      </c>
      <c r="Q1915" s="14" t="s">
        <v>9496</v>
      </c>
      <c r="T1915" s="14" t="s">
        <v>825</v>
      </c>
      <c r="U1915" s="14" t="s">
        <v>826</v>
      </c>
    </row>
    <row r="1916" spans="1:21">
      <c r="A1916" s="14" t="s">
        <v>9497</v>
      </c>
      <c r="B1916" s="14">
        <v>139.2293748</v>
      </c>
      <c r="C1916" s="14">
        <v>73.69236666</v>
      </c>
      <c r="D1916" s="14">
        <v>204.766383</v>
      </c>
      <c r="E1916" s="14">
        <v>2.774234515</v>
      </c>
      <c r="F1916" s="14">
        <v>1.472089748</v>
      </c>
      <c r="G1916" s="14">
        <v>0.001554128</v>
      </c>
      <c r="H1916" s="14">
        <v>0.00538698</v>
      </c>
      <c r="I1916" s="14" t="s">
        <v>164</v>
      </c>
      <c r="J1916" s="14">
        <v>7.183829704</v>
      </c>
      <c r="K1916" s="14">
        <v>3.818480239</v>
      </c>
      <c r="L1916" s="14">
        <v>5.699356574</v>
      </c>
      <c r="M1916" s="14">
        <v>0.782693578</v>
      </c>
      <c r="N1916" s="14">
        <v>1.965595279</v>
      </c>
      <c r="O1916" s="14">
        <v>2.274800058</v>
      </c>
      <c r="P1916" s="14" t="s">
        <v>9498</v>
      </c>
      <c r="Q1916" s="14" t="s">
        <v>9499</v>
      </c>
      <c r="R1916" s="14" t="s">
        <v>754</v>
      </c>
      <c r="S1916" s="14" t="s">
        <v>755</v>
      </c>
      <c r="T1916" s="14" t="s">
        <v>9500</v>
      </c>
      <c r="U1916" s="14" t="s">
        <v>9501</v>
      </c>
    </row>
    <row r="1917" spans="1:21">
      <c r="A1917" s="14" t="s">
        <v>9502</v>
      </c>
      <c r="B1917" s="14">
        <v>2115.389431</v>
      </c>
      <c r="C1917" s="14">
        <v>3149.405626</v>
      </c>
      <c r="D1917" s="14">
        <v>1081.373237</v>
      </c>
      <c r="E1917" s="14">
        <v>0.343379273</v>
      </c>
      <c r="F1917" s="14">
        <v>-1.542125136</v>
      </c>
      <c r="G1917" s="51" t="s">
        <v>9503</v>
      </c>
      <c r="H1917" s="51" t="s">
        <v>9504</v>
      </c>
      <c r="I1917" s="14" t="s">
        <v>147</v>
      </c>
      <c r="J1917" s="14">
        <v>11.40986815</v>
      </c>
      <c r="K1917" s="14">
        <v>13.06177218</v>
      </c>
      <c r="L1917" s="14">
        <v>12.45150686</v>
      </c>
      <c r="M1917" s="14">
        <v>29.91368842</v>
      </c>
      <c r="N1917" s="14">
        <v>27.98602558</v>
      </c>
      <c r="O1917" s="14">
        <v>30.59780085</v>
      </c>
      <c r="P1917" s="14" t="s">
        <v>9505</v>
      </c>
      <c r="Q1917" s="14" t="s">
        <v>9506</v>
      </c>
      <c r="T1917" s="14" t="s">
        <v>9507</v>
      </c>
      <c r="U1917" s="14" t="s">
        <v>9508</v>
      </c>
    </row>
    <row r="1918" spans="1:15">
      <c r="A1918" s="14" t="s">
        <v>9509</v>
      </c>
      <c r="B1918" s="14">
        <v>43.68138905</v>
      </c>
      <c r="C1918" s="14">
        <v>59.1946733</v>
      </c>
      <c r="D1918" s="14">
        <v>28.1681048</v>
      </c>
      <c r="E1918" s="14">
        <v>0.475661258</v>
      </c>
      <c r="F1918" s="14">
        <v>-1.07199357</v>
      </c>
      <c r="G1918" s="14">
        <v>0.002832043</v>
      </c>
      <c r="H1918" s="14">
        <v>0.009037474</v>
      </c>
      <c r="I1918" s="14" t="s">
        <v>147</v>
      </c>
      <c r="J1918" s="14">
        <v>1.104980108</v>
      </c>
      <c r="K1918" s="14">
        <v>1.512585858</v>
      </c>
      <c r="L1918" s="14">
        <v>1.149043833</v>
      </c>
      <c r="M1918" s="14">
        <v>2.04209667</v>
      </c>
      <c r="N1918" s="14">
        <v>2.358235291</v>
      </c>
      <c r="O1918" s="14">
        <v>2.108950549</v>
      </c>
    </row>
    <row r="1919" spans="1:21">
      <c r="A1919" s="14" t="s">
        <v>9510</v>
      </c>
      <c r="B1919" s="14">
        <v>6819.121503</v>
      </c>
      <c r="C1919" s="14">
        <v>10396.10308</v>
      </c>
      <c r="D1919" s="14">
        <v>3242.139925</v>
      </c>
      <c r="E1919" s="14">
        <v>0.311857491</v>
      </c>
      <c r="F1919" s="14">
        <v>-1.681041182</v>
      </c>
      <c r="G1919" s="51" t="s">
        <v>9511</v>
      </c>
      <c r="H1919" s="51" t="s">
        <v>9512</v>
      </c>
      <c r="I1919" s="14" t="s">
        <v>147</v>
      </c>
      <c r="J1919" s="14">
        <v>73.64535657</v>
      </c>
      <c r="K1919" s="14">
        <v>96.5909451</v>
      </c>
      <c r="L1919" s="14">
        <v>64.74636696</v>
      </c>
      <c r="M1919" s="14">
        <v>225.6648328</v>
      </c>
      <c r="N1919" s="14">
        <v>215.0227577</v>
      </c>
      <c r="O1919" s="14">
        <v>175.9751393</v>
      </c>
      <c r="P1919" s="14" t="s">
        <v>9513</v>
      </c>
      <c r="Q1919" s="14" t="s">
        <v>9514</v>
      </c>
      <c r="T1919" s="14" t="s">
        <v>9515</v>
      </c>
      <c r="U1919" s="14" t="s">
        <v>9516</v>
      </c>
    </row>
    <row r="1920" spans="1:15">
      <c r="A1920" s="14" t="s">
        <v>9517</v>
      </c>
      <c r="B1920" s="14">
        <v>12.60817312</v>
      </c>
      <c r="C1920" s="14">
        <v>4.703886289</v>
      </c>
      <c r="D1920" s="14">
        <v>20.51245995</v>
      </c>
      <c r="E1920" s="14">
        <v>4.367564778</v>
      </c>
      <c r="F1920" s="14">
        <v>2.126829101</v>
      </c>
      <c r="G1920" s="14">
        <v>0.006323108</v>
      </c>
      <c r="H1920" s="14">
        <v>0.018131604</v>
      </c>
      <c r="I1920" s="14" t="s">
        <v>164</v>
      </c>
      <c r="J1920" s="14">
        <v>1.513729892</v>
      </c>
      <c r="K1920" s="14">
        <v>2.812826494</v>
      </c>
      <c r="L1920" s="14">
        <v>2.91498795</v>
      </c>
      <c r="M1920" s="14">
        <v>0.597756588</v>
      </c>
      <c r="N1920" s="14">
        <v>0.191158827</v>
      </c>
      <c r="O1920" s="14">
        <v>0.584835026</v>
      </c>
    </row>
    <row r="1921" spans="1:21">
      <c r="A1921" s="14" t="s">
        <v>9518</v>
      </c>
      <c r="B1921" s="14">
        <v>307.8020902</v>
      </c>
      <c r="C1921" s="14">
        <v>125.8078855</v>
      </c>
      <c r="D1921" s="14">
        <v>489.796295</v>
      </c>
      <c r="E1921" s="14">
        <v>3.884298291</v>
      </c>
      <c r="F1921" s="14">
        <v>1.957653995</v>
      </c>
      <c r="G1921" s="51" t="s">
        <v>9519</v>
      </c>
      <c r="H1921" s="51" t="s">
        <v>9520</v>
      </c>
      <c r="I1921" s="14" t="s">
        <v>164</v>
      </c>
      <c r="J1921" s="14">
        <v>13.65045773</v>
      </c>
      <c r="K1921" s="14">
        <v>13.26962747</v>
      </c>
      <c r="L1921" s="14">
        <v>13.83091446</v>
      </c>
      <c r="M1921" s="14">
        <v>2.302952538</v>
      </c>
      <c r="N1921" s="14">
        <v>2.863214424</v>
      </c>
      <c r="O1921" s="14">
        <v>3.517704434</v>
      </c>
      <c r="P1921" s="14" t="s">
        <v>9521</v>
      </c>
      <c r="Q1921" s="14" t="s">
        <v>9522</v>
      </c>
      <c r="T1921" s="14" t="s">
        <v>9523</v>
      </c>
      <c r="U1921" s="14" t="s">
        <v>9524</v>
      </c>
    </row>
    <row r="1922" spans="1:21">
      <c r="A1922" s="14" t="s">
        <v>9525</v>
      </c>
      <c r="B1922" s="14">
        <v>6683.992548</v>
      </c>
      <c r="C1922" s="14">
        <v>9467.853626</v>
      </c>
      <c r="D1922" s="14">
        <v>3900.131469</v>
      </c>
      <c r="E1922" s="14">
        <v>0.411940513</v>
      </c>
      <c r="F1922" s="14">
        <v>-1.279492078</v>
      </c>
      <c r="G1922" s="14">
        <v>0.00017666</v>
      </c>
      <c r="H1922" s="14">
        <v>0.000787695</v>
      </c>
      <c r="I1922" s="14" t="s">
        <v>147</v>
      </c>
      <c r="J1922" s="14">
        <v>10.78826923</v>
      </c>
      <c r="K1922" s="14">
        <v>14.27742737</v>
      </c>
      <c r="L1922" s="14">
        <v>10.97567142</v>
      </c>
      <c r="M1922" s="14">
        <v>28.22166994</v>
      </c>
      <c r="N1922" s="14">
        <v>28.23868648</v>
      </c>
      <c r="O1922" s="14">
        <v>14.40794663</v>
      </c>
      <c r="P1922" s="14" t="s">
        <v>9526</v>
      </c>
      <c r="Q1922" s="14" t="s">
        <v>9527</v>
      </c>
      <c r="T1922" s="14" t="s">
        <v>9528</v>
      </c>
      <c r="U1922" s="14" t="s">
        <v>9529</v>
      </c>
    </row>
    <row r="1923" spans="1:21">
      <c r="A1923" s="14" t="s">
        <v>9530</v>
      </c>
      <c r="B1923" s="14">
        <v>263.3103534</v>
      </c>
      <c r="C1923" s="14">
        <v>105.3276966</v>
      </c>
      <c r="D1923" s="14">
        <v>421.2930102</v>
      </c>
      <c r="E1923" s="14">
        <v>3.992071097</v>
      </c>
      <c r="F1923" s="14">
        <v>1.997137415</v>
      </c>
      <c r="G1923" s="51" t="s">
        <v>9531</v>
      </c>
      <c r="H1923" s="51" t="s">
        <v>9532</v>
      </c>
      <c r="I1923" s="14" t="s">
        <v>164</v>
      </c>
      <c r="J1923" s="14">
        <v>2.722184046</v>
      </c>
      <c r="K1923" s="14">
        <v>2.374631612</v>
      </c>
      <c r="L1923" s="14">
        <v>1.701115034</v>
      </c>
      <c r="M1923" s="14">
        <v>0.337945847</v>
      </c>
      <c r="N1923" s="14">
        <v>0.368032287</v>
      </c>
      <c r="O1923" s="14">
        <v>0.723834722</v>
      </c>
      <c r="P1923" s="14" t="s">
        <v>9533</v>
      </c>
      <c r="Q1923" s="14" t="s">
        <v>9534</v>
      </c>
      <c r="R1923" s="14" t="s">
        <v>1313</v>
      </c>
      <c r="S1923" s="14" t="s">
        <v>1314</v>
      </c>
      <c r="T1923" s="14" t="s">
        <v>9535</v>
      </c>
      <c r="U1923" s="14" t="s">
        <v>9536</v>
      </c>
    </row>
    <row r="1924" spans="1:21">
      <c r="A1924" s="14" t="s">
        <v>9537</v>
      </c>
      <c r="B1924" s="14">
        <v>383.3599172</v>
      </c>
      <c r="C1924" s="14">
        <v>698.1938268</v>
      </c>
      <c r="D1924" s="14">
        <v>68.5260077</v>
      </c>
      <c r="E1924" s="14">
        <v>0.098122981</v>
      </c>
      <c r="F1924" s="14">
        <v>-3.349265133</v>
      </c>
      <c r="G1924" s="51" t="s">
        <v>9538</v>
      </c>
      <c r="H1924" s="51" t="s">
        <v>9539</v>
      </c>
      <c r="I1924" s="14" t="s">
        <v>147</v>
      </c>
      <c r="J1924" s="14">
        <v>0.634992824</v>
      </c>
      <c r="K1924" s="14">
        <v>1.73480652</v>
      </c>
      <c r="L1924" s="14">
        <v>0.756974503</v>
      </c>
      <c r="M1924" s="14">
        <v>11.15051379</v>
      </c>
      <c r="N1924" s="14">
        <v>11.75246137</v>
      </c>
      <c r="O1924" s="14">
        <v>2.670416926</v>
      </c>
      <c r="P1924" s="14" t="s">
        <v>9540</v>
      </c>
      <c r="Q1924" s="14" t="s">
        <v>9541</v>
      </c>
      <c r="T1924" s="14" t="s">
        <v>9542</v>
      </c>
      <c r="U1924" s="14" t="s">
        <v>9543</v>
      </c>
    </row>
    <row r="1925" spans="1:21">
      <c r="A1925" s="14" t="s">
        <v>9544</v>
      </c>
      <c r="B1925" s="14">
        <v>170.0410723</v>
      </c>
      <c r="C1925" s="14">
        <v>96.30436041</v>
      </c>
      <c r="D1925" s="14">
        <v>243.7777841</v>
      </c>
      <c r="E1925" s="14">
        <v>2.527752727</v>
      </c>
      <c r="F1925" s="14">
        <v>1.337855341</v>
      </c>
      <c r="G1925" s="14">
        <v>0.019594405</v>
      </c>
      <c r="H1925" s="14">
        <v>0.047741093</v>
      </c>
      <c r="I1925" s="14" t="s">
        <v>164</v>
      </c>
      <c r="J1925" s="14">
        <v>5.663582579</v>
      </c>
      <c r="K1925" s="14">
        <v>2.723415343</v>
      </c>
      <c r="L1925" s="14">
        <v>4.029202218</v>
      </c>
      <c r="M1925" s="14">
        <v>0.819604394</v>
      </c>
      <c r="N1925" s="14">
        <v>0.689748345</v>
      </c>
      <c r="O1925" s="14">
        <v>2.672957336</v>
      </c>
      <c r="P1925" s="14" t="s">
        <v>9545</v>
      </c>
      <c r="Q1925" s="14" t="s">
        <v>9546</v>
      </c>
      <c r="T1925" s="14" t="s">
        <v>2899</v>
      </c>
      <c r="U1925" s="14" t="s">
        <v>2900</v>
      </c>
    </row>
    <row r="1926" spans="1:15">
      <c r="A1926" s="14" t="s">
        <v>9547</v>
      </c>
      <c r="B1926" s="14">
        <v>31.54605864</v>
      </c>
      <c r="C1926" s="14">
        <v>6.307192195</v>
      </c>
      <c r="D1926" s="14">
        <v>56.78492508</v>
      </c>
      <c r="E1926" s="14">
        <v>8.988953814</v>
      </c>
      <c r="F1926" s="14">
        <v>3.168153216</v>
      </c>
      <c r="G1926" s="14">
        <v>0.00454233</v>
      </c>
      <c r="H1926" s="14">
        <v>0.013626225</v>
      </c>
      <c r="I1926" s="14" t="s">
        <v>164</v>
      </c>
      <c r="J1926" s="14">
        <v>3.414483517</v>
      </c>
      <c r="K1926" s="14">
        <v>0.19981277</v>
      </c>
      <c r="L1926" s="14">
        <v>3.249405236</v>
      </c>
      <c r="M1926" s="14">
        <v>0.067939861</v>
      </c>
      <c r="N1926" s="14">
        <v>0.358491267</v>
      </c>
      <c r="O1926" s="14">
        <v>0.199413662</v>
      </c>
    </row>
    <row r="1927" spans="1:15">
      <c r="A1927" s="14" t="s">
        <v>9548</v>
      </c>
      <c r="B1927" s="14">
        <v>72.27669248</v>
      </c>
      <c r="C1927" s="14">
        <v>1.355951503</v>
      </c>
      <c r="D1927" s="14">
        <v>143.1974335</v>
      </c>
      <c r="E1927" s="14">
        <v>105.9907503</v>
      </c>
      <c r="F1927" s="14">
        <v>6.727794558</v>
      </c>
      <c r="G1927" s="51" t="s">
        <v>9268</v>
      </c>
      <c r="H1927" s="51" t="s">
        <v>9269</v>
      </c>
      <c r="I1927" s="14" t="s">
        <v>164</v>
      </c>
      <c r="J1927" s="14">
        <v>13.41656323</v>
      </c>
      <c r="K1927" s="14">
        <v>0.830174486</v>
      </c>
      <c r="L1927" s="14">
        <v>9.688597769</v>
      </c>
      <c r="M1927" s="14">
        <v>0</v>
      </c>
      <c r="N1927" s="14">
        <v>0.180538892</v>
      </c>
      <c r="O1927" s="14">
        <v>0</v>
      </c>
    </row>
    <row r="1928" spans="1:15">
      <c r="A1928" s="14" t="s">
        <v>9549</v>
      </c>
      <c r="B1928" s="14">
        <v>252037.5729</v>
      </c>
      <c r="C1928" s="14">
        <v>17258.17497</v>
      </c>
      <c r="D1928" s="14">
        <v>486816.9708</v>
      </c>
      <c r="E1928" s="14">
        <v>28.20802718</v>
      </c>
      <c r="F1928" s="14">
        <v>4.818033865</v>
      </c>
      <c r="G1928" s="51" t="s">
        <v>9550</v>
      </c>
      <c r="H1928" s="51" t="s">
        <v>9551</v>
      </c>
      <c r="I1928" s="14" t="s">
        <v>164</v>
      </c>
      <c r="J1928" s="14">
        <v>11327.26491</v>
      </c>
      <c r="K1928" s="14">
        <v>3444.174059</v>
      </c>
      <c r="L1928" s="14">
        <v>11620.39341</v>
      </c>
      <c r="M1928" s="14">
        <v>223.4694157</v>
      </c>
      <c r="N1928" s="14">
        <v>418.9331803</v>
      </c>
      <c r="O1928" s="14">
        <v>108.9760161</v>
      </c>
    </row>
    <row r="1929" spans="1:15">
      <c r="A1929" s="14" t="s">
        <v>9552</v>
      </c>
      <c r="B1929" s="14">
        <v>57.67122011</v>
      </c>
      <c r="C1929" s="14">
        <v>14.7756633</v>
      </c>
      <c r="D1929" s="14">
        <v>100.5667769</v>
      </c>
      <c r="E1929" s="14">
        <v>6.821774124</v>
      </c>
      <c r="F1929" s="14">
        <v>2.770146987</v>
      </c>
      <c r="G1929" s="14">
        <v>0.003477335</v>
      </c>
      <c r="H1929" s="14">
        <v>0.010817635</v>
      </c>
      <c r="I1929" s="14" t="s">
        <v>164</v>
      </c>
      <c r="J1929" s="14">
        <v>9.552553033</v>
      </c>
      <c r="K1929" s="14">
        <v>9.931905671</v>
      </c>
      <c r="L1929" s="14">
        <v>12.53308922</v>
      </c>
      <c r="M1929" s="14">
        <v>0.898144369</v>
      </c>
      <c r="N1929" s="14">
        <v>2.757321263</v>
      </c>
      <c r="O1929" s="14">
        <v>0.08787294</v>
      </c>
    </row>
    <row r="1930" spans="1:21">
      <c r="A1930" s="14" t="s">
        <v>9553</v>
      </c>
      <c r="B1930" s="14">
        <v>3655.873059</v>
      </c>
      <c r="C1930" s="14">
        <v>1761.671394</v>
      </c>
      <c r="D1930" s="14">
        <v>5550.074724</v>
      </c>
      <c r="E1930" s="14">
        <v>3.150278285</v>
      </c>
      <c r="F1930" s="14">
        <v>1.655479277</v>
      </c>
      <c r="G1930" s="51" t="s">
        <v>9554</v>
      </c>
      <c r="H1930" s="51" t="s">
        <v>9555</v>
      </c>
      <c r="I1930" s="14" t="s">
        <v>164</v>
      </c>
      <c r="J1930" s="14">
        <v>55.86310356</v>
      </c>
      <c r="K1930" s="14">
        <v>35.09172212</v>
      </c>
      <c r="L1930" s="14">
        <v>53.38321444</v>
      </c>
      <c r="M1930" s="14">
        <v>10.542303</v>
      </c>
      <c r="N1930" s="14">
        <v>12.80977066</v>
      </c>
      <c r="O1930" s="14">
        <v>14.50621277</v>
      </c>
      <c r="P1930" s="14" t="s">
        <v>9556</v>
      </c>
      <c r="Q1930" s="14" t="s">
        <v>9557</v>
      </c>
      <c r="T1930" s="14" t="s">
        <v>9558</v>
      </c>
      <c r="U1930" s="14" t="s">
        <v>9559</v>
      </c>
    </row>
    <row r="1931" spans="1:21">
      <c r="A1931" s="14" t="s">
        <v>9560</v>
      </c>
      <c r="B1931" s="14">
        <v>188.8078688</v>
      </c>
      <c r="C1931" s="14">
        <v>301.2395152</v>
      </c>
      <c r="D1931" s="14">
        <v>76.37622246</v>
      </c>
      <c r="E1931" s="14">
        <v>0.253259348</v>
      </c>
      <c r="F1931" s="14">
        <v>-1.981312572</v>
      </c>
      <c r="G1931" s="51" t="s">
        <v>9561</v>
      </c>
      <c r="H1931" s="51" t="s">
        <v>9562</v>
      </c>
      <c r="I1931" s="14" t="s">
        <v>147</v>
      </c>
      <c r="J1931" s="14">
        <v>1.920062432</v>
      </c>
      <c r="K1931" s="14">
        <v>1.93260019</v>
      </c>
      <c r="L1931" s="14">
        <v>1.068155708</v>
      </c>
      <c r="M1931" s="14">
        <v>5.001398849</v>
      </c>
      <c r="N1931" s="14">
        <v>5.936519047</v>
      </c>
      <c r="O1931" s="14">
        <v>5.036154429</v>
      </c>
      <c r="P1931" s="14" t="s">
        <v>9563</v>
      </c>
      <c r="Q1931" s="14" t="s">
        <v>9564</v>
      </c>
      <c r="T1931" s="14" t="s">
        <v>9565</v>
      </c>
      <c r="U1931" s="14" t="s">
        <v>9566</v>
      </c>
    </row>
    <row r="1932" spans="1:21">
      <c r="A1932" s="14" t="s">
        <v>9567</v>
      </c>
      <c r="B1932" s="14">
        <v>6.263897595</v>
      </c>
      <c r="C1932" s="14">
        <v>12.52779519</v>
      </c>
      <c r="D1932" s="14">
        <v>0</v>
      </c>
      <c r="E1932" s="14">
        <v>0.014360262</v>
      </c>
      <c r="F1932" s="14">
        <v>-6.121774073</v>
      </c>
      <c r="G1932" s="14">
        <v>0.001078023</v>
      </c>
      <c r="H1932" s="14">
        <v>0.003919745</v>
      </c>
      <c r="I1932" s="14" t="s">
        <v>147</v>
      </c>
      <c r="J1932" s="14">
        <v>0</v>
      </c>
      <c r="K1932" s="14">
        <v>0</v>
      </c>
      <c r="L1932" s="14">
        <v>0</v>
      </c>
      <c r="M1932" s="14">
        <v>0.053523728</v>
      </c>
      <c r="N1932" s="14">
        <v>0.071889527</v>
      </c>
      <c r="O1932" s="14">
        <v>0.282780277</v>
      </c>
      <c r="P1932" s="14" t="s">
        <v>9568</v>
      </c>
      <c r="Q1932" s="14" t="s">
        <v>9569</v>
      </c>
      <c r="T1932" s="14" t="s">
        <v>9570</v>
      </c>
      <c r="U1932" s="14" t="s">
        <v>9571</v>
      </c>
    </row>
    <row r="1933" spans="1:21">
      <c r="A1933" s="14" t="s">
        <v>9572</v>
      </c>
      <c r="B1933" s="14">
        <v>6809.963981</v>
      </c>
      <c r="C1933" s="14">
        <v>9478.963913</v>
      </c>
      <c r="D1933" s="14">
        <v>4140.964049</v>
      </c>
      <c r="E1933" s="14">
        <v>0.436840216</v>
      </c>
      <c r="F1933" s="14">
        <v>-1.194822417</v>
      </c>
      <c r="G1933" s="51" t="s">
        <v>9573</v>
      </c>
      <c r="H1933" s="51" t="s">
        <v>2494</v>
      </c>
      <c r="I1933" s="14" t="s">
        <v>147</v>
      </c>
      <c r="J1933" s="14">
        <v>23.57342158</v>
      </c>
      <c r="K1933" s="14">
        <v>23.78312952</v>
      </c>
      <c r="L1933" s="14">
        <v>22.11607496</v>
      </c>
      <c r="M1933" s="14">
        <v>36.78738991</v>
      </c>
      <c r="N1933" s="14">
        <v>33.23713425</v>
      </c>
      <c r="O1933" s="14">
        <v>62.94338133</v>
      </c>
      <c r="P1933" s="14" t="s">
        <v>9574</v>
      </c>
      <c r="Q1933" s="14" t="s">
        <v>9575</v>
      </c>
      <c r="T1933" s="14" t="s">
        <v>9576</v>
      </c>
      <c r="U1933" s="14" t="s">
        <v>9577</v>
      </c>
    </row>
    <row r="1934" spans="1:21">
      <c r="A1934" s="14" t="s">
        <v>9578</v>
      </c>
      <c r="B1934" s="14">
        <v>512.2100327</v>
      </c>
      <c r="C1934" s="14">
        <v>917.3282944</v>
      </c>
      <c r="D1934" s="14">
        <v>107.0917709</v>
      </c>
      <c r="E1934" s="14">
        <v>0.116734745</v>
      </c>
      <c r="F1934" s="14">
        <v>-3.098694067</v>
      </c>
      <c r="G1934" s="51" t="s">
        <v>9579</v>
      </c>
      <c r="H1934" s="51" t="s">
        <v>9580</v>
      </c>
      <c r="I1934" s="14" t="s">
        <v>147</v>
      </c>
      <c r="J1934" s="14">
        <v>1.807363116</v>
      </c>
      <c r="K1934" s="14">
        <v>2.321600998</v>
      </c>
      <c r="L1934" s="14">
        <v>1.441895377</v>
      </c>
      <c r="M1934" s="14">
        <v>17.03952802</v>
      </c>
      <c r="N1934" s="14">
        <v>17.40708902</v>
      </c>
      <c r="O1934" s="14">
        <v>3.775152474</v>
      </c>
      <c r="P1934" s="14" t="s">
        <v>9574</v>
      </c>
      <c r="Q1934" s="14" t="s">
        <v>9575</v>
      </c>
      <c r="T1934" s="14" t="s">
        <v>9576</v>
      </c>
      <c r="U1934" s="14" t="s">
        <v>9577</v>
      </c>
    </row>
    <row r="1935" spans="1:21">
      <c r="A1935" s="14" t="s">
        <v>9581</v>
      </c>
      <c r="B1935" s="14">
        <v>8.131779031</v>
      </c>
      <c r="C1935" s="14">
        <v>14.60054852</v>
      </c>
      <c r="D1935" s="14">
        <v>1.663009545</v>
      </c>
      <c r="E1935" s="14">
        <v>0.112836933</v>
      </c>
      <c r="F1935" s="14">
        <v>-3.14768874</v>
      </c>
      <c r="G1935" s="14">
        <v>0.016058565</v>
      </c>
      <c r="H1935" s="14">
        <v>0.040442701</v>
      </c>
      <c r="I1935" s="14" t="s">
        <v>147</v>
      </c>
      <c r="J1935" s="14">
        <v>0.177646802</v>
      </c>
      <c r="K1935" s="14">
        <v>0.044701703</v>
      </c>
      <c r="L1935" s="14">
        <v>0</v>
      </c>
      <c r="M1935" s="14">
        <v>0.303987325</v>
      </c>
      <c r="N1935" s="14">
        <v>0.328094718</v>
      </c>
      <c r="O1935" s="14">
        <v>1.040956361</v>
      </c>
      <c r="P1935" s="14" t="s">
        <v>9582</v>
      </c>
      <c r="Q1935" s="14" t="s">
        <v>9583</v>
      </c>
      <c r="T1935" s="14" t="s">
        <v>6271</v>
      </c>
      <c r="U1935" s="14" t="s">
        <v>6272</v>
      </c>
    </row>
    <row r="1936" spans="1:19">
      <c r="A1936" s="14" t="s">
        <v>9584</v>
      </c>
      <c r="B1936" s="14">
        <v>244.0785459</v>
      </c>
      <c r="C1936" s="14">
        <v>396.7058411</v>
      </c>
      <c r="D1936" s="14">
        <v>91.45125059</v>
      </c>
      <c r="E1936" s="14">
        <v>0.230306554</v>
      </c>
      <c r="F1936" s="14">
        <v>-2.118372627</v>
      </c>
      <c r="G1936" s="51" t="s">
        <v>9585</v>
      </c>
      <c r="H1936" s="51" t="s">
        <v>9586</v>
      </c>
      <c r="I1936" s="14" t="s">
        <v>147</v>
      </c>
      <c r="J1936" s="14">
        <v>2.949040497</v>
      </c>
      <c r="K1936" s="14">
        <v>5.407993796</v>
      </c>
      <c r="L1936" s="14">
        <v>2.800584969</v>
      </c>
      <c r="M1936" s="14">
        <v>13.06525114</v>
      </c>
      <c r="N1936" s="14">
        <v>12.30243594</v>
      </c>
      <c r="O1936" s="14">
        <v>14.67657423</v>
      </c>
      <c r="R1936" s="14" t="s">
        <v>6420</v>
      </c>
      <c r="S1936" s="14" t="s">
        <v>6421</v>
      </c>
    </row>
    <row r="1937" spans="1:21">
      <c r="A1937" s="14" t="s">
        <v>9587</v>
      </c>
      <c r="B1937" s="14">
        <v>563.5520675</v>
      </c>
      <c r="C1937" s="14">
        <v>960.7284715</v>
      </c>
      <c r="D1937" s="14">
        <v>166.3756635</v>
      </c>
      <c r="E1937" s="14">
        <v>0.173195594</v>
      </c>
      <c r="F1937" s="14">
        <v>-2.529525866</v>
      </c>
      <c r="G1937" s="51" t="s">
        <v>9588</v>
      </c>
      <c r="H1937" s="51" t="s">
        <v>9589</v>
      </c>
      <c r="I1937" s="14" t="s">
        <v>147</v>
      </c>
      <c r="J1937" s="14">
        <v>1.217406272</v>
      </c>
      <c r="K1937" s="14">
        <v>1.616788871</v>
      </c>
      <c r="L1937" s="14">
        <v>1.424523022</v>
      </c>
      <c r="M1937" s="14">
        <v>6.85000846</v>
      </c>
      <c r="N1937" s="14">
        <v>8.355238592</v>
      </c>
      <c r="O1937" s="14">
        <v>4.805293365</v>
      </c>
      <c r="P1937" s="14" t="s">
        <v>9590</v>
      </c>
      <c r="Q1937" s="14" t="s">
        <v>9591</v>
      </c>
      <c r="T1937" s="14" t="s">
        <v>9592</v>
      </c>
      <c r="U1937" s="14" t="s">
        <v>9593</v>
      </c>
    </row>
    <row r="1938" spans="1:21">
      <c r="A1938" s="14" t="s">
        <v>9594</v>
      </c>
      <c r="B1938" s="14">
        <v>68.9726452</v>
      </c>
      <c r="C1938" s="14">
        <v>112.7243536</v>
      </c>
      <c r="D1938" s="14">
        <v>25.22093682</v>
      </c>
      <c r="E1938" s="14">
        <v>0.223777067</v>
      </c>
      <c r="F1938" s="14">
        <v>-2.159865901</v>
      </c>
      <c r="G1938" s="51" t="s">
        <v>9595</v>
      </c>
      <c r="H1938" s="51" t="s">
        <v>1061</v>
      </c>
      <c r="I1938" s="14" t="s">
        <v>147</v>
      </c>
      <c r="J1938" s="14">
        <v>0.165450156</v>
      </c>
      <c r="K1938" s="14">
        <v>0.314557656</v>
      </c>
      <c r="L1938" s="14">
        <v>0.221254985</v>
      </c>
      <c r="M1938" s="14">
        <v>1.108873167</v>
      </c>
      <c r="N1938" s="14">
        <v>0.671496895</v>
      </c>
      <c r="O1938" s="14">
        <v>0.784823388</v>
      </c>
      <c r="P1938" s="14" t="s">
        <v>9596</v>
      </c>
      <c r="Q1938" s="14" t="s">
        <v>9597</v>
      </c>
      <c r="T1938" s="14" t="s">
        <v>9598</v>
      </c>
      <c r="U1938" s="14" t="s">
        <v>9599</v>
      </c>
    </row>
    <row r="1939" spans="1:15">
      <c r="A1939" s="14" t="s">
        <v>9600</v>
      </c>
      <c r="B1939" s="14">
        <v>6434.76848</v>
      </c>
      <c r="C1939" s="14">
        <v>3444.760762</v>
      </c>
      <c r="D1939" s="14">
        <v>9424.776198</v>
      </c>
      <c r="E1939" s="14">
        <v>2.735738629</v>
      </c>
      <c r="F1939" s="14">
        <v>1.451930403</v>
      </c>
      <c r="G1939" s="51" t="s">
        <v>9601</v>
      </c>
      <c r="H1939" s="51" t="s">
        <v>9602</v>
      </c>
      <c r="I1939" s="14" t="s">
        <v>164</v>
      </c>
      <c r="J1939" s="14">
        <v>137.7382413</v>
      </c>
      <c r="K1939" s="14">
        <v>170.8228803</v>
      </c>
      <c r="L1939" s="14">
        <v>163.1709999</v>
      </c>
      <c r="M1939" s="14">
        <v>42.62892019</v>
      </c>
      <c r="N1939" s="14">
        <v>40.35480247</v>
      </c>
      <c r="O1939" s="14">
        <v>60.20255259</v>
      </c>
    </row>
    <row r="1940" spans="1:21">
      <c r="A1940" s="14" t="s">
        <v>9603</v>
      </c>
      <c r="B1940" s="14">
        <v>70.00443488</v>
      </c>
      <c r="C1940" s="14">
        <v>131.0611377</v>
      </c>
      <c r="D1940" s="14">
        <v>8.947732105</v>
      </c>
      <c r="E1940" s="14">
        <v>0.068076215</v>
      </c>
      <c r="F1940" s="14">
        <v>-3.876705369</v>
      </c>
      <c r="G1940" s="51" t="s">
        <v>9604</v>
      </c>
      <c r="H1940" s="51" t="s">
        <v>9605</v>
      </c>
      <c r="I1940" s="14" t="s">
        <v>147</v>
      </c>
      <c r="J1940" s="14">
        <v>0.035393233</v>
      </c>
      <c r="K1940" s="14">
        <v>0.225620857</v>
      </c>
      <c r="L1940" s="14">
        <v>0.056797257</v>
      </c>
      <c r="M1940" s="14">
        <v>1.463642675</v>
      </c>
      <c r="N1940" s="14">
        <v>1.62692519</v>
      </c>
      <c r="O1940" s="14">
        <v>0.691312015</v>
      </c>
      <c r="P1940" s="14" t="s">
        <v>9606</v>
      </c>
      <c r="Q1940" s="14" t="s">
        <v>9607</v>
      </c>
      <c r="R1940" s="14" t="s">
        <v>9608</v>
      </c>
      <c r="S1940" s="14" t="s">
        <v>9609</v>
      </c>
      <c r="T1940" s="14" t="s">
        <v>9610</v>
      </c>
      <c r="U1940" s="14" t="s">
        <v>9611</v>
      </c>
    </row>
    <row r="1941" spans="1:21">
      <c r="A1941" s="14" t="s">
        <v>9612</v>
      </c>
      <c r="B1941" s="14">
        <v>8820.814269</v>
      </c>
      <c r="C1941" s="14">
        <v>13310.68942</v>
      </c>
      <c r="D1941" s="14">
        <v>4330.939114</v>
      </c>
      <c r="E1941" s="14">
        <v>0.3253566</v>
      </c>
      <c r="F1941" s="14">
        <v>-1.619906275</v>
      </c>
      <c r="G1941" s="51" t="s">
        <v>9613</v>
      </c>
      <c r="H1941" s="51" t="s">
        <v>9614</v>
      </c>
      <c r="I1941" s="14" t="s">
        <v>147</v>
      </c>
      <c r="J1941" s="14">
        <v>183.9961437</v>
      </c>
      <c r="K1941" s="14">
        <v>176.3405116</v>
      </c>
      <c r="L1941" s="14">
        <v>161.6719715</v>
      </c>
      <c r="M1941" s="14">
        <v>384.4522455</v>
      </c>
      <c r="N1941" s="14">
        <v>383.5766657</v>
      </c>
      <c r="O1941" s="14">
        <v>565.9623327</v>
      </c>
      <c r="P1941" s="14" t="s">
        <v>9615</v>
      </c>
      <c r="Q1941" s="14" t="s">
        <v>9616</v>
      </c>
      <c r="R1941" s="14" t="s">
        <v>1536</v>
      </c>
      <c r="S1941" s="14" t="s">
        <v>1537</v>
      </c>
      <c r="T1941" s="14" t="s">
        <v>9617</v>
      </c>
      <c r="U1941" s="14" t="s">
        <v>9618</v>
      </c>
    </row>
    <row r="1942" spans="1:21">
      <c r="A1942" s="14" t="s">
        <v>9619</v>
      </c>
      <c r="B1942" s="14">
        <v>2956.597663</v>
      </c>
      <c r="C1942" s="14">
        <v>1112.708217</v>
      </c>
      <c r="D1942" s="14">
        <v>4800.48711</v>
      </c>
      <c r="E1942" s="14">
        <v>4.314754494</v>
      </c>
      <c r="F1942" s="14">
        <v>2.109278474</v>
      </c>
      <c r="G1942" s="51" t="s">
        <v>9620</v>
      </c>
      <c r="H1942" s="51" t="s">
        <v>9621</v>
      </c>
      <c r="I1942" s="14" t="s">
        <v>164</v>
      </c>
      <c r="J1942" s="14">
        <v>52.79575536</v>
      </c>
      <c r="K1942" s="14">
        <v>37.43366184</v>
      </c>
      <c r="L1942" s="14">
        <v>51.55654894</v>
      </c>
      <c r="M1942" s="14">
        <v>8.859333935</v>
      </c>
      <c r="N1942" s="14">
        <v>13.33690612</v>
      </c>
      <c r="O1942" s="14">
        <v>4.28906428</v>
      </c>
      <c r="P1942" s="14" t="s">
        <v>9622</v>
      </c>
      <c r="Q1942" s="14" t="s">
        <v>9623</v>
      </c>
      <c r="T1942" s="14" t="s">
        <v>9624</v>
      </c>
      <c r="U1942" s="14" t="s">
        <v>9625</v>
      </c>
    </row>
    <row r="1943" spans="1:21">
      <c r="A1943" s="14" t="s">
        <v>9626</v>
      </c>
      <c r="B1943" s="14">
        <v>4924.460716</v>
      </c>
      <c r="C1943" s="14">
        <v>6848.241131</v>
      </c>
      <c r="D1943" s="14">
        <v>3000.6803</v>
      </c>
      <c r="E1943" s="14">
        <v>0.438142869</v>
      </c>
      <c r="F1943" s="14">
        <v>-1.190526716</v>
      </c>
      <c r="G1943" s="51" t="s">
        <v>9627</v>
      </c>
      <c r="H1943" s="51" t="s">
        <v>9628</v>
      </c>
      <c r="I1943" s="14" t="s">
        <v>147</v>
      </c>
      <c r="J1943" s="14">
        <v>16.59941938</v>
      </c>
      <c r="K1943" s="14">
        <v>14.91297544</v>
      </c>
      <c r="L1943" s="14">
        <v>16.16453582</v>
      </c>
      <c r="M1943" s="14">
        <v>26.71302999</v>
      </c>
      <c r="N1943" s="14">
        <v>26.932412</v>
      </c>
      <c r="O1943" s="14">
        <v>36.54942213</v>
      </c>
      <c r="Q1943" s="14" t="s">
        <v>2251</v>
      </c>
      <c r="T1943" s="14" t="s">
        <v>2252</v>
      </c>
      <c r="U1943" s="14" t="s">
        <v>2253</v>
      </c>
    </row>
    <row r="1944" spans="1:15">
      <c r="A1944" s="14" t="s">
        <v>9629</v>
      </c>
      <c r="B1944" s="14">
        <v>88.41336166</v>
      </c>
      <c r="C1944" s="14">
        <v>39.4775096</v>
      </c>
      <c r="D1944" s="14">
        <v>137.3492137</v>
      </c>
      <c r="E1944" s="14">
        <v>3.472258382</v>
      </c>
      <c r="F1944" s="14">
        <v>1.795874307</v>
      </c>
      <c r="G1944" s="14">
        <v>0.016418857</v>
      </c>
      <c r="H1944" s="14">
        <v>0.04118123</v>
      </c>
      <c r="I1944" s="14" t="s">
        <v>164</v>
      </c>
      <c r="J1944" s="14">
        <v>3.16129808</v>
      </c>
      <c r="K1944" s="14">
        <v>0.933830495</v>
      </c>
      <c r="L1944" s="14">
        <v>3.076939448</v>
      </c>
      <c r="M1944" s="14">
        <v>0.367498626</v>
      </c>
      <c r="N1944" s="14">
        <v>0.211542781</v>
      </c>
      <c r="O1944" s="14">
        <v>1.179338745</v>
      </c>
    </row>
    <row r="1945" spans="1:15">
      <c r="A1945" s="14" t="s">
        <v>9630</v>
      </c>
      <c r="B1945" s="14">
        <v>687.3925927</v>
      </c>
      <c r="C1945" s="14">
        <v>927.2858181</v>
      </c>
      <c r="D1945" s="14">
        <v>447.4993673</v>
      </c>
      <c r="E1945" s="14">
        <v>0.482724005</v>
      </c>
      <c r="F1945" s="14">
        <v>-1.050729523</v>
      </c>
      <c r="G1945" s="14">
        <v>0.000597625</v>
      </c>
      <c r="H1945" s="14">
        <v>0.002324852</v>
      </c>
      <c r="I1945" s="14" t="s">
        <v>147</v>
      </c>
      <c r="J1945" s="14">
        <v>7.730164066</v>
      </c>
      <c r="K1945" s="14">
        <v>7.798284206</v>
      </c>
      <c r="L1945" s="14">
        <v>8.236227325</v>
      </c>
      <c r="M1945" s="14">
        <v>15.25243423</v>
      </c>
      <c r="N1945" s="14">
        <v>15.81274039</v>
      </c>
      <c r="O1945" s="14">
        <v>8.862661258</v>
      </c>
    </row>
    <row r="1946" spans="1:21">
      <c r="A1946" s="14" t="s">
        <v>9631</v>
      </c>
      <c r="B1946" s="14">
        <v>168.5564723</v>
      </c>
      <c r="C1946" s="14">
        <v>14.25146209</v>
      </c>
      <c r="D1946" s="14">
        <v>322.8614825</v>
      </c>
      <c r="E1946" s="14">
        <v>22.57666922</v>
      </c>
      <c r="F1946" s="14">
        <v>4.496760753</v>
      </c>
      <c r="G1946" s="51" t="s">
        <v>9632</v>
      </c>
      <c r="H1946" s="51" t="s">
        <v>9633</v>
      </c>
      <c r="I1946" s="14" t="s">
        <v>164</v>
      </c>
      <c r="J1946" s="14">
        <v>5.152492716</v>
      </c>
      <c r="K1946" s="14">
        <v>1.74271028</v>
      </c>
      <c r="L1946" s="14">
        <v>3.314078249</v>
      </c>
      <c r="M1946" s="14">
        <v>0.071391829</v>
      </c>
      <c r="N1946" s="14">
        <v>0.154106966</v>
      </c>
      <c r="O1946" s="14">
        <v>0.14842821</v>
      </c>
      <c r="P1946" s="14" t="s">
        <v>9634</v>
      </c>
      <c r="Q1946" s="14" t="s">
        <v>9635</v>
      </c>
      <c r="T1946" s="14" t="s">
        <v>9636</v>
      </c>
      <c r="U1946" s="14" t="s">
        <v>9637</v>
      </c>
    </row>
    <row r="1947" spans="1:21">
      <c r="A1947" s="14" t="s">
        <v>9638</v>
      </c>
      <c r="B1947" s="14">
        <v>5769.890652</v>
      </c>
      <c r="C1947" s="14">
        <v>8771.727003</v>
      </c>
      <c r="D1947" s="14">
        <v>2768.054302</v>
      </c>
      <c r="E1947" s="14">
        <v>0.31557321</v>
      </c>
      <c r="F1947" s="14">
        <v>-1.663953357</v>
      </c>
      <c r="G1947" s="51" t="s">
        <v>9639</v>
      </c>
      <c r="H1947" s="51" t="s">
        <v>325</v>
      </c>
      <c r="I1947" s="14" t="s">
        <v>147</v>
      </c>
      <c r="J1947" s="14">
        <v>49.38827256</v>
      </c>
      <c r="K1947" s="14">
        <v>68.54288672</v>
      </c>
      <c r="L1947" s="14">
        <v>60.88487533</v>
      </c>
      <c r="M1947" s="14">
        <v>170.9784782</v>
      </c>
      <c r="N1947" s="14">
        <v>177.5877276</v>
      </c>
      <c r="O1947" s="14">
        <v>112.331246</v>
      </c>
      <c r="P1947" s="14" t="s">
        <v>9640</v>
      </c>
      <c r="Q1947" s="14" t="s">
        <v>9641</v>
      </c>
      <c r="T1947" s="14" t="s">
        <v>9642</v>
      </c>
      <c r="U1947" s="14" t="s">
        <v>9643</v>
      </c>
    </row>
    <row r="1948" spans="1:15">
      <c r="A1948" s="14" t="s">
        <v>9644</v>
      </c>
      <c r="B1948" s="14">
        <v>29.06616373</v>
      </c>
      <c r="C1948" s="14">
        <v>57.48336121</v>
      </c>
      <c r="D1948" s="14">
        <v>0.648966256</v>
      </c>
      <c r="E1948" s="14">
        <v>0.011342196</v>
      </c>
      <c r="F1948" s="14">
        <v>-6.462156211</v>
      </c>
      <c r="G1948" s="51" t="s">
        <v>2691</v>
      </c>
      <c r="H1948" s="14">
        <v>0.000138338</v>
      </c>
      <c r="I1948" s="14" t="s">
        <v>147</v>
      </c>
      <c r="J1948" s="14">
        <v>0</v>
      </c>
      <c r="K1948" s="14">
        <v>0.011725037</v>
      </c>
      <c r="L1948" s="14">
        <v>0.011216205</v>
      </c>
      <c r="M1948" s="14">
        <v>0.88704498</v>
      </c>
      <c r="N1948" s="14">
        <v>0.669337129</v>
      </c>
      <c r="O1948" s="14">
        <v>0.048756738</v>
      </c>
    </row>
    <row r="1949" spans="1:21">
      <c r="A1949" s="14" t="s">
        <v>9645</v>
      </c>
      <c r="B1949" s="14">
        <v>2377.694426</v>
      </c>
      <c r="C1949" s="14">
        <v>3469.21965</v>
      </c>
      <c r="D1949" s="14">
        <v>1286.169201</v>
      </c>
      <c r="E1949" s="14">
        <v>0.370691471</v>
      </c>
      <c r="F1949" s="14">
        <v>-1.431709172</v>
      </c>
      <c r="G1949" s="51" t="s">
        <v>9646</v>
      </c>
      <c r="H1949" s="51" t="s">
        <v>9647</v>
      </c>
      <c r="I1949" s="14" t="s">
        <v>147</v>
      </c>
      <c r="J1949" s="14">
        <v>18.41007017</v>
      </c>
      <c r="K1949" s="14">
        <v>14.64212468</v>
      </c>
      <c r="L1949" s="14">
        <v>14.54813503</v>
      </c>
      <c r="M1949" s="14">
        <v>30.93832004</v>
      </c>
      <c r="N1949" s="14">
        <v>29.94253853</v>
      </c>
      <c r="O1949" s="14">
        <v>45.92618911</v>
      </c>
      <c r="P1949" s="14" t="s">
        <v>9648</v>
      </c>
      <c r="Q1949" s="14" t="s">
        <v>9649</v>
      </c>
      <c r="T1949" s="14" t="s">
        <v>9650</v>
      </c>
      <c r="U1949" s="14" t="s">
        <v>9651</v>
      </c>
    </row>
    <row r="1950" spans="1:21">
      <c r="A1950" s="14" t="s">
        <v>9652</v>
      </c>
      <c r="B1950" s="14">
        <v>639.1599351</v>
      </c>
      <c r="C1950" s="14">
        <v>975.4401861</v>
      </c>
      <c r="D1950" s="14">
        <v>302.8796842</v>
      </c>
      <c r="E1950" s="14">
        <v>0.310410668</v>
      </c>
      <c r="F1950" s="14">
        <v>-1.687749954</v>
      </c>
      <c r="G1950" s="51" t="s">
        <v>9653</v>
      </c>
      <c r="H1950" s="51" t="s">
        <v>9654</v>
      </c>
      <c r="I1950" s="14" t="s">
        <v>147</v>
      </c>
      <c r="J1950" s="14">
        <v>5.24385885</v>
      </c>
      <c r="K1950" s="14">
        <v>4.983964929</v>
      </c>
      <c r="L1950" s="14">
        <v>4.658253466</v>
      </c>
      <c r="M1950" s="14">
        <v>10.47340512</v>
      </c>
      <c r="N1950" s="14">
        <v>8.821974269</v>
      </c>
      <c r="O1950" s="14">
        <v>21.02402548</v>
      </c>
      <c r="P1950" s="14" t="s">
        <v>9655</v>
      </c>
      <c r="Q1950" s="14" t="s">
        <v>9656</v>
      </c>
      <c r="T1950" s="14" t="s">
        <v>9657</v>
      </c>
      <c r="U1950" s="14" t="s">
        <v>9658</v>
      </c>
    </row>
    <row r="1951" spans="1:21">
      <c r="A1951" s="14" t="s">
        <v>9659</v>
      </c>
      <c r="B1951" s="14">
        <v>7872.299751</v>
      </c>
      <c r="C1951" s="14">
        <v>11185.26816</v>
      </c>
      <c r="D1951" s="14">
        <v>4559.331344</v>
      </c>
      <c r="E1951" s="14">
        <v>0.407598657</v>
      </c>
      <c r="F1951" s="14">
        <v>-1.294778797</v>
      </c>
      <c r="G1951" s="51" t="s">
        <v>9660</v>
      </c>
      <c r="H1951" s="51" t="s">
        <v>9661</v>
      </c>
      <c r="I1951" s="14" t="s">
        <v>147</v>
      </c>
      <c r="J1951" s="14">
        <v>40.84006479</v>
      </c>
      <c r="K1951" s="14">
        <v>40.08698836</v>
      </c>
      <c r="L1951" s="14">
        <v>39.667623</v>
      </c>
      <c r="M1951" s="14">
        <v>76.77495444</v>
      </c>
      <c r="N1951" s="14">
        <v>73.5632544</v>
      </c>
      <c r="O1951" s="14">
        <v>94.351111</v>
      </c>
      <c r="P1951" s="14" t="s">
        <v>9662</v>
      </c>
      <c r="Q1951" s="14" t="s">
        <v>9663</v>
      </c>
      <c r="T1951" s="14" t="s">
        <v>9664</v>
      </c>
      <c r="U1951" s="14" t="s">
        <v>9665</v>
      </c>
    </row>
    <row r="1952" spans="1:15">
      <c r="A1952" s="14" t="s">
        <v>9666</v>
      </c>
      <c r="B1952" s="14">
        <v>567.9852946</v>
      </c>
      <c r="C1952" s="14">
        <v>777.4348784</v>
      </c>
      <c r="D1952" s="14">
        <v>358.5357108</v>
      </c>
      <c r="E1952" s="14">
        <v>0.461160281</v>
      </c>
      <c r="F1952" s="14">
        <v>-1.116659833</v>
      </c>
      <c r="G1952" s="14">
        <v>0.000113504</v>
      </c>
      <c r="H1952" s="14">
        <v>0.000531088</v>
      </c>
      <c r="I1952" s="14" t="s">
        <v>147</v>
      </c>
      <c r="J1952" s="14">
        <v>3.569190147</v>
      </c>
      <c r="K1952" s="14">
        <v>6.782744345</v>
      </c>
      <c r="L1952" s="14">
        <v>4.590969431</v>
      </c>
      <c r="M1952" s="14">
        <v>9.574013526</v>
      </c>
      <c r="N1952" s="14">
        <v>8.246255299</v>
      </c>
      <c r="O1952" s="14">
        <v>8.824872636</v>
      </c>
    </row>
    <row r="1953" spans="1:21">
      <c r="A1953" s="14" t="s">
        <v>9667</v>
      </c>
      <c r="B1953" s="14">
        <v>301.4444994</v>
      </c>
      <c r="C1953" s="14">
        <v>193.7987761</v>
      </c>
      <c r="D1953" s="14">
        <v>409.0902228</v>
      </c>
      <c r="E1953" s="14">
        <v>2.10925971</v>
      </c>
      <c r="F1953" s="14">
        <v>1.076736743</v>
      </c>
      <c r="G1953" s="51" t="s">
        <v>9668</v>
      </c>
      <c r="H1953" s="14">
        <v>0.00019851</v>
      </c>
      <c r="I1953" s="14" t="s">
        <v>164</v>
      </c>
      <c r="J1953" s="14">
        <v>5.089251901</v>
      </c>
      <c r="K1953" s="14">
        <v>5.251622305</v>
      </c>
      <c r="L1953" s="14">
        <v>7.357137994</v>
      </c>
      <c r="M1953" s="14">
        <v>1.902735477</v>
      </c>
      <c r="N1953" s="14">
        <v>1.977569532</v>
      </c>
      <c r="O1953" s="14">
        <v>3.0907408</v>
      </c>
      <c r="P1953" s="14" t="s">
        <v>9669</v>
      </c>
      <c r="Q1953" s="14" t="s">
        <v>9670</v>
      </c>
      <c r="R1953" s="14" t="s">
        <v>341</v>
      </c>
      <c r="S1953" s="14" t="s">
        <v>342</v>
      </c>
      <c r="T1953" s="14" t="s">
        <v>9671</v>
      </c>
      <c r="U1953" s="14" t="s">
        <v>9672</v>
      </c>
    </row>
    <row r="1954" spans="1:21">
      <c r="A1954" s="14" t="s">
        <v>9673</v>
      </c>
      <c r="B1954" s="14">
        <v>9242.91669</v>
      </c>
      <c r="C1954" s="14">
        <v>12649.3132</v>
      </c>
      <c r="D1954" s="14">
        <v>5836.520183</v>
      </c>
      <c r="E1954" s="14">
        <v>0.461419685</v>
      </c>
      <c r="F1954" s="14">
        <v>-1.115848541</v>
      </c>
      <c r="G1954" s="51" t="s">
        <v>9674</v>
      </c>
      <c r="H1954" s="51" t="s">
        <v>1249</v>
      </c>
      <c r="I1954" s="14" t="s">
        <v>147</v>
      </c>
      <c r="J1954" s="14">
        <v>31.49532321</v>
      </c>
      <c r="K1954" s="14">
        <v>32.80022268</v>
      </c>
      <c r="L1954" s="14">
        <v>29.83282791</v>
      </c>
      <c r="M1954" s="14">
        <v>60.07518827</v>
      </c>
      <c r="N1954" s="14">
        <v>58.4396273</v>
      </c>
      <c r="O1954" s="14">
        <v>48.32342746</v>
      </c>
      <c r="P1954" s="14" t="s">
        <v>9675</v>
      </c>
      <c r="Q1954" s="14" t="s">
        <v>9676</v>
      </c>
      <c r="R1954" s="14" t="s">
        <v>9677</v>
      </c>
      <c r="S1954" s="14" t="s">
        <v>9678</v>
      </c>
      <c r="T1954" s="14" t="s">
        <v>9679</v>
      </c>
      <c r="U1954" s="14" t="s">
        <v>9680</v>
      </c>
    </row>
    <row r="1955" spans="1:15">
      <c r="A1955" s="14" t="s">
        <v>9681</v>
      </c>
      <c r="B1955" s="14">
        <v>622.6173711</v>
      </c>
      <c r="C1955" s="14">
        <v>968.3931249</v>
      </c>
      <c r="D1955" s="14">
        <v>276.8416174</v>
      </c>
      <c r="E1955" s="14">
        <v>0.285865236</v>
      </c>
      <c r="F1955" s="14">
        <v>-1.806592911</v>
      </c>
      <c r="G1955" s="51" t="s">
        <v>9682</v>
      </c>
      <c r="H1955" s="51" t="s">
        <v>9683</v>
      </c>
      <c r="I1955" s="14" t="s">
        <v>147</v>
      </c>
      <c r="J1955" s="14">
        <v>4.070654979</v>
      </c>
      <c r="K1955" s="14">
        <v>4.839488692</v>
      </c>
      <c r="L1955" s="14">
        <v>3.436599786</v>
      </c>
      <c r="M1955" s="14">
        <v>12.40443009</v>
      </c>
      <c r="N1955" s="14">
        <v>14.03130207</v>
      </c>
      <c r="O1955" s="14">
        <v>8.778127858</v>
      </c>
    </row>
    <row r="1956" spans="1:21">
      <c r="A1956" s="14" t="s">
        <v>9684</v>
      </c>
      <c r="B1956" s="14">
        <v>295.4189297</v>
      </c>
      <c r="C1956" s="14">
        <v>498.9629886</v>
      </c>
      <c r="D1956" s="14">
        <v>91.87487094</v>
      </c>
      <c r="E1956" s="14">
        <v>0.184076686</v>
      </c>
      <c r="F1956" s="14">
        <v>-2.441621182</v>
      </c>
      <c r="G1956" s="14">
        <v>0.000812596</v>
      </c>
      <c r="H1956" s="14">
        <v>0.00304989</v>
      </c>
      <c r="I1956" s="14" t="s">
        <v>147</v>
      </c>
      <c r="J1956" s="14">
        <v>1.158727572</v>
      </c>
      <c r="K1956" s="14">
        <v>0.89631847</v>
      </c>
      <c r="L1956" s="14">
        <v>0.929733492</v>
      </c>
      <c r="M1956" s="14">
        <v>1.75331133</v>
      </c>
      <c r="N1956" s="14">
        <v>1.426697587</v>
      </c>
      <c r="O1956" s="14">
        <v>10.89420332</v>
      </c>
      <c r="P1956" s="14" t="s">
        <v>9685</v>
      </c>
      <c r="Q1956" s="14" t="s">
        <v>9686</v>
      </c>
      <c r="T1956" s="14" t="s">
        <v>9687</v>
      </c>
      <c r="U1956" s="14" t="s">
        <v>9688</v>
      </c>
    </row>
    <row r="1957" spans="1:21">
      <c r="A1957" s="14" t="s">
        <v>9689</v>
      </c>
      <c r="B1957" s="14">
        <v>2863.176537</v>
      </c>
      <c r="C1957" s="14">
        <v>1784.388243</v>
      </c>
      <c r="D1957" s="14">
        <v>3941.964831</v>
      </c>
      <c r="E1957" s="14">
        <v>2.209379726</v>
      </c>
      <c r="F1957" s="14">
        <v>1.143641396</v>
      </c>
      <c r="G1957" s="14">
        <v>0.004721731</v>
      </c>
      <c r="H1957" s="14">
        <v>0.014090834</v>
      </c>
      <c r="I1957" s="14" t="s">
        <v>164</v>
      </c>
      <c r="J1957" s="14">
        <v>38.62569046</v>
      </c>
      <c r="K1957" s="14">
        <v>50.75387902</v>
      </c>
      <c r="L1957" s="14">
        <v>55.68089587</v>
      </c>
      <c r="M1957" s="14">
        <v>21.19762336</v>
      </c>
      <c r="N1957" s="14">
        <v>22.69808023</v>
      </c>
      <c r="O1957" s="14">
        <v>8.992831185</v>
      </c>
      <c r="P1957" s="14" t="s">
        <v>9690</v>
      </c>
      <c r="Q1957" s="14" t="s">
        <v>9691</v>
      </c>
      <c r="T1957" s="14" t="s">
        <v>9692</v>
      </c>
      <c r="U1957" s="14" t="s">
        <v>9693</v>
      </c>
    </row>
    <row r="1958" spans="1:21">
      <c r="A1958" s="14" t="s">
        <v>9694</v>
      </c>
      <c r="B1958" s="14">
        <v>3213.914634</v>
      </c>
      <c r="C1958" s="14">
        <v>4315.552328</v>
      </c>
      <c r="D1958" s="14">
        <v>2112.27694</v>
      </c>
      <c r="E1958" s="14">
        <v>0.489467289</v>
      </c>
      <c r="F1958" s="14">
        <v>-1.030715647</v>
      </c>
      <c r="G1958" s="51" t="s">
        <v>9695</v>
      </c>
      <c r="H1958" s="51" t="s">
        <v>9696</v>
      </c>
      <c r="I1958" s="14" t="s">
        <v>147</v>
      </c>
      <c r="J1958" s="14">
        <v>25.18309271</v>
      </c>
      <c r="K1958" s="14">
        <v>28.54973503</v>
      </c>
      <c r="L1958" s="14">
        <v>28.01198283</v>
      </c>
      <c r="M1958" s="14">
        <v>44.66721637</v>
      </c>
      <c r="N1958" s="14">
        <v>43.37727807</v>
      </c>
      <c r="O1958" s="14">
        <v>49.64833238</v>
      </c>
      <c r="P1958" s="14" t="s">
        <v>9697</v>
      </c>
      <c r="Q1958" s="14" t="s">
        <v>9698</v>
      </c>
      <c r="T1958" s="14" t="s">
        <v>9699</v>
      </c>
      <c r="U1958" s="14" t="s">
        <v>9700</v>
      </c>
    </row>
    <row r="1959" spans="1:21">
      <c r="A1959" s="14" t="s">
        <v>9701</v>
      </c>
      <c r="B1959" s="14">
        <v>11.87742349</v>
      </c>
      <c r="C1959" s="14">
        <v>5.780647976</v>
      </c>
      <c r="D1959" s="14">
        <v>17.97419901</v>
      </c>
      <c r="E1959" s="14">
        <v>3.128464446</v>
      </c>
      <c r="F1959" s="14">
        <v>1.645454708</v>
      </c>
      <c r="G1959" s="14">
        <v>0.014443791</v>
      </c>
      <c r="H1959" s="14">
        <v>0.03694002</v>
      </c>
      <c r="I1959" s="14" t="s">
        <v>164</v>
      </c>
      <c r="J1959" s="14">
        <v>2.309408426</v>
      </c>
      <c r="K1959" s="14">
        <v>1.771038904</v>
      </c>
      <c r="L1959" s="14">
        <v>1.905953659</v>
      </c>
      <c r="M1959" s="14">
        <v>0.564547889</v>
      </c>
      <c r="N1959" s="14">
        <v>0.631886123</v>
      </c>
      <c r="O1959" s="14">
        <v>0.368229461</v>
      </c>
      <c r="P1959" s="14" t="s">
        <v>9702</v>
      </c>
      <c r="Q1959" s="14" t="s">
        <v>9703</v>
      </c>
      <c r="T1959" s="14" t="s">
        <v>9704</v>
      </c>
      <c r="U1959" s="14" t="s">
        <v>9705</v>
      </c>
    </row>
    <row r="1960" spans="1:15">
      <c r="A1960" s="14" t="s">
        <v>9706</v>
      </c>
      <c r="B1960" s="14">
        <v>2960.620206</v>
      </c>
      <c r="C1960" s="14">
        <v>4408.395934</v>
      </c>
      <c r="D1960" s="14">
        <v>1512.844478</v>
      </c>
      <c r="E1960" s="14">
        <v>0.343189374</v>
      </c>
      <c r="F1960" s="14">
        <v>-1.542923211</v>
      </c>
      <c r="G1960" s="51" t="s">
        <v>9707</v>
      </c>
      <c r="H1960" s="51" t="s">
        <v>9708</v>
      </c>
      <c r="I1960" s="14" t="s">
        <v>147</v>
      </c>
      <c r="J1960" s="14">
        <v>31.58908466</v>
      </c>
      <c r="K1960" s="14">
        <v>25.43263955</v>
      </c>
      <c r="L1960" s="14">
        <v>25.95086708</v>
      </c>
      <c r="M1960" s="14">
        <v>71.10203921</v>
      </c>
      <c r="N1960" s="14">
        <v>73.26905442</v>
      </c>
      <c r="O1960" s="14">
        <v>52.85609004</v>
      </c>
    </row>
    <row r="1961" spans="1:21">
      <c r="A1961" s="14" t="s">
        <v>9709</v>
      </c>
      <c r="B1961" s="14">
        <v>5873.60566</v>
      </c>
      <c r="C1961" s="14">
        <v>8097.107302</v>
      </c>
      <c r="D1961" s="14">
        <v>3650.104017</v>
      </c>
      <c r="E1961" s="14">
        <v>0.450798524</v>
      </c>
      <c r="F1961" s="14">
        <v>-1.149445303</v>
      </c>
      <c r="G1961" s="51" t="s">
        <v>9710</v>
      </c>
      <c r="H1961" s="51" t="s">
        <v>9711</v>
      </c>
      <c r="I1961" s="14" t="s">
        <v>147</v>
      </c>
      <c r="J1961" s="14">
        <v>46.76373683</v>
      </c>
      <c r="K1961" s="14">
        <v>60.3984</v>
      </c>
      <c r="L1961" s="14">
        <v>50.49501327</v>
      </c>
      <c r="M1961" s="14">
        <v>100.924418</v>
      </c>
      <c r="N1961" s="14">
        <v>96.93042017</v>
      </c>
      <c r="O1961" s="14">
        <v>88.91148729</v>
      </c>
      <c r="P1961" s="14" t="s">
        <v>9712</v>
      </c>
      <c r="Q1961" s="14" t="s">
        <v>9713</v>
      </c>
      <c r="R1961" s="14" t="s">
        <v>841</v>
      </c>
      <c r="S1961" s="14" t="s">
        <v>842</v>
      </c>
      <c r="T1961" s="14" t="s">
        <v>9714</v>
      </c>
      <c r="U1961" s="14" t="s">
        <v>9715</v>
      </c>
    </row>
    <row r="1962" spans="1:21">
      <c r="A1962" s="14" t="s">
        <v>9716</v>
      </c>
      <c r="B1962" s="14">
        <v>478.1004826</v>
      </c>
      <c r="C1962" s="14">
        <v>207.8015388</v>
      </c>
      <c r="D1962" s="14">
        <v>748.3994264</v>
      </c>
      <c r="E1962" s="14">
        <v>3.604104729</v>
      </c>
      <c r="F1962" s="14">
        <v>1.849640934</v>
      </c>
      <c r="G1962" s="14">
        <v>0.000160266</v>
      </c>
      <c r="H1962" s="14">
        <v>0.000721643</v>
      </c>
      <c r="I1962" s="14" t="s">
        <v>164</v>
      </c>
      <c r="J1962" s="14">
        <v>30.5764615</v>
      </c>
      <c r="K1962" s="14">
        <v>20.39998917</v>
      </c>
      <c r="L1962" s="14">
        <v>21.1077256</v>
      </c>
      <c r="M1962" s="14">
        <v>7.050691085</v>
      </c>
      <c r="N1962" s="14">
        <v>6.764301043</v>
      </c>
      <c r="O1962" s="14">
        <v>2.263913621</v>
      </c>
      <c r="Q1962" s="14" t="s">
        <v>9717</v>
      </c>
      <c r="R1962" s="14" t="s">
        <v>1953</v>
      </c>
      <c r="S1962" s="14" t="s">
        <v>1954</v>
      </c>
      <c r="T1962" s="14" t="s">
        <v>9718</v>
      </c>
      <c r="U1962" s="14" t="s">
        <v>9719</v>
      </c>
    </row>
    <row r="1963" spans="1:21">
      <c r="A1963" s="14" t="s">
        <v>9720</v>
      </c>
      <c r="B1963" s="14">
        <v>646.6918526</v>
      </c>
      <c r="C1963" s="14">
        <v>96.67001432</v>
      </c>
      <c r="D1963" s="14">
        <v>1196.713691</v>
      </c>
      <c r="E1963" s="14">
        <v>12.38985691</v>
      </c>
      <c r="F1963" s="14">
        <v>3.631087621</v>
      </c>
      <c r="G1963" s="51" t="s">
        <v>9721</v>
      </c>
      <c r="H1963" s="51" t="s">
        <v>9722</v>
      </c>
      <c r="I1963" s="14" t="s">
        <v>164</v>
      </c>
      <c r="J1963" s="14">
        <v>27.78016543</v>
      </c>
      <c r="K1963" s="14">
        <v>8.643486592</v>
      </c>
      <c r="L1963" s="14">
        <v>45.3573794</v>
      </c>
      <c r="M1963" s="14">
        <v>2.244488937</v>
      </c>
      <c r="N1963" s="14">
        <v>2.429387423</v>
      </c>
      <c r="O1963" s="14">
        <v>0.581838299</v>
      </c>
      <c r="Q1963" s="14" t="s">
        <v>9717</v>
      </c>
      <c r="R1963" s="14" t="s">
        <v>1953</v>
      </c>
      <c r="S1963" s="14" t="s">
        <v>1954</v>
      </c>
      <c r="T1963" s="14" t="s">
        <v>9718</v>
      </c>
      <c r="U1963" s="14" t="s">
        <v>9719</v>
      </c>
    </row>
    <row r="1964" spans="1:21">
      <c r="A1964" s="14" t="s">
        <v>9723</v>
      </c>
      <c r="B1964" s="14">
        <v>190.4203519</v>
      </c>
      <c r="C1964" s="14">
        <v>91.59652462</v>
      </c>
      <c r="D1964" s="14">
        <v>289.2441792</v>
      </c>
      <c r="E1964" s="14">
        <v>3.160888378</v>
      </c>
      <c r="F1964" s="14">
        <v>1.66033009</v>
      </c>
      <c r="G1964" s="51" t="s">
        <v>992</v>
      </c>
      <c r="H1964" s="51" t="s">
        <v>1378</v>
      </c>
      <c r="I1964" s="14" t="s">
        <v>164</v>
      </c>
      <c r="J1964" s="14">
        <v>9.60713905</v>
      </c>
      <c r="K1964" s="14">
        <v>6.601547514</v>
      </c>
      <c r="L1964" s="14">
        <v>10.82158133</v>
      </c>
      <c r="M1964" s="14">
        <v>2.028608747</v>
      </c>
      <c r="N1964" s="14">
        <v>3.184706059</v>
      </c>
      <c r="O1964" s="14">
        <v>1.752772234</v>
      </c>
      <c r="Q1964" s="14" t="s">
        <v>9724</v>
      </c>
      <c r="R1964" s="14" t="s">
        <v>1953</v>
      </c>
      <c r="S1964" s="14" t="s">
        <v>1954</v>
      </c>
      <c r="T1964" s="14" t="s">
        <v>9725</v>
      </c>
      <c r="U1964" s="14" t="s">
        <v>9726</v>
      </c>
    </row>
    <row r="1965" spans="1:21">
      <c r="A1965" s="14" t="s">
        <v>9727</v>
      </c>
      <c r="B1965" s="14">
        <v>403.8541901</v>
      </c>
      <c r="C1965" s="14">
        <v>69.69514528</v>
      </c>
      <c r="D1965" s="14">
        <v>738.0132348</v>
      </c>
      <c r="E1965" s="14">
        <v>10.59463652</v>
      </c>
      <c r="F1965" s="14">
        <v>3.405262187</v>
      </c>
      <c r="G1965" s="51" t="s">
        <v>2465</v>
      </c>
      <c r="H1965" s="51" t="s">
        <v>7071</v>
      </c>
      <c r="I1965" s="14" t="s">
        <v>164</v>
      </c>
      <c r="J1965" s="14">
        <v>23.44937786</v>
      </c>
      <c r="K1965" s="14">
        <v>5.739052389</v>
      </c>
      <c r="L1965" s="14">
        <v>28.51334937</v>
      </c>
      <c r="M1965" s="14">
        <v>1.054799392</v>
      </c>
      <c r="N1965" s="14">
        <v>2.677463719</v>
      </c>
      <c r="O1965" s="14">
        <v>0.644998778</v>
      </c>
      <c r="Q1965" s="14" t="s">
        <v>9724</v>
      </c>
      <c r="R1965" s="14" t="s">
        <v>1953</v>
      </c>
      <c r="S1965" s="14" t="s">
        <v>1954</v>
      </c>
      <c r="T1965" s="14" t="s">
        <v>9725</v>
      </c>
      <c r="U1965" s="14" t="s">
        <v>9726</v>
      </c>
    </row>
    <row r="1966" spans="1:15">
      <c r="A1966" s="14" t="s">
        <v>9728</v>
      </c>
      <c r="B1966" s="14">
        <v>4.140660695</v>
      </c>
      <c r="C1966" s="14">
        <v>8.28132139</v>
      </c>
      <c r="D1966" s="14">
        <v>0</v>
      </c>
      <c r="E1966" s="14">
        <v>0.021754535</v>
      </c>
      <c r="F1966" s="14">
        <v>-5.522539998</v>
      </c>
      <c r="G1966" s="14">
        <v>0.007622902</v>
      </c>
      <c r="H1966" s="14">
        <v>0.021336698</v>
      </c>
      <c r="I1966" s="14" t="s">
        <v>147</v>
      </c>
      <c r="J1966" s="14">
        <v>0</v>
      </c>
      <c r="K1966" s="14">
        <v>0</v>
      </c>
      <c r="L1966" s="14">
        <v>0</v>
      </c>
      <c r="M1966" s="14">
        <v>0.043546394</v>
      </c>
      <c r="N1966" s="14">
        <v>0.313331962</v>
      </c>
      <c r="O1966" s="14">
        <v>0.170420246</v>
      </c>
    </row>
    <row r="1967" spans="1:21">
      <c r="A1967" s="14" t="s">
        <v>9729</v>
      </c>
      <c r="B1967" s="14">
        <v>6.994922198</v>
      </c>
      <c r="C1967" s="14">
        <v>13.34087814</v>
      </c>
      <c r="D1967" s="14">
        <v>0.648966256</v>
      </c>
      <c r="E1967" s="14">
        <v>0.048992465</v>
      </c>
      <c r="F1967" s="14">
        <v>-4.351296316</v>
      </c>
      <c r="G1967" s="14">
        <v>0.001316486</v>
      </c>
      <c r="H1967" s="14">
        <v>0.00465751</v>
      </c>
      <c r="I1967" s="14" t="s">
        <v>147</v>
      </c>
      <c r="J1967" s="14">
        <v>0</v>
      </c>
      <c r="K1967" s="14">
        <v>0.026265407</v>
      </c>
      <c r="L1967" s="14">
        <v>0.025125566</v>
      </c>
      <c r="M1967" s="14">
        <v>0.379554795</v>
      </c>
      <c r="N1967" s="14">
        <v>0.278458291</v>
      </c>
      <c r="O1967" s="14">
        <v>0.196597085</v>
      </c>
      <c r="P1967" s="14" t="s">
        <v>9730</v>
      </c>
      <c r="Q1967" s="14" t="s">
        <v>9731</v>
      </c>
      <c r="T1967" s="14" t="s">
        <v>9732</v>
      </c>
      <c r="U1967" s="14" t="s">
        <v>9733</v>
      </c>
    </row>
    <row r="1968" spans="1:21">
      <c r="A1968" s="14" t="s">
        <v>9734</v>
      </c>
      <c r="B1968" s="14">
        <v>230.7787364</v>
      </c>
      <c r="C1968" s="14">
        <v>134.3889037</v>
      </c>
      <c r="D1968" s="14">
        <v>327.1685691</v>
      </c>
      <c r="E1968" s="14">
        <v>2.436721066</v>
      </c>
      <c r="F1968" s="14">
        <v>1.284941114</v>
      </c>
      <c r="G1968" s="14">
        <v>0.000293512</v>
      </c>
      <c r="H1968" s="14">
        <v>0.001236887</v>
      </c>
      <c r="I1968" s="14" t="s">
        <v>164</v>
      </c>
      <c r="J1968" s="14">
        <v>4.387502922</v>
      </c>
      <c r="K1968" s="14">
        <v>3.274562238</v>
      </c>
      <c r="L1968" s="14">
        <v>7.184531834</v>
      </c>
      <c r="M1968" s="14">
        <v>1.838656775</v>
      </c>
      <c r="N1968" s="14">
        <v>1.543476281</v>
      </c>
      <c r="O1968" s="14">
        <v>1.599031973</v>
      </c>
      <c r="P1968" s="14" t="s">
        <v>9735</v>
      </c>
      <c r="Q1968" s="14" t="s">
        <v>9736</v>
      </c>
      <c r="R1968" s="14" t="s">
        <v>798</v>
      </c>
      <c r="S1968" s="14" t="s">
        <v>799</v>
      </c>
      <c r="T1968" s="14" t="s">
        <v>9737</v>
      </c>
      <c r="U1968" s="14" t="s">
        <v>9738</v>
      </c>
    </row>
    <row r="1969" spans="1:21">
      <c r="A1969" s="14" t="s">
        <v>9739</v>
      </c>
      <c r="B1969" s="14">
        <v>13716.15222</v>
      </c>
      <c r="C1969" s="14">
        <v>22281.85179</v>
      </c>
      <c r="D1969" s="14">
        <v>5150.452653</v>
      </c>
      <c r="E1969" s="14">
        <v>0.23115218</v>
      </c>
      <c r="F1969" s="14">
        <v>-2.113085126</v>
      </c>
      <c r="G1969" s="51" t="s">
        <v>9740</v>
      </c>
      <c r="H1969" s="51" t="s">
        <v>1774</v>
      </c>
      <c r="I1969" s="14" t="s">
        <v>147</v>
      </c>
      <c r="J1969" s="14">
        <v>30.18588366</v>
      </c>
      <c r="K1969" s="14">
        <v>36.83003731</v>
      </c>
      <c r="L1969" s="14">
        <v>33.68368988</v>
      </c>
      <c r="M1969" s="14">
        <v>145.8901182</v>
      </c>
      <c r="N1969" s="14">
        <v>145.7466248</v>
      </c>
      <c r="O1969" s="14">
        <v>59.50955289</v>
      </c>
      <c r="P1969" s="14" t="s">
        <v>9741</v>
      </c>
      <c r="Q1969" s="14" t="s">
        <v>9742</v>
      </c>
      <c r="T1969" s="14" t="s">
        <v>9743</v>
      </c>
      <c r="U1969" s="14" t="s">
        <v>9744</v>
      </c>
    </row>
    <row r="1970" spans="1:21">
      <c r="A1970" s="14" t="s">
        <v>9745</v>
      </c>
      <c r="B1970" s="14">
        <v>1486.529314</v>
      </c>
      <c r="C1970" s="14">
        <v>2243.462918</v>
      </c>
      <c r="D1970" s="14">
        <v>729.5957114</v>
      </c>
      <c r="E1970" s="14">
        <v>0.325307884</v>
      </c>
      <c r="F1970" s="14">
        <v>-1.620122306</v>
      </c>
      <c r="G1970" s="51" t="s">
        <v>9746</v>
      </c>
      <c r="H1970" s="51" t="s">
        <v>9747</v>
      </c>
      <c r="I1970" s="14" t="s">
        <v>147</v>
      </c>
      <c r="J1970" s="14">
        <v>12.05802372</v>
      </c>
      <c r="K1970" s="14">
        <v>9.947316934</v>
      </c>
      <c r="L1970" s="14">
        <v>15.93085123</v>
      </c>
      <c r="M1970" s="14">
        <v>32.66492229</v>
      </c>
      <c r="N1970" s="14">
        <v>31.02881102</v>
      </c>
      <c r="O1970" s="14">
        <v>31.9444747</v>
      </c>
      <c r="P1970" s="14" t="s">
        <v>9748</v>
      </c>
      <c r="Q1970" s="14" t="s">
        <v>9749</v>
      </c>
      <c r="T1970" s="14" t="s">
        <v>9750</v>
      </c>
      <c r="U1970" s="14" t="s">
        <v>9751</v>
      </c>
    </row>
    <row r="1971" spans="1:15">
      <c r="A1971" s="14" t="s">
        <v>9752</v>
      </c>
      <c r="B1971" s="14">
        <v>208.7007418</v>
      </c>
      <c r="C1971" s="14">
        <v>72.42956838</v>
      </c>
      <c r="D1971" s="14">
        <v>344.9719152</v>
      </c>
      <c r="E1971" s="14">
        <v>4.75409609</v>
      </c>
      <c r="F1971" s="14">
        <v>2.249171063</v>
      </c>
      <c r="G1971" s="51" t="s">
        <v>9753</v>
      </c>
      <c r="H1971" s="51" t="s">
        <v>9754</v>
      </c>
      <c r="I1971" s="14" t="s">
        <v>164</v>
      </c>
      <c r="J1971" s="14">
        <v>9.853475949</v>
      </c>
      <c r="K1971" s="14">
        <v>6.81849978</v>
      </c>
      <c r="L1971" s="14">
        <v>10.17920436</v>
      </c>
      <c r="M1971" s="14">
        <v>1.361187688</v>
      </c>
      <c r="N1971" s="14">
        <v>1.032080667</v>
      </c>
      <c r="O1971" s="14">
        <v>2.319845604</v>
      </c>
    </row>
    <row r="1972" spans="1:21">
      <c r="A1972" s="14" t="s">
        <v>9755</v>
      </c>
      <c r="B1972" s="14">
        <v>840.091049</v>
      </c>
      <c r="C1972" s="14">
        <v>529.3924452</v>
      </c>
      <c r="D1972" s="14">
        <v>1150.789653</v>
      </c>
      <c r="E1972" s="14">
        <v>2.172942274</v>
      </c>
      <c r="F1972" s="14">
        <v>1.119649848</v>
      </c>
      <c r="G1972" s="14">
        <v>0.011669171</v>
      </c>
      <c r="H1972" s="14">
        <v>0.030821906</v>
      </c>
      <c r="I1972" s="14" t="s">
        <v>164</v>
      </c>
      <c r="J1972" s="14">
        <v>11.22141126</v>
      </c>
      <c r="K1972" s="14">
        <v>18.39752913</v>
      </c>
      <c r="L1972" s="14">
        <v>15.16099502</v>
      </c>
      <c r="M1972" s="14">
        <v>3.442275764</v>
      </c>
      <c r="N1972" s="14">
        <v>3.629535132</v>
      </c>
      <c r="O1972" s="14">
        <v>10.42639328</v>
      </c>
      <c r="P1972" s="14" t="s">
        <v>9756</v>
      </c>
      <c r="Q1972" s="14" t="s">
        <v>9757</v>
      </c>
      <c r="T1972" s="14" t="s">
        <v>9758</v>
      </c>
      <c r="U1972" s="14" t="s">
        <v>9759</v>
      </c>
    </row>
    <row r="1973" spans="1:21">
      <c r="A1973" s="14" t="s">
        <v>9760</v>
      </c>
      <c r="B1973" s="14">
        <v>371.4378167</v>
      </c>
      <c r="C1973" s="14">
        <v>87.42387858</v>
      </c>
      <c r="D1973" s="14">
        <v>655.4517548</v>
      </c>
      <c r="E1973" s="14">
        <v>7.494166398</v>
      </c>
      <c r="F1973" s="14">
        <v>2.905768011</v>
      </c>
      <c r="G1973" s="51" t="s">
        <v>9761</v>
      </c>
      <c r="H1973" s="51" t="s">
        <v>9762</v>
      </c>
      <c r="I1973" s="14" t="s">
        <v>164</v>
      </c>
      <c r="J1973" s="14">
        <v>3.762852627</v>
      </c>
      <c r="K1973" s="14">
        <v>2.843411084</v>
      </c>
      <c r="L1973" s="14">
        <v>4.634906269</v>
      </c>
      <c r="M1973" s="14">
        <v>0.217532214</v>
      </c>
      <c r="N1973" s="14">
        <v>0.630726699</v>
      </c>
      <c r="O1973" s="14">
        <v>0.383093769</v>
      </c>
      <c r="P1973" s="14" t="s">
        <v>9763</v>
      </c>
      <c r="Q1973" s="14" t="s">
        <v>9764</v>
      </c>
      <c r="T1973" s="14" t="s">
        <v>9765</v>
      </c>
      <c r="U1973" s="14" t="s">
        <v>9766</v>
      </c>
    </row>
    <row r="1974" spans="1:21">
      <c r="A1974" s="14" t="s">
        <v>9767</v>
      </c>
      <c r="B1974" s="14">
        <v>2163.638222</v>
      </c>
      <c r="C1974" s="14">
        <v>3221.77003</v>
      </c>
      <c r="D1974" s="14">
        <v>1105.506413</v>
      </c>
      <c r="E1974" s="14">
        <v>0.343155639</v>
      </c>
      <c r="F1974" s="14">
        <v>-1.543065031</v>
      </c>
      <c r="G1974" s="51" t="s">
        <v>9768</v>
      </c>
      <c r="H1974" s="51" t="s">
        <v>5594</v>
      </c>
      <c r="I1974" s="14" t="s">
        <v>147</v>
      </c>
      <c r="J1974" s="14">
        <v>12.46897183</v>
      </c>
      <c r="K1974" s="14">
        <v>15.41729599</v>
      </c>
      <c r="L1974" s="14">
        <v>13.01799138</v>
      </c>
      <c r="M1974" s="14">
        <v>38.66767044</v>
      </c>
      <c r="N1974" s="14">
        <v>36.80604267</v>
      </c>
      <c r="O1974" s="14">
        <v>21.20299996</v>
      </c>
      <c r="P1974" s="14" t="s">
        <v>9769</v>
      </c>
      <c r="Q1974" s="14" t="s">
        <v>9770</v>
      </c>
      <c r="T1974" s="14" t="s">
        <v>9771</v>
      </c>
      <c r="U1974" s="14" t="s">
        <v>9772</v>
      </c>
    </row>
    <row r="1975" spans="1:21">
      <c r="A1975" s="14" t="s">
        <v>9773</v>
      </c>
      <c r="B1975" s="14">
        <v>117.9178332</v>
      </c>
      <c r="C1975" s="14">
        <v>217.1142018</v>
      </c>
      <c r="D1975" s="14">
        <v>18.7214646</v>
      </c>
      <c r="E1975" s="14">
        <v>0.086154203</v>
      </c>
      <c r="F1975" s="14">
        <v>-3.536935018</v>
      </c>
      <c r="G1975" s="51" t="s">
        <v>9774</v>
      </c>
      <c r="H1975" s="51" t="s">
        <v>9775</v>
      </c>
      <c r="I1975" s="14" t="s">
        <v>147</v>
      </c>
      <c r="J1975" s="14">
        <v>0.364643436</v>
      </c>
      <c r="K1975" s="14">
        <v>0.636175817</v>
      </c>
      <c r="L1975" s="14">
        <v>0.374503175</v>
      </c>
      <c r="M1975" s="14">
        <v>5.386975382</v>
      </c>
      <c r="N1975" s="14">
        <v>4.988574654</v>
      </c>
      <c r="O1975" s="14">
        <v>2.543690355</v>
      </c>
      <c r="P1975" s="14" t="s">
        <v>9776</v>
      </c>
      <c r="Q1975" s="14" t="s">
        <v>9777</v>
      </c>
      <c r="T1975" s="14" t="s">
        <v>9778</v>
      </c>
      <c r="U1975" s="14" t="s">
        <v>9779</v>
      </c>
    </row>
    <row r="1976" spans="1:21">
      <c r="A1976" s="14" t="s">
        <v>9780</v>
      </c>
      <c r="B1976" s="14">
        <v>150.8570111</v>
      </c>
      <c r="C1976" s="14">
        <v>35.19646076</v>
      </c>
      <c r="D1976" s="14">
        <v>266.5175614</v>
      </c>
      <c r="E1976" s="14">
        <v>7.58242317</v>
      </c>
      <c r="F1976" s="14">
        <v>2.922658975</v>
      </c>
      <c r="G1976" s="51" t="s">
        <v>9781</v>
      </c>
      <c r="H1976" s="14">
        <v>0.000250156</v>
      </c>
      <c r="I1976" s="14" t="s">
        <v>164</v>
      </c>
      <c r="J1976" s="14">
        <v>1.764439383</v>
      </c>
      <c r="K1976" s="14">
        <v>1.310828315</v>
      </c>
      <c r="L1976" s="14">
        <v>2.595525575</v>
      </c>
      <c r="M1976" s="14">
        <v>0.143775713</v>
      </c>
      <c r="N1976" s="14">
        <v>0.402312539</v>
      </c>
      <c r="O1976" s="14">
        <v>0.052750405</v>
      </c>
      <c r="P1976" s="14" t="s">
        <v>8142</v>
      </c>
      <c r="Q1976" s="14" t="s">
        <v>8143</v>
      </c>
      <c r="T1976" s="14" t="s">
        <v>8144</v>
      </c>
      <c r="U1976" s="14" t="s">
        <v>8145</v>
      </c>
    </row>
    <row r="1977" spans="1:21">
      <c r="A1977" s="14" t="s">
        <v>9782</v>
      </c>
      <c r="B1977" s="14">
        <v>4755.963756</v>
      </c>
      <c r="C1977" s="14">
        <v>8877.938029</v>
      </c>
      <c r="D1977" s="14">
        <v>633.9894832</v>
      </c>
      <c r="E1977" s="14">
        <v>0.071409928</v>
      </c>
      <c r="F1977" s="14">
        <v>-3.807731532</v>
      </c>
      <c r="G1977" s="14">
        <v>0.000191645</v>
      </c>
      <c r="H1977" s="14">
        <v>0.000845204</v>
      </c>
      <c r="I1977" s="14" t="s">
        <v>147</v>
      </c>
      <c r="J1977" s="14">
        <v>1.035870575</v>
      </c>
      <c r="K1977" s="14">
        <v>9.979503319</v>
      </c>
      <c r="L1977" s="14">
        <v>1.806955096</v>
      </c>
      <c r="M1977" s="14">
        <v>58.19556956</v>
      </c>
      <c r="N1977" s="14">
        <v>57.43844856</v>
      </c>
      <c r="O1977" s="14">
        <v>30.82241465</v>
      </c>
      <c r="P1977" s="14" t="s">
        <v>9783</v>
      </c>
      <c r="Q1977" s="14" t="s">
        <v>9784</v>
      </c>
      <c r="R1977" s="14" t="s">
        <v>771</v>
      </c>
      <c r="S1977" s="14" t="s">
        <v>772</v>
      </c>
      <c r="T1977" s="14" t="s">
        <v>9785</v>
      </c>
      <c r="U1977" s="14" t="s">
        <v>9786</v>
      </c>
    </row>
    <row r="1978" spans="1:21">
      <c r="A1978" s="14" t="s">
        <v>9787</v>
      </c>
      <c r="B1978" s="14">
        <v>1951.029229</v>
      </c>
      <c r="C1978" s="14">
        <v>2709.755279</v>
      </c>
      <c r="D1978" s="14">
        <v>1192.30318</v>
      </c>
      <c r="E1978" s="14">
        <v>0.44002084</v>
      </c>
      <c r="F1978" s="14">
        <v>-1.184356243</v>
      </c>
      <c r="G1978" s="14">
        <v>0.011457876</v>
      </c>
      <c r="H1978" s="14">
        <v>0.030379224</v>
      </c>
      <c r="I1978" s="14" t="s">
        <v>147</v>
      </c>
      <c r="J1978" s="14">
        <v>21.97140283</v>
      </c>
      <c r="K1978" s="14">
        <v>34.99246402</v>
      </c>
      <c r="L1978" s="14">
        <v>24.5504243</v>
      </c>
      <c r="M1978" s="14">
        <v>60.43793671</v>
      </c>
      <c r="N1978" s="14">
        <v>66.9448815</v>
      </c>
      <c r="O1978" s="14">
        <v>21.7793009</v>
      </c>
      <c r="P1978" s="14" t="s">
        <v>9788</v>
      </c>
      <c r="Q1978" s="14" t="s">
        <v>9789</v>
      </c>
      <c r="T1978" s="14" t="s">
        <v>9790</v>
      </c>
      <c r="U1978" s="14" t="s">
        <v>9791</v>
      </c>
    </row>
    <row r="1979" spans="1:21">
      <c r="A1979" s="14" t="s">
        <v>9792</v>
      </c>
      <c r="B1979" s="14">
        <v>220.5016317</v>
      </c>
      <c r="C1979" s="14">
        <v>303.1941538</v>
      </c>
      <c r="D1979" s="14">
        <v>137.8091095</v>
      </c>
      <c r="E1979" s="14">
        <v>0.454427201</v>
      </c>
      <c r="F1979" s="14">
        <v>-1.1378789</v>
      </c>
      <c r="G1979" s="14">
        <v>0.006819172</v>
      </c>
      <c r="H1979" s="14">
        <v>0.019397943</v>
      </c>
      <c r="I1979" s="14" t="s">
        <v>147</v>
      </c>
      <c r="J1979" s="14">
        <v>3.845710168</v>
      </c>
      <c r="K1979" s="14">
        <v>2.89314027</v>
      </c>
      <c r="L1979" s="14">
        <v>1.507857473</v>
      </c>
      <c r="M1979" s="14">
        <v>5.393491848</v>
      </c>
      <c r="N1979" s="14">
        <v>5.483578284</v>
      </c>
      <c r="O1979" s="14">
        <v>3.965973529</v>
      </c>
      <c r="P1979" s="14" t="s">
        <v>9793</v>
      </c>
      <c r="Q1979" s="14" t="s">
        <v>9794</v>
      </c>
      <c r="T1979" s="14" t="s">
        <v>9795</v>
      </c>
      <c r="U1979" s="14" t="s">
        <v>9796</v>
      </c>
    </row>
    <row r="1980" spans="1:21">
      <c r="A1980" s="14" t="s">
        <v>9797</v>
      </c>
      <c r="B1980" s="14">
        <v>714.4515855</v>
      </c>
      <c r="C1980" s="14">
        <v>982.2980834</v>
      </c>
      <c r="D1980" s="14">
        <v>446.6050876</v>
      </c>
      <c r="E1980" s="14">
        <v>0.454769259</v>
      </c>
      <c r="F1980" s="14">
        <v>-1.13679336</v>
      </c>
      <c r="G1980" s="51" t="s">
        <v>8148</v>
      </c>
      <c r="H1980" s="51" t="s">
        <v>9798</v>
      </c>
      <c r="I1980" s="14" t="s">
        <v>147</v>
      </c>
      <c r="J1980" s="14">
        <v>8.169611395</v>
      </c>
      <c r="K1980" s="14">
        <v>5.792752864</v>
      </c>
      <c r="L1980" s="14">
        <v>6.579456468</v>
      </c>
      <c r="M1980" s="14">
        <v>14.27857614</v>
      </c>
      <c r="N1980" s="14">
        <v>12.27763393</v>
      </c>
      <c r="O1980" s="14">
        <v>10.30901252</v>
      </c>
      <c r="P1980" s="14" t="s">
        <v>9799</v>
      </c>
      <c r="Q1980" s="14" t="s">
        <v>9800</v>
      </c>
      <c r="R1980" s="14" t="s">
        <v>9801</v>
      </c>
      <c r="S1980" s="14" t="s">
        <v>9802</v>
      </c>
      <c r="T1980" s="14" t="s">
        <v>9803</v>
      </c>
      <c r="U1980" s="14" t="s">
        <v>9804</v>
      </c>
    </row>
    <row r="1981" spans="1:21">
      <c r="A1981" s="14" t="s">
        <v>9805</v>
      </c>
      <c r="B1981" s="14">
        <v>939.205748</v>
      </c>
      <c r="C1981" s="14">
        <v>253.5786235</v>
      </c>
      <c r="D1981" s="14">
        <v>1624.832872</v>
      </c>
      <c r="E1981" s="14">
        <v>6.408594744</v>
      </c>
      <c r="F1981" s="14">
        <v>2.680008042</v>
      </c>
      <c r="G1981" s="14">
        <v>0.000672721</v>
      </c>
      <c r="H1981" s="14">
        <v>0.002583137</v>
      </c>
      <c r="I1981" s="14" t="s">
        <v>164</v>
      </c>
      <c r="J1981" s="14">
        <v>80.80627753</v>
      </c>
      <c r="K1981" s="14">
        <v>33.73211308</v>
      </c>
      <c r="L1981" s="14">
        <v>36.31654337</v>
      </c>
      <c r="M1981" s="14">
        <v>4.280060739</v>
      </c>
      <c r="N1981" s="14">
        <v>13.42705529</v>
      </c>
      <c r="O1981" s="14">
        <v>1.156069238</v>
      </c>
      <c r="Q1981" s="14" t="s">
        <v>9190</v>
      </c>
      <c r="T1981" s="14" t="s">
        <v>9191</v>
      </c>
      <c r="U1981" s="14" t="s">
        <v>9192</v>
      </c>
    </row>
    <row r="1982" spans="1:15">
      <c r="A1982" s="14" t="s">
        <v>9806</v>
      </c>
      <c r="B1982" s="14">
        <v>1982.445425</v>
      </c>
      <c r="C1982" s="14">
        <v>3319.397707</v>
      </c>
      <c r="D1982" s="14">
        <v>645.4931431</v>
      </c>
      <c r="E1982" s="14">
        <v>0.194459252</v>
      </c>
      <c r="F1982" s="14">
        <v>-2.362460218</v>
      </c>
      <c r="G1982" s="51" t="s">
        <v>9653</v>
      </c>
      <c r="H1982" s="51" t="s">
        <v>9654</v>
      </c>
      <c r="I1982" s="14" t="s">
        <v>147</v>
      </c>
      <c r="J1982" s="14">
        <v>12.34177782</v>
      </c>
      <c r="K1982" s="14">
        <v>37.56825238</v>
      </c>
      <c r="L1982" s="14">
        <v>23.08235916</v>
      </c>
      <c r="M1982" s="14">
        <v>111.6113462</v>
      </c>
      <c r="N1982" s="14">
        <v>125.1595007</v>
      </c>
      <c r="O1982" s="14">
        <v>68.37439675</v>
      </c>
    </row>
    <row r="1983" spans="1:15">
      <c r="A1983" s="14" t="s">
        <v>9807</v>
      </c>
      <c r="B1983" s="14">
        <v>170.7885091</v>
      </c>
      <c r="C1983" s="14">
        <v>99.86082352</v>
      </c>
      <c r="D1983" s="14">
        <v>241.7161946</v>
      </c>
      <c r="E1983" s="14">
        <v>2.416272215</v>
      </c>
      <c r="F1983" s="14">
        <v>1.272782997</v>
      </c>
      <c r="G1983" s="14">
        <v>0.01300542</v>
      </c>
      <c r="H1983" s="14">
        <v>0.033755727</v>
      </c>
      <c r="I1983" s="14" t="s">
        <v>164</v>
      </c>
      <c r="J1983" s="14">
        <v>25.6391466</v>
      </c>
      <c r="K1983" s="14">
        <v>22.01148352</v>
      </c>
      <c r="L1983" s="14">
        <v>21.32852905</v>
      </c>
      <c r="M1983" s="14">
        <v>4.516383111</v>
      </c>
      <c r="N1983" s="14">
        <v>4.410307224</v>
      </c>
      <c r="O1983" s="14">
        <v>15.38673105</v>
      </c>
    </row>
    <row r="1984" spans="1:15">
      <c r="A1984" s="14" t="s">
        <v>9808</v>
      </c>
      <c r="B1984" s="14">
        <v>16.98135796</v>
      </c>
      <c r="C1984" s="14">
        <v>3.505592101</v>
      </c>
      <c r="D1984" s="14">
        <v>30.45712383</v>
      </c>
      <c r="E1984" s="14">
        <v>8.553538731</v>
      </c>
      <c r="F1984" s="14">
        <v>3.096521409</v>
      </c>
      <c r="G1984" s="14">
        <v>0.003058685</v>
      </c>
      <c r="H1984" s="14">
        <v>0.009665488</v>
      </c>
      <c r="I1984" s="14" t="s">
        <v>164</v>
      </c>
      <c r="J1984" s="14">
        <v>1.266449782</v>
      </c>
      <c r="K1984" s="14">
        <v>1.162244281</v>
      </c>
      <c r="L1984" s="14">
        <v>1.004212143</v>
      </c>
      <c r="M1984" s="14">
        <v>0.063739278</v>
      </c>
      <c r="N1984" s="14">
        <v>0</v>
      </c>
      <c r="O1984" s="14">
        <v>0.280626484</v>
      </c>
    </row>
    <row r="1985" spans="1:21">
      <c r="A1985" s="14" t="s">
        <v>9809</v>
      </c>
      <c r="B1985" s="14">
        <v>3345.29258</v>
      </c>
      <c r="C1985" s="14">
        <v>4929.29207</v>
      </c>
      <c r="D1985" s="14">
        <v>1761.293089</v>
      </c>
      <c r="E1985" s="14">
        <v>0.35732169</v>
      </c>
      <c r="F1985" s="14">
        <v>-1.484704606</v>
      </c>
      <c r="G1985" s="51" t="s">
        <v>9810</v>
      </c>
      <c r="H1985" s="51" t="s">
        <v>9811</v>
      </c>
      <c r="I1985" s="14" t="s">
        <v>147</v>
      </c>
      <c r="J1985" s="14">
        <v>82.55574585</v>
      </c>
      <c r="K1985" s="14">
        <v>82.50806</v>
      </c>
      <c r="L1985" s="14">
        <v>74.00528157</v>
      </c>
      <c r="M1985" s="14">
        <v>194.2154359</v>
      </c>
      <c r="N1985" s="14">
        <v>189.492219</v>
      </c>
      <c r="O1985" s="14">
        <v>164.2285521</v>
      </c>
      <c r="P1985" s="14" t="s">
        <v>9812</v>
      </c>
      <c r="Q1985" s="14" t="s">
        <v>9813</v>
      </c>
      <c r="T1985" s="14" t="s">
        <v>9814</v>
      </c>
      <c r="U1985" s="14" t="s">
        <v>9815</v>
      </c>
    </row>
    <row r="1986" spans="1:21">
      <c r="A1986" s="14" t="s">
        <v>9816</v>
      </c>
      <c r="B1986" s="14">
        <v>2077.58828</v>
      </c>
      <c r="C1986" s="14">
        <v>3047.792152</v>
      </c>
      <c r="D1986" s="14">
        <v>1107.384408</v>
      </c>
      <c r="E1986" s="14">
        <v>0.363338256</v>
      </c>
      <c r="F1986" s="14">
        <v>-1.46061482</v>
      </c>
      <c r="G1986" s="51" t="s">
        <v>9817</v>
      </c>
      <c r="H1986" s="51" t="s">
        <v>6076</v>
      </c>
      <c r="I1986" s="14" t="s">
        <v>147</v>
      </c>
      <c r="J1986" s="14">
        <v>12.51973117</v>
      </c>
      <c r="K1986" s="14">
        <v>8.327707444</v>
      </c>
      <c r="L1986" s="14">
        <v>8.437390065</v>
      </c>
      <c r="M1986" s="14">
        <v>21.67030954</v>
      </c>
      <c r="N1986" s="14">
        <v>24.18936574</v>
      </c>
      <c r="O1986" s="14">
        <v>20.23648419</v>
      </c>
      <c r="P1986" s="14" t="s">
        <v>9818</v>
      </c>
      <c r="Q1986" s="14" t="s">
        <v>9819</v>
      </c>
      <c r="T1986" s="14" t="s">
        <v>9820</v>
      </c>
      <c r="U1986" s="14" t="s">
        <v>9821</v>
      </c>
    </row>
    <row r="1987" spans="1:21">
      <c r="A1987" s="14" t="s">
        <v>9822</v>
      </c>
      <c r="B1987" s="14">
        <v>25.62788906</v>
      </c>
      <c r="C1987" s="14">
        <v>0</v>
      </c>
      <c r="D1987" s="14">
        <v>51.25577812</v>
      </c>
      <c r="E1987" s="14">
        <v>276.4770151</v>
      </c>
      <c r="F1987" s="14">
        <v>8.111015737</v>
      </c>
      <c r="G1987" s="51" t="s">
        <v>6018</v>
      </c>
      <c r="H1987" s="51" t="s">
        <v>6019</v>
      </c>
      <c r="I1987" s="14" t="s">
        <v>164</v>
      </c>
      <c r="J1987" s="14">
        <v>2.330991682</v>
      </c>
      <c r="K1987" s="14">
        <v>0.284389425</v>
      </c>
      <c r="L1987" s="14">
        <v>1.042849751</v>
      </c>
      <c r="M1987" s="14">
        <v>0</v>
      </c>
      <c r="N1987" s="14">
        <v>0</v>
      </c>
      <c r="O1987" s="14">
        <v>0</v>
      </c>
      <c r="P1987" s="14" t="s">
        <v>9823</v>
      </c>
      <c r="Q1987" s="14" t="s">
        <v>9824</v>
      </c>
      <c r="R1987" s="14" t="s">
        <v>9825</v>
      </c>
      <c r="S1987" s="14" t="s">
        <v>9826</v>
      </c>
      <c r="T1987" s="14" t="s">
        <v>9827</v>
      </c>
      <c r="U1987" s="14" t="s">
        <v>9828</v>
      </c>
    </row>
    <row r="1988" spans="1:21">
      <c r="A1988" s="14" t="s">
        <v>9829</v>
      </c>
      <c r="B1988" s="14">
        <v>9.573227974</v>
      </c>
      <c r="C1988" s="14">
        <v>17.18974752</v>
      </c>
      <c r="D1988" s="14">
        <v>1.956708431</v>
      </c>
      <c r="E1988" s="14">
        <v>0.113724491</v>
      </c>
      <c r="F1988" s="14">
        <v>-3.136385114</v>
      </c>
      <c r="G1988" s="14">
        <v>0.002070196</v>
      </c>
      <c r="H1988" s="14">
        <v>0.006910869</v>
      </c>
      <c r="I1988" s="14" t="s">
        <v>147</v>
      </c>
      <c r="J1988" s="14">
        <v>0.01933908</v>
      </c>
      <c r="K1988" s="14">
        <v>0.006488454</v>
      </c>
      <c r="L1988" s="14">
        <v>0.012413748</v>
      </c>
      <c r="M1988" s="14">
        <v>0.038608299</v>
      </c>
      <c r="N1988" s="14">
        <v>0.132285999</v>
      </c>
      <c r="O1988" s="14">
        <v>0.107924894</v>
      </c>
      <c r="P1988" s="14" t="s">
        <v>9830</v>
      </c>
      <c r="Q1988" s="14" t="s">
        <v>9831</v>
      </c>
      <c r="T1988" s="14" t="s">
        <v>9832</v>
      </c>
      <c r="U1988" s="14" t="s">
        <v>9833</v>
      </c>
    </row>
    <row r="1989" spans="1:21">
      <c r="A1989" s="14" t="s">
        <v>9834</v>
      </c>
      <c r="B1989" s="14">
        <v>9431.073428</v>
      </c>
      <c r="C1989" s="14">
        <v>12834.86716</v>
      </c>
      <c r="D1989" s="14">
        <v>6027.2797</v>
      </c>
      <c r="E1989" s="14">
        <v>0.469580885</v>
      </c>
      <c r="F1989" s="14">
        <v>-1.090554412</v>
      </c>
      <c r="G1989" s="51" t="s">
        <v>9835</v>
      </c>
      <c r="H1989" s="51" t="s">
        <v>9836</v>
      </c>
      <c r="I1989" s="14" t="s">
        <v>147</v>
      </c>
      <c r="J1989" s="14">
        <v>117.1550772</v>
      </c>
      <c r="K1989" s="14">
        <v>115.2170454</v>
      </c>
      <c r="L1989" s="14">
        <v>107.9364901</v>
      </c>
      <c r="M1989" s="14">
        <v>191.4273237</v>
      </c>
      <c r="N1989" s="14">
        <v>185.1826052</v>
      </c>
      <c r="O1989" s="14">
        <v>221.8527987</v>
      </c>
      <c r="P1989" s="14" t="s">
        <v>9837</v>
      </c>
      <c r="Q1989" s="14" t="s">
        <v>9838</v>
      </c>
      <c r="R1989" s="14" t="s">
        <v>1536</v>
      </c>
      <c r="S1989" s="14" t="s">
        <v>1537</v>
      </c>
      <c r="T1989" s="14" t="s">
        <v>9839</v>
      </c>
      <c r="U1989" s="14" t="s">
        <v>9840</v>
      </c>
    </row>
    <row r="1990" spans="1:21">
      <c r="A1990" s="14" t="s">
        <v>9841</v>
      </c>
      <c r="B1990" s="14">
        <v>2451.008769</v>
      </c>
      <c r="C1990" s="14">
        <v>3318.719261</v>
      </c>
      <c r="D1990" s="14">
        <v>1583.298276</v>
      </c>
      <c r="E1990" s="14">
        <v>0.477128327</v>
      </c>
      <c r="F1990" s="14">
        <v>-1.067550752</v>
      </c>
      <c r="G1990" s="51" t="s">
        <v>3380</v>
      </c>
      <c r="H1990" s="51" t="s">
        <v>3381</v>
      </c>
      <c r="I1990" s="14" t="s">
        <v>147</v>
      </c>
      <c r="J1990" s="14">
        <v>14.80620727</v>
      </c>
      <c r="K1990" s="14">
        <v>16.74436782</v>
      </c>
      <c r="L1990" s="14">
        <v>16.39312668</v>
      </c>
      <c r="M1990" s="14">
        <v>30.82773623</v>
      </c>
      <c r="N1990" s="14">
        <v>29.72326671</v>
      </c>
      <c r="O1990" s="14">
        <v>21.29872678</v>
      </c>
      <c r="P1990" s="14" t="s">
        <v>9842</v>
      </c>
      <c r="Q1990" s="14" t="s">
        <v>9843</v>
      </c>
      <c r="T1990" s="14" t="s">
        <v>9844</v>
      </c>
      <c r="U1990" s="14" t="s">
        <v>9845</v>
      </c>
    </row>
    <row r="1991" spans="1:15">
      <c r="A1991" s="14" t="s">
        <v>9846</v>
      </c>
      <c r="B1991" s="14">
        <v>2152.058999</v>
      </c>
      <c r="C1991" s="14">
        <v>3382.426695</v>
      </c>
      <c r="D1991" s="14">
        <v>921.691303</v>
      </c>
      <c r="E1991" s="14">
        <v>0.27251151</v>
      </c>
      <c r="F1991" s="14">
        <v>-1.87561093</v>
      </c>
      <c r="G1991" s="51" t="s">
        <v>9847</v>
      </c>
      <c r="H1991" s="51" t="s">
        <v>9848</v>
      </c>
      <c r="I1991" s="14" t="s">
        <v>147</v>
      </c>
      <c r="J1991" s="14">
        <v>20.59930525</v>
      </c>
      <c r="K1991" s="14">
        <v>22.76288464</v>
      </c>
      <c r="L1991" s="14">
        <v>21.3065221</v>
      </c>
      <c r="M1991" s="14">
        <v>72.71905482</v>
      </c>
      <c r="N1991" s="14">
        <v>75.41423509</v>
      </c>
      <c r="O1991" s="14">
        <v>44.61241546</v>
      </c>
    </row>
    <row r="1992" spans="1:21">
      <c r="A1992" s="14" t="s">
        <v>9849</v>
      </c>
      <c r="B1992" s="14">
        <v>3086.219356</v>
      </c>
      <c r="C1992" s="14">
        <v>4207.834215</v>
      </c>
      <c r="D1992" s="14">
        <v>1964.604496</v>
      </c>
      <c r="E1992" s="14">
        <v>0.466910219</v>
      </c>
      <c r="F1992" s="14">
        <v>-1.098782931</v>
      </c>
      <c r="G1992" s="51" t="s">
        <v>2419</v>
      </c>
      <c r="H1992" s="51" t="s">
        <v>2420</v>
      </c>
      <c r="I1992" s="14" t="s">
        <v>147</v>
      </c>
      <c r="J1992" s="14">
        <v>17.16539232</v>
      </c>
      <c r="K1992" s="14">
        <v>17.01269113</v>
      </c>
      <c r="L1992" s="14">
        <v>14.69919408</v>
      </c>
      <c r="M1992" s="14">
        <v>31.06135451</v>
      </c>
      <c r="N1992" s="14">
        <v>29.7322009</v>
      </c>
      <c r="O1992" s="14">
        <v>24.85008151</v>
      </c>
      <c r="P1992" s="14" t="s">
        <v>8528</v>
      </c>
      <c r="Q1992" s="14" t="s">
        <v>8529</v>
      </c>
      <c r="R1992" s="14" t="s">
        <v>9156</v>
      </c>
      <c r="S1992" s="14" t="s">
        <v>9157</v>
      </c>
      <c r="T1992" s="14" t="s">
        <v>8530</v>
      </c>
      <c r="U1992" s="14" t="s">
        <v>8531</v>
      </c>
    </row>
    <row r="1993" spans="1:15">
      <c r="A1993" s="14" t="s">
        <v>9850</v>
      </c>
      <c r="B1993" s="14">
        <v>40.2761535</v>
      </c>
      <c r="C1993" s="14">
        <v>8.208306886</v>
      </c>
      <c r="D1993" s="14">
        <v>72.34400011</v>
      </c>
      <c r="E1993" s="14">
        <v>8.851921214</v>
      </c>
      <c r="F1993" s="14">
        <v>3.145990611</v>
      </c>
      <c r="G1993" s="14">
        <v>0.00026117</v>
      </c>
      <c r="H1993" s="14">
        <v>0.001112441</v>
      </c>
      <c r="I1993" s="14" t="s">
        <v>164</v>
      </c>
      <c r="J1993" s="14">
        <v>4.996720048</v>
      </c>
      <c r="K1993" s="14">
        <v>0.633951426</v>
      </c>
      <c r="L1993" s="14">
        <v>3.598209484</v>
      </c>
      <c r="M1993" s="14">
        <v>0.395183522</v>
      </c>
      <c r="N1993" s="14">
        <v>0.241265611</v>
      </c>
      <c r="O1993" s="14">
        <v>0.210895055</v>
      </c>
    </row>
    <row r="1994" spans="1:15">
      <c r="A1994" s="14" t="s">
        <v>9851</v>
      </c>
      <c r="B1994" s="14">
        <v>60575.65861</v>
      </c>
      <c r="C1994" s="14">
        <v>2378.675689</v>
      </c>
      <c r="D1994" s="14">
        <v>118772.6415</v>
      </c>
      <c r="E1994" s="14">
        <v>49.92941238</v>
      </c>
      <c r="F1994" s="14">
        <v>5.641818023</v>
      </c>
      <c r="G1994" s="51" t="s">
        <v>9852</v>
      </c>
      <c r="H1994" s="51" t="s">
        <v>9853</v>
      </c>
      <c r="I1994" s="14" t="s">
        <v>164</v>
      </c>
      <c r="J1994" s="14">
        <v>6434.867734</v>
      </c>
      <c r="K1994" s="14">
        <v>2241.974557</v>
      </c>
      <c r="L1994" s="14">
        <v>6642.724262</v>
      </c>
      <c r="M1994" s="14">
        <v>48.72921471</v>
      </c>
      <c r="N1994" s="14">
        <v>77.96294202</v>
      </c>
      <c r="O1994" s="14">
        <v>130.3802966</v>
      </c>
    </row>
    <row r="1995" spans="1:15">
      <c r="A1995" s="14" t="s">
        <v>9854</v>
      </c>
      <c r="B1995" s="14">
        <v>305944.597</v>
      </c>
      <c r="C1995" s="14">
        <v>104227.1426</v>
      </c>
      <c r="D1995" s="14">
        <v>507662.0513</v>
      </c>
      <c r="E1995" s="14">
        <v>4.870737326</v>
      </c>
      <c r="F1995" s="14">
        <v>2.284140182</v>
      </c>
      <c r="G1995" s="51" t="s">
        <v>9855</v>
      </c>
      <c r="H1995" s="51" t="s">
        <v>9856</v>
      </c>
      <c r="I1995" s="14" t="s">
        <v>164</v>
      </c>
      <c r="J1995" s="14">
        <v>23447.95405</v>
      </c>
      <c r="K1995" s="14">
        <v>10007.66365</v>
      </c>
      <c r="L1995" s="14">
        <v>19239.2892</v>
      </c>
      <c r="M1995" s="14">
        <v>2739.997633</v>
      </c>
      <c r="N1995" s="14">
        <v>4548.484815</v>
      </c>
      <c r="O1995" s="14">
        <v>1431.602498</v>
      </c>
    </row>
    <row r="1996" spans="1:15">
      <c r="A1996" s="14" t="s">
        <v>9857</v>
      </c>
      <c r="B1996" s="14">
        <v>18.55567828</v>
      </c>
      <c r="C1996" s="14">
        <v>4.099689921</v>
      </c>
      <c r="D1996" s="14">
        <v>33.01166664</v>
      </c>
      <c r="E1996" s="14">
        <v>8.128926965</v>
      </c>
      <c r="F1996" s="14">
        <v>3.023064926</v>
      </c>
      <c r="G1996" s="51" t="s">
        <v>3957</v>
      </c>
      <c r="H1996" s="14">
        <v>0.000114946</v>
      </c>
      <c r="I1996" s="14" t="s">
        <v>164</v>
      </c>
      <c r="J1996" s="14">
        <v>0.819006699</v>
      </c>
      <c r="K1996" s="14">
        <v>0.498447032</v>
      </c>
      <c r="L1996" s="14">
        <v>0.586850336</v>
      </c>
      <c r="M1996" s="14">
        <v>0.065184911</v>
      </c>
      <c r="N1996" s="14">
        <v>0.093805775</v>
      </c>
      <c r="O1996" s="14">
        <v>0.031887912</v>
      </c>
    </row>
    <row r="1997" spans="1:15">
      <c r="A1997" s="14" t="s">
        <v>9858</v>
      </c>
      <c r="B1997" s="14">
        <v>14600.2022</v>
      </c>
      <c r="C1997" s="14">
        <v>1673.322773</v>
      </c>
      <c r="D1997" s="14">
        <v>27527.08163</v>
      </c>
      <c r="E1997" s="14">
        <v>16.45139872</v>
      </c>
      <c r="F1997" s="14">
        <v>4.040138344</v>
      </c>
      <c r="G1997" s="51" t="s">
        <v>9859</v>
      </c>
      <c r="H1997" s="51" t="s">
        <v>5928</v>
      </c>
      <c r="I1997" s="14" t="s">
        <v>164</v>
      </c>
      <c r="J1997" s="14">
        <v>1321.519507</v>
      </c>
      <c r="K1997" s="14">
        <v>759.1720794</v>
      </c>
      <c r="L1997" s="14">
        <v>842.7210294</v>
      </c>
      <c r="M1997" s="14">
        <v>42.2896392</v>
      </c>
      <c r="N1997" s="14">
        <v>66.08409046</v>
      </c>
      <c r="O1997" s="14">
        <v>36.61832238</v>
      </c>
    </row>
    <row r="1998" spans="1:21">
      <c r="A1998" s="14" t="s">
        <v>9860</v>
      </c>
      <c r="B1998" s="14">
        <v>47.83598504</v>
      </c>
      <c r="C1998" s="14">
        <v>0.927266538</v>
      </c>
      <c r="D1998" s="14">
        <v>94.74470353</v>
      </c>
      <c r="E1998" s="14">
        <v>95.36993485</v>
      </c>
      <c r="F1998" s="14">
        <v>6.575462627</v>
      </c>
      <c r="G1998" s="51" t="s">
        <v>9861</v>
      </c>
      <c r="H1998" s="51" t="s">
        <v>3949</v>
      </c>
      <c r="I1998" s="14" t="s">
        <v>164</v>
      </c>
      <c r="J1998" s="14">
        <v>1.061171471</v>
      </c>
      <c r="K1998" s="14">
        <v>1.136568781</v>
      </c>
      <c r="L1998" s="14">
        <v>1.71601326</v>
      </c>
      <c r="M1998" s="14">
        <v>0</v>
      </c>
      <c r="N1998" s="14">
        <v>0</v>
      </c>
      <c r="O1998" s="14">
        <v>0.03416562</v>
      </c>
      <c r="P1998" s="14" t="s">
        <v>9862</v>
      </c>
      <c r="Q1998" s="14" t="s">
        <v>9863</v>
      </c>
      <c r="T1998" s="14" t="s">
        <v>9864</v>
      </c>
      <c r="U1998" s="14" t="s">
        <v>9865</v>
      </c>
    </row>
    <row r="1999" spans="1:21">
      <c r="A1999" s="14" t="s">
        <v>9866</v>
      </c>
      <c r="B1999" s="14">
        <v>1676.696043</v>
      </c>
      <c r="C1999" s="14">
        <v>1003.069273</v>
      </c>
      <c r="D1999" s="14">
        <v>2350.322814</v>
      </c>
      <c r="E1999" s="14">
        <v>2.342769131</v>
      </c>
      <c r="F1999" s="14">
        <v>1.22821479</v>
      </c>
      <c r="G1999" s="51" t="s">
        <v>9867</v>
      </c>
      <c r="H1999" s="51" t="s">
        <v>7385</v>
      </c>
      <c r="I1999" s="14" t="s">
        <v>164</v>
      </c>
      <c r="J1999" s="14">
        <v>25.6145629</v>
      </c>
      <c r="K1999" s="14">
        <v>19.04036137</v>
      </c>
      <c r="L1999" s="14">
        <v>30.94860585</v>
      </c>
      <c r="M1999" s="14">
        <v>7.58026978</v>
      </c>
      <c r="N1999" s="14">
        <v>7.411553024</v>
      </c>
      <c r="O1999" s="14">
        <v>11.81657493</v>
      </c>
      <c r="P1999" s="14" t="s">
        <v>9868</v>
      </c>
      <c r="Q1999" s="14" t="s">
        <v>9869</v>
      </c>
      <c r="T1999" s="14" t="s">
        <v>9870</v>
      </c>
      <c r="U1999" s="14" t="s">
        <v>9871</v>
      </c>
    </row>
    <row r="2000" spans="1:15">
      <c r="A2000" s="14" t="s">
        <v>9872</v>
      </c>
      <c r="B2000" s="14">
        <v>194.1649956</v>
      </c>
      <c r="C2000" s="14">
        <v>94.03386545</v>
      </c>
      <c r="D2000" s="14">
        <v>294.2961258</v>
      </c>
      <c r="E2000" s="14">
        <v>3.133095998</v>
      </c>
      <c r="F2000" s="14">
        <v>1.647588975</v>
      </c>
      <c r="G2000" s="51" t="s">
        <v>9873</v>
      </c>
      <c r="H2000" s="51" t="s">
        <v>4864</v>
      </c>
      <c r="I2000" s="14" t="s">
        <v>164</v>
      </c>
      <c r="J2000" s="14">
        <v>7.051211524</v>
      </c>
      <c r="K2000" s="14">
        <v>12.74204854</v>
      </c>
      <c r="L2000" s="14">
        <v>9.410223275</v>
      </c>
      <c r="M2000" s="14">
        <v>2.862157581</v>
      </c>
      <c r="N2000" s="14">
        <v>2.449773891</v>
      </c>
      <c r="O2000" s="14">
        <v>2.333572501</v>
      </c>
    </row>
    <row r="2001" spans="1:21">
      <c r="A2001" s="14" t="s">
        <v>9874</v>
      </c>
      <c r="B2001" s="14">
        <v>1261.848701</v>
      </c>
      <c r="C2001" s="14">
        <v>1722.775925</v>
      </c>
      <c r="D2001" s="14">
        <v>800.9214772</v>
      </c>
      <c r="E2001" s="14">
        <v>0.464736817</v>
      </c>
      <c r="F2001" s="14">
        <v>-1.105514153</v>
      </c>
      <c r="G2001" s="51" t="s">
        <v>9875</v>
      </c>
      <c r="H2001" s="51" t="s">
        <v>9876</v>
      </c>
      <c r="I2001" s="14" t="s">
        <v>147</v>
      </c>
      <c r="J2001" s="14">
        <v>11.49142287</v>
      </c>
      <c r="K2001" s="14">
        <v>13.02687202</v>
      </c>
      <c r="L2001" s="14">
        <v>10.64539981</v>
      </c>
      <c r="M2001" s="14">
        <v>18.03774841</v>
      </c>
      <c r="N2001" s="14">
        <v>19.38930989</v>
      </c>
      <c r="O2001" s="14">
        <v>25.34826061</v>
      </c>
      <c r="P2001" s="14" t="s">
        <v>9877</v>
      </c>
      <c r="Q2001" s="14" t="s">
        <v>9878</v>
      </c>
      <c r="R2001" s="14" t="s">
        <v>9879</v>
      </c>
      <c r="S2001" s="14" t="s">
        <v>9880</v>
      </c>
      <c r="T2001" s="14" t="s">
        <v>9881</v>
      </c>
      <c r="U2001" s="14" t="s">
        <v>9882</v>
      </c>
    </row>
    <row r="2002" spans="1:21">
      <c r="A2002" s="14" t="s">
        <v>9883</v>
      </c>
      <c r="B2002" s="14">
        <v>81.12060633</v>
      </c>
      <c r="C2002" s="14">
        <v>9.150726251</v>
      </c>
      <c r="D2002" s="14">
        <v>153.0904864</v>
      </c>
      <c r="E2002" s="14">
        <v>16.57991131</v>
      </c>
      <c r="F2002" s="14">
        <v>4.051364385</v>
      </c>
      <c r="G2002" s="51" t="s">
        <v>9884</v>
      </c>
      <c r="H2002" s="51" t="s">
        <v>9885</v>
      </c>
      <c r="I2002" s="14" t="s">
        <v>164</v>
      </c>
      <c r="J2002" s="14">
        <v>2.693020069</v>
      </c>
      <c r="K2002" s="14">
        <v>1.108276978</v>
      </c>
      <c r="L2002" s="14">
        <v>2.363054082</v>
      </c>
      <c r="M2002" s="14">
        <v>0.068102474</v>
      </c>
      <c r="N2002" s="14">
        <v>0.065336239</v>
      </c>
      <c r="O2002" s="14">
        <v>0.17768085</v>
      </c>
      <c r="P2002" s="14" t="s">
        <v>9886</v>
      </c>
      <c r="Q2002" s="14" t="s">
        <v>9887</v>
      </c>
      <c r="T2002" s="14" t="s">
        <v>9888</v>
      </c>
      <c r="U2002" s="14" t="s">
        <v>9889</v>
      </c>
    </row>
    <row r="2003" spans="1:21">
      <c r="A2003" s="14" t="s">
        <v>9890</v>
      </c>
      <c r="B2003" s="14">
        <v>46.63064379</v>
      </c>
      <c r="C2003" s="14">
        <v>16.34206951</v>
      </c>
      <c r="D2003" s="14">
        <v>76.91921807</v>
      </c>
      <c r="E2003" s="14">
        <v>4.698111722</v>
      </c>
      <c r="F2003" s="14">
        <v>2.232081021</v>
      </c>
      <c r="G2003" s="51" t="s">
        <v>9891</v>
      </c>
      <c r="H2003" s="51" t="s">
        <v>9892</v>
      </c>
      <c r="I2003" s="14" t="s">
        <v>164</v>
      </c>
      <c r="J2003" s="14">
        <v>1.901300908</v>
      </c>
      <c r="K2003" s="14">
        <v>1.27581077</v>
      </c>
      <c r="L2003" s="14">
        <v>1.294410663</v>
      </c>
      <c r="M2003" s="14">
        <v>0.279339704</v>
      </c>
      <c r="N2003" s="14">
        <v>0.157643108</v>
      </c>
      <c r="O2003" s="14">
        <v>0.353684014</v>
      </c>
      <c r="P2003" s="14" t="s">
        <v>6535</v>
      </c>
      <c r="Q2003" s="14" t="s">
        <v>6536</v>
      </c>
      <c r="R2003" s="14" t="s">
        <v>6537</v>
      </c>
      <c r="S2003" s="14" t="s">
        <v>6538</v>
      </c>
      <c r="T2003" s="14" t="s">
        <v>6539</v>
      </c>
      <c r="U2003" s="14" t="s">
        <v>6540</v>
      </c>
    </row>
    <row r="2004" spans="1:15">
      <c r="A2004" s="14" t="s">
        <v>9893</v>
      </c>
      <c r="B2004" s="14">
        <v>1755.669252</v>
      </c>
      <c r="C2004" s="14">
        <v>510.775563</v>
      </c>
      <c r="D2004" s="14">
        <v>3000.562942</v>
      </c>
      <c r="E2004" s="14">
        <v>5.870725501</v>
      </c>
      <c r="F2004" s="14">
        <v>2.553538802</v>
      </c>
      <c r="G2004" s="51" t="s">
        <v>9894</v>
      </c>
      <c r="H2004" s="51" t="s">
        <v>9895</v>
      </c>
      <c r="I2004" s="14" t="s">
        <v>164</v>
      </c>
      <c r="J2004" s="14">
        <v>67.48204575</v>
      </c>
      <c r="K2004" s="14">
        <v>59.22527649</v>
      </c>
      <c r="L2004" s="14">
        <v>60.2405873</v>
      </c>
      <c r="M2004" s="14">
        <v>6.337018619</v>
      </c>
      <c r="N2004" s="14">
        <v>7.160437846</v>
      </c>
      <c r="O2004" s="14">
        <v>13.192292</v>
      </c>
    </row>
    <row r="2005" spans="1:15">
      <c r="A2005" s="14" t="s">
        <v>9896</v>
      </c>
      <c r="B2005" s="14">
        <v>1999.929094</v>
      </c>
      <c r="C2005" s="14">
        <v>2681.323891</v>
      </c>
      <c r="D2005" s="14">
        <v>1318.534298</v>
      </c>
      <c r="E2005" s="14">
        <v>0.491783634</v>
      </c>
      <c r="F2005" s="14">
        <v>-1.023904369</v>
      </c>
      <c r="G2005" s="14">
        <v>0.000184487</v>
      </c>
      <c r="H2005" s="14">
        <v>0.000817477</v>
      </c>
      <c r="I2005" s="14" t="s">
        <v>147</v>
      </c>
      <c r="J2005" s="14">
        <v>40.31272071</v>
      </c>
      <c r="K2005" s="14">
        <v>50.82956607</v>
      </c>
      <c r="L2005" s="14">
        <v>42.59011321</v>
      </c>
      <c r="M2005" s="14">
        <v>83.5762975</v>
      </c>
      <c r="N2005" s="14">
        <v>84.14247568</v>
      </c>
      <c r="O2005" s="14">
        <v>53.49390045</v>
      </c>
    </row>
    <row r="2006" spans="1:15">
      <c r="A2006" s="14" t="s">
        <v>9897</v>
      </c>
      <c r="B2006" s="14">
        <v>98.53627931</v>
      </c>
      <c r="C2006" s="14">
        <v>167.3933833</v>
      </c>
      <c r="D2006" s="14">
        <v>29.67917534</v>
      </c>
      <c r="E2006" s="14">
        <v>0.177459015</v>
      </c>
      <c r="F2006" s="14">
        <v>-2.494442232</v>
      </c>
      <c r="G2006" s="51" t="s">
        <v>8626</v>
      </c>
      <c r="H2006" s="51" t="s">
        <v>9898</v>
      </c>
      <c r="I2006" s="14" t="s">
        <v>147</v>
      </c>
      <c r="J2006" s="14">
        <v>0.796129854</v>
      </c>
      <c r="K2006" s="14">
        <v>1.335547463</v>
      </c>
      <c r="L2006" s="14">
        <v>1.277588636</v>
      </c>
      <c r="M2006" s="14">
        <v>5.57906149</v>
      </c>
      <c r="N2006" s="14">
        <v>6.815034462</v>
      </c>
      <c r="O2006" s="14">
        <v>3.173523398</v>
      </c>
    </row>
    <row r="2007" spans="1:21">
      <c r="A2007" s="14" t="s">
        <v>9899</v>
      </c>
      <c r="B2007" s="14">
        <v>1861.100738</v>
      </c>
      <c r="C2007" s="14">
        <v>485.0580597</v>
      </c>
      <c r="D2007" s="14">
        <v>3237.143416</v>
      </c>
      <c r="E2007" s="14">
        <v>6.670397612</v>
      </c>
      <c r="F2007" s="14">
        <v>2.737772761</v>
      </c>
      <c r="G2007" s="51" t="s">
        <v>9900</v>
      </c>
      <c r="H2007" s="51" t="s">
        <v>4706</v>
      </c>
      <c r="I2007" s="14" t="s">
        <v>164</v>
      </c>
      <c r="J2007" s="14">
        <v>42.64720866</v>
      </c>
      <c r="K2007" s="14">
        <v>30.24446915</v>
      </c>
      <c r="L2007" s="14">
        <v>44.70672114</v>
      </c>
      <c r="M2007" s="14">
        <v>2.776872978</v>
      </c>
      <c r="N2007" s="14">
        <v>3.863407461</v>
      </c>
      <c r="O2007" s="14">
        <v>8.230740021</v>
      </c>
      <c r="P2007" s="14" t="s">
        <v>9901</v>
      </c>
      <c r="Q2007" s="14" t="s">
        <v>9902</v>
      </c>
      <c r="T2007" s="14" t="s">
        <v>9903</v>
      </c>
      <c r="U2007" s="14" t="s">
        <v>9904</v>
      </c>
    </row>
    <row r="2008" spans="1:15">
      <c r="A2008" s="14" t="s">
        <v>9905</v>
      </c>
      <c r="B2008" s="14">
        <v>92.67935446</v>
      </c>
      <c r="C2008" s="14">
        <v>34.08938341</v>
      </c>
      <c r="D2008" s="14">
        <v>151.2693255</v>
      </c>
      <c r="E2008" s="14">
        <v>4.457144975</v>
      </c>
      <c r="F2008" s="14">
        <v>2.156119888</v>
      </c>
      <c r="G2008" s="51" t="s">
        <v>8393</v>
      </c>
      <c r="H2008" s="51" t="s">
        <v>9906</v>
      </c>
      <c r="I2008" s="14" t="s">
        <v>164</v>
      </c>
      <c r="J2008" s="14">
        <v>8.85004068</v>
      </c>
      <c r="K2008" s="14">
        <v>10.72840874</v>
      </c>
      <c r="L2008" s="14">
        <v>10.01403158</v>
      </c>
      <c r="M2008" s="14">
        <v>2.431898598</v>
      </c>
      <c r="N2008" s="14">
        <v>2.067990947</v>
      </c>
      <c r="O2008" s="14">
        <v>0.865210482</v>
      </c>
    </row>
    <row r="2009" spans="1:21">
      <c r="A2009" s="14" t="s">
        <v>9907</v>
      </c>
      <c r="B2009" s="14">
        <v>5.543708475</v>
      </c>
      <c r="C2009" s="14">
        <v>0.618177692</v>
      </c>
      <c r="D2009" s="14">
        <v>10.46923926</v>
      </c>
      <c r="E2009" s="14">
        <v>16.05995719</v>
      </c>
      <c r="F2009" s="14">
        <v>4.005396142</v>
      </c>
      <c r="G2009" s="14">
        <v>0.008236127</v>
      </c>
      <c r="H2009" s="14">
        <v>0.022834263</v>
      </c>
      <c r="I2009" s="14" t="s">
        <v>164</v>
      </c>
      <c r="J2009" s="14">
        <v>0.195161275</v>
      </c>
      <c r="K2009" s="14">
        <v>0.392871306</v>
      </c>
      <c r="L2009" s="14">
        <v>0.295288595</v>
      </c>
      <c r="M2009" s="14">
        <v>0</v>
      </c>
      <c r="N2009" s="14">
        <v>0</v>
      </c>
      <c r="O2009" s="14">
        <v>0.046676974</v>
      </c>
      <c r="P2009" s="14" t="s">
        <v>9908</v>
      </c>
      <c r="Q2009" s="14" t="s">
        <v>9909</v>
      </c>
      <c r="T2009" s="14" t="s">
        <v>9910</v>
      </c>
      <c r="U2009" s="14" t="s">
        <v>9911</v>
      </c>
    </row>
    <row r="2010" spans="1:21">
      <c r="A2010" s="14" t="s">
        <v>9912</v>
      </c>
      <c r="B2010" s="14">
        <v>2118.274498</v>
      </c>
      <c r="C2010" s="14">
        <v>2853.4465</v>
      </c>
      <c r="D2010" s="14">
        <v>1383.102496</v>
      </c>
      <c r="E2010" s="14">
        <v>0.484756631</v>
      </c>
      <c r="F2010" s="14">
        <v>-1.044667462</v>
      </c>
      <c r="G2010" s="14">
        <v>0.001669817</v>
      </c>
      <c r="H2010" s="14">
        <v>0.005736634</v>
      </c>
      <c r="I2010" s="14" t="s">
        <v>147</v>
      </c>
      <c r="J2010" s="14">
        <v>1.758768383</v>
      </c>
      <c r="K2010" s="14">
        <v>2.333515201</v>
      </c>
      <c r="L2010" s="14">
        <v>2.350669131</v>
      </c>
      <c r="M2010" s="14">
        <v>4.271033718</v>
      </c>
      <c r="N2010" s="14">
        <v>4.22753059</v>
      </c>
      <c r="O2010" s="14">
        <v>2.259874005</v>
      </c>
      <c r="P2010" s="14" t="s">
        <v>2381</v>
      </c>
      <c r="Q2010" s="14" t="s">
        <v>2382</v>
      </c>
      <c r="T2010" s="14" t="s">
        <v>2383</v>
      </c>
      <c r="U2010" s="14" t="s">
        <v>2384</v>
      </c>
    </row>
    <row r="2011" spans="1:15">
      <c r="A2011" s="14" t="s">
        <v>9913</v>
      </c>
      <c r="B2011" s="14">
        <v>40.39440691</v>
      </c>
      <c r="C2011" s="14">
        <v>65.35079221</v>
      </c>
      <c r="D2011" s="14">
        <v>15.43802161</v>
      </c>
      <c r="E2011" s="14">
        <v>0.236148564</v>
      </c>
      <c r="F2011" s="14">
        <v>-2.08223333</v>
      </c>
      <c r="G2011" s="14">
        <v>0.000560045</v>
      </c>
      <c r="H2011" s="14">
        <v>0.002193029</v>
      </c>
      <c r="I2011" s="14" t="s">
        <v>147</v>
      </c>
      <c r="J2011" s="14">
        <v>0.195161275</v>
      </c>
      <c r="K2011" s="14">
        <v>0.613861416</v>
      </c>
      <c r="L2011" s="14">
        <v>0.328844117</v>
      </c>
      <c r="M2011" s="14">
        <v>1.44019347</v>
      </c>
      <c r="N2011" s="14">
        <v>1.581940258</v>
      </c>
      <c r="O2011" s="14">
        <v>0.898531748</v>
      </c>
    </row>
    <row r="2012" spans="1:21">
      <c r="A2012" s="14" t="s">
        <v>9914</v>
      </c>
      <c r="B2012" s="14">
        <v>9.340793815</v>
      </c>
      <c r="C2012" s="14">
        <v>2.223419981</v>
      </c>
      <c r="D2012" s="14">
        <v>16.45816765</v>
      </c>
      <c r="E2012" s="14">
        <v>7.248512055</v>
      </c>
      <c r="F2012" s="14">
        <v>2.857684875</v>
      </c>
      <c r="G2012" s="14">
        <v>0.010972856</v>
      </c>
      <c r="H2012" s="14">
        <v>0.029234143</v>
      </c>
      <c r="I2012" s="14" t="s">
        <v>164</v>
      </c>
      <c r="J2012" s="14">
        <v>0.372819297</v>
      </c>
      <c r="K2012" s="14">
        <v>0.375253759</v>
      </c>
      <c r="L2012" s="14">
        <v>0.807679914</v>
      </c>
      <c r="M2012" s="14">
        <v>0</v>
      </c>
      <c r="N2012" s="14">
        <v>0.051004261</v>
      </c>
      <c r="O2012" s="14">
        <v>0.130036189</v>
      </c>
      <c r="P2012" s="14" t="s">
        <v>9915</v>
      </c>
      <c r="Q2012" s="14" t="s">
        <v>9916</v>
      </c>
      <c r="T2012" s="14" t="s">
        <v>9917</v>
      </c>
      <c r="U2012" s="14" t="s">
        <v>9918</v>
      </c>
    </row>
    <row r="2013" spans="1:21">
      <c r="A2013" s="14" t="s">
        <v>9919</v>
      </c>
      <c r="B2013" s="14">
        <v>40.95658665</v>
      </c>
      <c r="C2013" s="14">
        <v>68.88939123</v>
      </c>
      <c r="D2013" s="14">
        <v>13.02378208</v>
      </c>
      <c r="E2013" s="14">
        <v>0.189509787</v>
      </c>
      <c r="F2013" s="14">
        <v>-2.39965574</v>
      </c>
      <c r="G2013" s="51" t="s">
        <v>9920</v>
      </c>
      <c r="H2013" s="51" t="s">
        <v>3579</v>
      </c>
      <c r="I2013" s="14" t="s">
        <v>147</v>
      </c>
      <c r="J2013" s="14">
        <v>0.217783113</v>
      </c>
      <c r="K2013" s="14">
        <v>0.12330293</v>
      </c>
      <c r="L2013" s="14">
        <v>0.196586576</v>
      </c>
      <c r="M2013" s="14">
        <v>0.838503348</v>
      </c>
      <c r="N2013" s="14">
        <v>0.759753059</v>
      </c>
      <c r="O2013" s="14">
        <v>0.729224551</v>
      </c>
      <c r="P2013" s="14" t="s">
        <v>9921</v>
      </c>
      <c r="Q2013" s="14" t="s">
        <v>9922</v>
      </c>
      <c r="T2013" s="14" t="s">
        <v>9923</v>
      </c>
      <c r="U2013" s="14" t="s">
        <v>9924</v>
      </c>
    </row>
    <row r="2014" spans="1:21">
      <c r="A2014" s="14" t="s">
        <v>9925</v>
      </c>
      <c r="B2014" s="14">
        <v>5.164609173</v>
      </c>
      <c r="C2014" s="14">
        <v>9.992943353</v>
      </c>
      <c r="D2014" s="14">
        <v>0.336274994</v>
      </c>
      <c r="E2014" s="14">
        <v>0.035213832</v>
      </c>
      <c r="F2014" s="14">
        <v>-4.827713949</v>
      </c>
      <c r="G2014" s="14">
        <v>0.005946852</v>
      </c>
      <c r="H2014" s="14">
        <v>0.017224598</v>
      </c>
      <c r="I2014" s="14" t="s">
        <v>147</v>
      </c>
      <c r="J2014" s="14">
        <v>0</v>
      </c>
      <c r="K2014" s="14">
        <v>0.02429779</v>
      </c>
      <c r="L2014" s="14">
        <v>0</v>
      </c>
      <c r="M2014" s="14">
        <v>0.227196102</v>
      </c>
      <c r="N2014" s="14">
        <v>0.297228664</v>
      </c>
      <c r="O2014" s="14">
        <v>0.060623143</v>
      </c>
      <c r="P2014" s="14" t="s">
        <v>5236</v>
      </c>
      <c r="Q2014" s="14" t="s">
        <v>5237</v>
      </c>
      <c r="T2014" s="14" t="s">
        <v>5238</v>
      </c>
      <c r="U2014" s="14" t="s">
        <v>5239</v>
      </c>
    </row>
    <row r="2015" spans="1:21">
      <c r="A2015" s="14" t="s">
        <v>9926</v>
      </c>
      <c r="B2015" s="14">
        <v>18.21370617</v>
      </c>
      <c r="C2015" s="14">
        <v>6.904397902</v>
      </c>
      <c r="D2015" s="14">
        <v>29.52301444</v>
      </c>
      <c r="E2015" s="14">
        <v>4.237079351</v>
      </c>
      <c r="F2015" s="14">
        <v>2.083070147</v>
      </c>
      <c r="G2015" s="14">
        <v>0.000716893</v>
      </c>
      <c r="H2015" s="14">
        <v>0.002735063</v>
      </c>
      <c r="I2015" s="14" t="s">
        <v>164</v>
      </c>
      <c r="J2015" s="14">
        <v>1.906538651</v>
      </c>
      <c r="K2015" s="14">
        <v>2.467270414</v>
      </c>
      <c r="L2015" s="14">
        <v>1.704587548</v>
      </c>
      <c r="M2015" s="14">
        <v>0.291290066</v>
      </c>
      <c r="N2015" s="14">
        <v>0.279458236</v>
      </c>
      <c r="O2015" s="14">
        <v>0.626985298</v>
      </c>
      <c r="P2015" s="14" t="s">
        <v>1666</v>
      </c>
      <c r="Q2015" s="14" t="s">
        <v>1667</v>
      </c>
      <c r="T2015" s="14" t="s">
        <v>1668</v>
      </c>
      <c r="U2015" s="14" t="s">
        <v>1669</v>
      </c>
    </row>
    <row r="2016" spans="1:15">
      <c r="A2016" s="14" t="s">
        <v>9927</v>
      </c>
      <c r="B2016" s="14">
        <v>105.1578483</v>
      </c>
      <c r="C2016" s="14">
        <v>149.9295286</v>
      </c>
      <c r="D2016" s="14">
        <v>60.38616804</v>
      </c>
      <c r="E2016" s="14">
        <v>0.403012923</v>
      </c>
      <c r="F2016" s="14">
        <v>-1.311101994</v>
      </c>
      <c r="G2016" s="51" t="s">
        <v>5565</v>
      </c>
      <c r="H2016" s="14">
        <v>0.000101931</v>
      </c>
      <c r="I2016" s="14" t="s">
        <v>147</v>
      </c>
      <c r="J2016" s="14">
        <v>6.305051574</v>
      </c>
      <c r="K2016" s="14">
        <v>10.77382</v>
      </c>
      <c r="L2016" s="14">
        <v>9.741540926</v>
      </c>
      <c r="M2016" s="14">
        <v>19.19462822</v>
      </c>
      <c r="N2016" s="14">
        <v>17.33173365</v>
      </c>
      <c r="O2016" s="14">
        <v>18.16598674</v>
      </c>
    </row>
    <row r="2017" spans="1:21">
      <c r="A2017" s="14" t="s">
        <v>9928</v>
      </c>
      <c r="B2017" s="14">
        <v>330.1890473</v>
      </c>
      <c r="C2017" s="14">
        <v>100.8324154</v>
      </c>
      <c r="D2017" s="14">
        <v>559.5456792</v>
      </c>
      <c r="E2017" s="14">
        <v>5.543050543</v>
      </c>
      <c r="F2017" s="14">
        <v>2.470680163</v>
      </c>
      <c r="G2017" s="14">
        <v>0.003327164</v>
      </c>
      <c r="H2017" s="14">
        <v>0.010406807</v>
      </c>
      <c r="I2017" s="14" t="s">
        <v>164</v>
      </c>
      <c r="J2017" s="14">
        <v>9.323460128</v>
      </c>
      <c r="K2017" s="14">
        <v>4.460290032</v>
      </c>
      <c r="L2017" s="14">
        <v>9.238050207</v>
      </c>
      <c r="M2017" s="14">
        <v>0.313054917</v>
      </c>
      <c r="N2017" s="14">
        <v>0.300339028</v>
      </c>
      <c r="O2017" s="14">
        <v>3.006156895</v>
      </c>
      <c r="P2017" s="14" t="s">
        <v>9929</v>
      </c>
      <c r="Q2017" s="14" t="s">
        <v>9930</v>
      </c>
      <c r="R2017" s="14" t="s">
        <v>1036</v>
      </c>
      <c r="S2017" s="14" t="s">
        <v>1037</v>
      </c>
      <c r="T2017" s="14" t="s">
        <v>9931</v>
      </c>
      <c r="U2017" s="14" t="s">
        <v>9932</v>
      </c>
    </row>
    <row r="2018" spans="1:21">
      <c r="A2018" s="14" t="s">
        <v>9933</v>
      </c>
      <c r="B2018" s="14">
        <v>169265.8002</v>
      </c>
      <c r="C2018" s="14">
        <v>256900.0519</v>
      </c>
      <c r="D2018" s="14">
        <v>81631.5485</v>
      </c>
      <c r="E2018" s="14">
        <v>0.317756201</v>
      </c>
      <c r="F2018" s="14">
        <v>-1.654007817</v>
      </c>
      <c r="G2018" s="51" t="s">
        <v>9934</v>
      </c>
      <c r="H2018" s="51" t="s">
        <v>9935</v>
      </c>
      <c r="I2018" s="14" t="s">
        <v>147</v>
      </c>
      <c r="J2018" s="14">
        <v>1015.72944</v>
      </c>
      <c r="K2018" s="14">
        <v>1325.26486</v>
      </c>
      <c r="L2018" s="14">
        <v>925.876608</v>
      </c>
      <c r="M2018" s="14">
        <v>3093.800076</v>
      </c>
      <c r="N2018" s="14">
        <v>3124.696793</v>
      </c>
      <c r="O2018" s="14">
        <v>2169.05564</v>
      </c>
      <c r="P2018" s="14" t="s">
        <v>9936</v>
      </c>
      <c r="Q2018" s="14" t="s">
        <v>9937</v>
      </c>
      <c r="R2018" s="14" t="s">
        <v>2019</v>
      </c>
      <c r="S2018" s="14" t="s">
        <v>2020</v>
      </c>
      <c r="T2018" s="14" t="s">
        <v>9938</v>
      </c>
      <c r="U2018" s="14" t="s">
        <v>9939</v>
      </c>
    </row>
    <row r="2019" spans="1:21">
      <c r="A2019" s="14" t="s">
        <v>9940</v>
      </c>
      <c r="B2019" s="14">
        <v>385.219587</v>
      </c>
      <c r="C2019" s="14">
        <v>161.1343408</v>
      </c>
      <c r="D2019" s="14">
        <v>609.3048333</v>
      </c>
      <c r="E2019" s="14">
        <v>3.786718745</v>
      </c>
      <c r="F2019" s="14">
        <v>1.92094827</v>
      </c>
      <c r="G2019" s="51" t="s">
        <v>8474</v>
      </c>
      <c r="H2019" s="51" t="s">
        <v>8475</v>
      </c>
      <c r="I2019" s="14" t="s">
        <v>164</v>
      </c>
      <c r="J2019" s="14">
        <v>20.74020712</v>
      </c>
      <c r="K2019" s="14">
        <v>25.24412481</v>
      </c>
      <c r="L2019" s="14">
        <v>19.59291002</v>
      </c>
      <c r="M2019" s="14">
        <v>5.357044922</v>
      </c>
      <c r="N2019" s="14">
        <v>4.905837318</v>
      </c>
      <c r="O2019" s="14">
        <v>3.901152428</v>
      </c>
      <c r="P2019" s="14" t="s">
        <v>9941</v>
      </c>
      <c r="Q2019" s="14" t="s">
        <v>9942</v>
      </c>
      <c r="R2019" s="14" t="s">
        <v>2019</v>
      </c>
      <c r="S2019" s="14" t="s">
        <v>2020</v>
      </c>
      <c r="T2019" s="14" t="s">
        <v>9938</v>
      </c>
      <c r="U2019" s="14" t="s">
        <v>9939</v>
      </c>
    </row>
    <row r="2020" spans="1:21">
      <c r="A2020" s="14" t="s">
        <v>9943</v>
      </c>
      <c r="B2020" s="14">
        <v>2781.937156</v>
      </c>
      <c r="C2020" s="14">
        <v>4226.00698</v>
      </c>
      <c r="D2020" s="14">
        <v>1337.867332</v>
      </c>
      <c r="E2020" s="14">
        <v>0.316596192</v>
      </c>
      <c r="F2020" s="14">
        <v>-1.65928419</v>
      </c>
      <c r="G2020" s="51" t="s">
        <v>9944</v>
      </c>
      <c r="H2020" s="51" t="s">
        <v>9945</v>
      </c>
      <c r="I2020" s="14" t="s">
        <v>147</v>
      </c>
      <c r="J2020" s="14">
        <v>12.07419788</v>
      </c>
      <c r="K2020" s="14">
        <v>12.67985424</v>
      </c>
      <c r="L2020" s="14">
        <v>11.79941093</v>
      </c>
      <c r="M2020" s="14">
        <v>33.20004843</v>
      </c>
      <c r="N2020" s="14">
        <v>32.60705231</v>
      </c>
      <c r="O2020" s="14">
        <v>28.78089141</v>
      </c>
      <c r="P2020" s="14" t="s">
        <v>9946</v>
      </c>
      <c r="Q2020" s="14" t="s">
        <v>9947</v>
      </c>
      <c r="R2020" s="14" t="s">
        <v>2754</v>
      </c>
      <c r="S2020" s="14" t="s">
        <v>2755</v>
      </c>
      <c r="T2020" s="14" t="s">
        <v>9948</v>
      </c>
      <c r="U2020" s="14" t="s">
        <v>9949</v>
      </c>
    </row>
    <row r="2021" spans="1:21">
      <c r="A2021" s="14" t="s">
        <v>9950</v>
      </c>
      <c r="B2021" s="14">
        <v>568.2739956</v>
      </c>
      <c r="C2021" s="14">
        <v>341.427831</v>
      </c>
      <c r="D2021" s="14">
        <v>795.1201602</v>
      </c>
      <c r="E2021" s="14">
        <v>2.32764916</v>
      </c>
      <c r="F2021" s="14">
        <v>1.218873621</v>
      </c>
      <c r="G2021" s="14">
        <v>0.01877686</v>
      </c>
      <c r="H2021" s="14">
        <v>0.046089597</v>
      </c>
      <c r="I2021" s="14" t="s">
        <v>164</v>
      </c>
      <c r="J2021" s="14">
        <v>7.027230016</v>
      </c>
      <c r="K2021" s="14">
        <v>5.979073648</v>
      </c>
      <c r="L2021" s="14">
        <v>7.30161633</v>
      </c>
      <c r="M2021" s="14">
        <v>1.499510598</v>
      </c>
      <c r="N2021" s="14">
        <v>1.078951799</v>
      </c>
      <c r="O2021" s="14">
        <v>4.86680896</v>
      </c>
      <c r="P2021" s="14" t="s">
        <v>9951</v>
      </c>
      <c r="Q2021" s="14" t="s">
        <v>9952</v>
      </c>
      <c r="R2021" s="14" t="s">
        <v>9953</v>
      </c>
      <c r="S2021" s="14" t="s">
        <v>9954</v>
      </c>
      <c r="T2021" s="14" t="s">
        <v>9955</v>
      </c>
      <c r="U2021" s="14" t="s">
        <v>9956</v>
      </c>
    </row>
    <row r="2022" spans="1:21">
      <c r="A2022" s="14" t="s">
        <v>9957</v>
      </c>
      <c r="B2022" s="14">
        <v>3341.468331</v>
      </c>
      <c r="C2022" s="14">
        <v>1737.905344</v>
      </c>
      <c r="D2022" s="14">
        <v>4945.031318</v>
      </c>
      <c r="E2022" s="14">
        <v>2.845830773</v>
      </c>
      <c r="F2022" s="14">
        <v>1.508849875</v>
      </c>
      <c r="G2022" s="51" t="s">
        <v>9958</v>
      </c>
      <c r="H2022" s="51" t="s">
        <v>9959</v>
      </c>
      <c r="I2022" s="14" t="s">
        <v>164</v>
      </c>
      <c r="J2022" s="14">
        <v>111.5380708</v>
      </c>
      <c r="K2022" s="14">
        <v>135.7074808</v>
      </c>
      <c r="L2022" s="14">
        <v>133.6125973</v>
      </c>
      <c r="M2022" s="14">
        <v>35.91456854</v>
      </c>
      <c r="N2022" s="14">
        <v>38.31664695</v>
      </c>
      <c r="O2022" s="14">
        <v>35.67028654</v>
      </c>
      <c r="P2022" s="14" t="s">
        <v>9960</v>
      </c>
      <c r="Q2022" s="14" t="s">
        <v>9961</v>
      </c>
      <c r="R2022" s="14" t="s">
        <v>4471</v>
      </c>
      <c r="S2022" s="14" t="s">
        <v>4472</v>
      </c>
      <c r="T2022" s="14" t="s">
        <v>9962</v>
      </c>
      <c r="U2022" s="14" t="s">
        <v>9963</v>
      </c>
    </row>
    <row r="2023" spans="1:21">
      <c r="A2023" s="14" t="s">
        <v>9964</v>
      </c>
      <c r="B2023" s="14">
        <v>48.75188623</v>
      </c>
      <c r="C2023" s="14">
        <v>21.20514287</v>
      </c>
      <c r="D2023" s="14">
        <v>76.29862959</v>
      </c>
      <c r="E2023" s="14">
        <v>3.611551676</v>
      </c>
      <c r="F2023" s="14">
        <v>1.852618813</v>
      </c>
      <c r="G2023" s="14">
        <v>0.001168699</v>
      </c>
      <c r="H2023" s="14">
        <v>0.004197699</v>
      </c>
      <c r="I2023" s="14" t="s">
        <v>164</v>
      </c>
      <c r="J2023" s="14">
        <v>1.33712052</v>
      </c>
      <c r="K2023" s="14">
        <v>2.083899473</v>
      </c>
      <c r="L2023" s="14">
        <v>1.557394041</v>
      </c>
      <c r="M2023" s="14">
        <v>0.608920914</v>
      </c>
      <c r="N2023" s="14">
        <v>0.177026462</v>
      </c>
      <c r="O2023" s="14">
        <v>0.34301219</v>
      </c>
      <c r="Q2023" s="14" t="s">
        <v>7218</v>
      </c>
      <c r="T2023" s="14" t="s">
        <v>7219</v>
      </c>
      <c r="U2023" s="14" t="s">
        <v>7220</v>
      </c>
    </row>
    <row r="2024" spans="1:21">
      <c r="A2024" s="14" t="s">
        <v>9965</v>
      </c>
      <c r="B2024" s="14">
        <v>1020.4577</v>
      </c>
      <c r="C2024" s="14">
        <v>338.4773205</v>
      </c>
      <c r="D2024" s="14">
        <v>1702.43808</v>
      </c>
      <c r="E2024" s="14">
        <v>5.030530469</v>
      </c>
      <c r="F2024" s="14">
        <v>2.33071054</v>
      </c>
      <c r="G2024" s="51" t="s">
        <v>9966</v>
      </c>
      <c r="H2024" s="51" t="s">
        <v>4171</v>
      </c>
      <c r="I2024" s="14" t="s">
        <v>164</v>
      </c>
      <c r="J2024" s="14">
        <v>18.51278064</v>
      </c>
      <c r="K2024" s="14">
        <v>16.71743855</v>
      </c>
      <c r="L2024" s="14">
        <v>13.0572338</v>
      </c>
      <c r="M2024" s="14">
        <v>2.142416252</v>
      </c>
      <c r="N2024" s="14">
        <v>3.618109373</v>
      </c>
      <c r="O2024" s="14">
        <v>2.09610415</v>
      </c>
      <c r="P2024" s="14" t="s">
        <v>9967</v>
      </c>
      <c r="Q2024" s="14" t="s">
        <v>9968</v>
      </c>
      <c r="T2024" s="14" t="s">
        <v>9969</v>
      </c>
      <c r="U2024" s="14" t="s">
        <v>9970</v>
      </c>
    </row>
    <row r="2025" spans="1:21">
      <c r="A2025" s="14" t="s">
        <v>9971</v>
      </c>
      <c r="B2025" s="14">
        <v>30.74849164</v>
      </c>
      <c r="C2025" s="14">
        <v>3.143695857</v>
      </c>
      <c r="D2025" s="14">
        <v>58.35328741</v>
      </c>
      <c r="E2025" s="14">
        <v>18.16145709</v>
      </c>
      <c r="F2025" s="14">
        <v>4.182808049</v>
      </c>
      <c r="G2025" s="51" t="s">
        <v>3271</v>
      </c>
      <c r="H2025" s="14">
        <v>0.000264494</v>
      </c>
      <c r="I2025" s="14" t="s">
        <v>164</v>
      </c>
      <c r="J2025" s="14">
        <v>0.967197712</v>
      </c>
      <c r="K2025" s="14">
        <v>0.581403828</v>
      </c>
      <c r="L2025" s="14">
        <v>0.827791798</v>
      </c>
      <c r="M2025" s="14">
        <v>0.011493462</v>
      </c>
      <c r="N2025" s="14">
        <v>0</v>
      </c>
      <c r="O2025" s="14">
        <v>0.101205092</v>
      </c>
      <c r="P2025" s="14" t="s">
        <v>7729</v>
      </c>
      <c r="Q2025" s="14" t="s">
        <v>9972</v>
      </c>
      <c r="R2025" s="14" t="s">
        <v>2361</v>
      </c>
      <c r="S2025" s="14" t="s">
        <v>2362</v>
      </c>
      <c r="T2025" s="14" t="s">
        <v>9973</v>
      </c>
      <c r="U2025" s="14" t="s">
        <v>9974</v>
      </c>
    </row>
    <row r="2026" spans="1:21">
      <c r="A2026" s="14" t="s">
        <v>9975</v>
      </c>
      <c r="B2026" s="14">
        <v>283.9296853</v>
      </c>
      <c r="C2026" s="14">
        <v>24.70455756</v>
      </c>
      <c r="D2026" s="14">
        <v>543.154813</v>
      </c>
      <c r="E2026" s="14">
        <v>21.91926562</v>
      </c>
      <c r="F2026" s="14">
        <v>4.454127558</v>
      </c>
      <c r="G2026" s="51" t="s">
        <v>9976</v>
      </c>
      <c r="H2026" s="51" t="s">
        <v>9977</v>
      </c>
      <c r="I2026" s="14" t="s">
        <v>164</v>
      </c>
      <c r="J2026" s="14">
        <v>19.06553154</v>
      </c>
      <c r="K2026" s="14">
        <v>20.79414687</v>
      </c>
      <c r="L2026" s="14">
        <v>8.496615568</v>
      </c>
      <c r="M2026" s="14">
        <v>0.404021492</v>
      </c>
      <c r="N2026" s="14">
        <v>0.048451332</v>
      </c>
      <c r="O2026" s="14">
        <v>1.457623968</v>
      </c>
      <c r="P2026" s="14" t="s">
        <v>9978</v>
      </c>
      <c r="Q2026" s="14" t="s">
        <v>9979</v>
      </c>
      <c r="T2026" s="14" t="s">
        <v>282</v>
      </c>
      <c r="U2026" s="14" t="s">
        <v>283</v>
      </c>
    </row>
    <row r="2027" spans="1:21">
      <c r="A2027" s="14" t="s">
        <v>9980</v>
      </c>
      <c r="B2027" s="14">
        <v>28.67238366</v>
      </c>
      <c r="C2027" s="14">
        <v>52.41730717</v>
      </c>
      <c r="D2027" s="14">
        <v>4.927460152</v>
      </c>
      <c r="E2027" s="14">
        <v>0.093734787</v>
      </c>
      <c r="F2027" s="14">
        <v>-3.415271629</v>
      </c>
      <c r="G2027" s="14">
        <v>0.000374037</v>
      </c>
      <c r="H2027" s="14">
        <v>0.001539091</v>
      </c>
      <c r="I2027" s="14" t="s">
        <v>147</v>
      </c>
      <c r="J2027" s="14">
        <v>0.080467193</v>
      </c>
      <c r="K2027" s="14">
        <v>0.016198527</v>
      </c>
      <c r="L2027" s="14">
        <v>0.023243337</v>
      </c>
      <c r="M2027" s="14">
        <v>0.144579337</v>
      </c>
      <c r="N2027" s="14">
        <v>0.204757524</v>
      </c>
      <c r="O2027" s="14">
        <v>0.74768543</v>
      </c>
      <c r="P2027" s="14" t="s">
        <v>9978</v>
      </c>
      <c r="Q2027" s="14" t="s">
        <v>9979</v>
      </c>
      <c r="T2027" s="14" t="s">
        <v>282</v>
      </c>
      <c r="U2027" s="14" t="s">
        <v>283</v>
      </c>
    </row>
    <row r="2028" spans="1:21">
      <c r="A2028" s="14" t="s">
        <v>9981</v>
      </c>
      <c r="B2028" s="14">
        <v>4196.593599</v>
      </c>
      <c r="C2028" s="14">
        <v>5906.640035</v>
      </c>
      <c r="D2028" s="14">
        <v>2486.547162</v>
      </c>
      <c r="E2028" s="14">
        <v>0.420985439</v>
      </c>
      <c r="F2028" s="14">
        <v>-1.24815776</v>
      </c>
      <c r="G2028" s="14">
        <v>0.003287248</v>
      </c>
      <c r="H2028" s="14">
        <v>0.010287377</v>
      </c>
      <c r="I2028" s="14" t="s">
        <v>147</v>
      </c>
      <c r="J2028" s="14">
        <v>25.48777766</v>
      </c>
      <c r="K2028" s="14">
        <v>32.2939895</v>
      </c>
      <c r="L2028" s="14">
        <v>26.79155623</v>
      </c>
      <c r="M2028" s="14">
        <v>65.68123212</v>
      </c>
      <c r="N2028" s="14">
        <v>70.9280642</v>
      </c>
      <c r="O2028" s="14">
        <v>25.20221563</v>
      </c>
      <c r="P2028" s="14" t="s">
        <v>9982</v>
      </c>
      <c r="Q2028" s="14" t="s">
        <v>9983</v>
      </c>
      <c r="T2028" s="14" t="s">
        <v>9984</v>
      </c>
      <c r="U2028" s="14" t="s">
        <v>9985</v>
      </c>
    </row>
    <row r="2029" spans="1:15">
      <c r="A2029" s="14" t="s">
        <v>9986</v>
      </c>
      <c r="B2029" s="14">
        <v>594.7653911</v>
      </c>
      <c r="C2029" s="14">
        <v>334.8333452</v>
      </c>
      <c r="D2029" s="14">
        <v>854.697437</v>
      </c>
      <c r="E2029" s="14">
        <v>2.551243315</v>
      </c>
      <c r="F2029" s="14">
        <v>1.351200497</v>
      </c>
      <c r="G2029" s="14">
        <v>0.010617212</v>
      </c>
      <c r="H2029" s="14">
        <v>0.028426936</v>
      </c>
      <c r="I2029" s="14" t="s">
        <v>164</v>
      </c>
      <c r="J2029" s="14">
        <v>18.34399213</v>
      </c>
      <c r="K2029" s="14">
        <v>15.10482919</v>
      </c>
      <c r="L2029" s="14">
        <v>20.27695202</v>
      </c>
      <c r="M2029" s="14">
        <v>3.068066537</v>
      </c>
      <c r="N2029" s="14">
        <v>2.943445604</v>
      </c>
      <c r="O2029" s="14">
        <v>11.98962837</v>
      </c>
    </row>
    <row r="2030" spans="1:21">
      <c r="A2030" s="14" t="s">
        <v>9987</v>
      </c>
      <c r="B2030" s="14">
        <v>366.4603131</v>
      </c>
      <c r="C2030" s="14">
        <v>153.2040139</v>
      </c>
      <c r="D2030" s="14">
        <v>579.7166123</v>
      </c>
      <c r="E2030" s="14">
        <v>3.787266967</v>
      </c>
      <c r="F2030" s="14">
        <v>1.921157121</v>
      </c>
      <c r="G2030" s="14">
        <v>0.000216718</v>
      </c>
      <c r="H2030" s="14">
        <v>0.000942251</v>
      </c>
      <c r="I2030" s="14" t="s">
        <v>164</v>
      </c>
      <c r="J2030" s="14">
        <v>9.080654306</v>
      </c>
      <c r="K2030" s="14">
        <v>4.557820709</v>
      </c>
      <c r="L2030" s="14">
        <v>7.592256364</v>
      </c>
      <c r="M2030" s="14">
        <v>1.91134514</v>
      </c>
      <c r="N2030" s="14">
        <v>1.952652019</v>
      </c>
      <c r="O2030" s="14">
        <v>0.636820362</v>
      </c>
      <c r="P2030" s="14" t="s">
        <v>9988</v>
      </c>
      <c r="Q2030" s="14" t="s">
        <v>9989</v>
      </c>
      <c r="R2030" s="14" t="s">
        <v>341</v>
      </c>
      <c r="S2030" s="14" t="s">
        <v>342</v>
      </c>
      <c r="T2030" s="14" t="s">
        <v>9990</v>
      </c>
      <c r="U2030" s="14" t="s">
        <v>9991</v>
      </c>
    </row>
    <row r="2031" spans="1:21">
      <c r="A2031" s="14" t="s">
        <v>9992</v>
      </c>
      <c r="B2031" s="14">
        <v>333.4230222</v>
      </c>
      <c r="C2031" s="14">
        <v>138.6793162</v>
      </c>
      <c r="D2031" s="14">
        <v>528.1667281</v>
      </c>
      <c r="E2031" s="14">
        <v>3.805702531</v>
      </c>
      <c r="F2031" s="14">
        <v>1.928162799</v>
      </c>
      <c r="G2031" s="51" t="s">
        <v>9993</v>
      </c>
      <c r="H2031" s="51" t="s">
        <v>9994</v>
      </c>
      <c r="I2031" s="14" t="s">
        <v>164</v>
      </c>
      <c r="J2031" s="14">
        <v>4.600297136</v>
      </c>
      <c r="K2031" s="14">
        <v>6.07312248</v>
      </c>
      <c r="L2031" s="14">
        <v>7.125546079</v>
      </c>
      <c r="M2031" s="14">
        <v>1.026779961</v>
      </c>
      <c r="N2031" s="14">
        <v>1.340794451</v>
      </c>
      <c r="O2031" s="14">
        <v>1.497574748</v>
      </c>
      <c r="P2031" s="14" t="s">
        <v>9995</v>
      </c>
      <c r="Q2031" s="14" t="s">
        <v>9996</v>
      </c>
      <c r="T2031" s="14" t="s">
        <v>9997</v>
      </c>
      <c r="U2031" s="14" t="s">
        <v>9998</v>
      </c>
    </row>
    <row r="2032" spans="1:21">
      <c r="A2032" s="14" t="s">
        <v>9999</v>
      </c>
      <c r="B2032" s="14">
        <v>141.1595641</v>
      </c>
      <c r="C2032" s="14">
        <v>194.9438179</v>
      </c>
      <c r="D2032" s="14">
        <v>87.37531021</v>
      </c>
      <c r="E2032" s="14">
        <v>0.448215509</v>
      </c>
      <c r="F2032" s="14">
        <v>-1.157735524</v>
      </c>
      <c r="G2032" s="51" t="s">
        <v>10000</v>
      </c>
      <c r="H2032" s="14">
        <v>0.000177912</v>
      </c>
      <c r="I2032" s="14" t="s">
        <v>147</v>
      </c>
      <c r="J2032" s="14">
        <v>1.576482398</v>
      </c>
      <c r="K2032" s="14">
        <v>1.016093802</v>
      </c>
      <c r="L2032" s="14">
        <v>1.065203642</v>
      </c>
      <c r="M2032" s="14">
        <v>2.200722609</v>
      </c>
      <c r="N2032" s="14">
        <v>2.338357029</v>
      </c>
      <c r="O2032" s="14">
        <v>2.164726187</v>
      </c>
      <c r="P2032" s="14" t="s">
        <v>10001</v>
      </c>
      <c r="Q2032" s="14" t="s">
        <v>10002</v>
      </c>
      <c r="T2032" s="14" t="s">
        <v>10003</v>
      </c>
      <c r="U2032" s="14" t="s">
        <v>10004</v>
      </c>
    </row>
    <row r="2033" spans="1:21">
      <c r="A2033" s="14" t="s">
        <v>10005</v>
      </c>
      <c r="B2033" s="14">
        <v>905.8165601</v>
      </c>
      <c r="C2033" s="14">
        <v>532.8821126</v>
      </c>
      <c r="D2033" s="14">
        <v>1278.751008</v>
      </c>
      <c r="E2033" s="14">
        <v>2.401090769</v>
      </c>
      <c r="F2033" s="14">
        <v>1.263689943</v>
      </c>
      <c r="G2033" s="51" t="s">
        <v>10006</v>
      </c>
      <c r="H2033" s="51" t="s">
        <v>10007</v>
      </c>
      <c r="I2033" s="14" t="s">
        <v>164</v>
      </c>
      <c r="J2033" s="14">
        <v>10.71400552</v>
      </c>
      <c r="K2033" s="14">
        <v>9.862472896</v>
      </c>
      <c r="L2033" s="14">
        <v>11.38807312</v>
      </c>
      <c r="M2033" s="14">
        <v>3.549594851</v>
      </c>
      <c r="N2033" s="14">
        <v>3.926720906</v>
      </c>
      <c r="O2033" s="14">
        <v>3.445246894</v>
      </c>
      <c r="P2033" s="14" t="s">
        <v>10008</v>
      </c>
      <c r="Q2033" s="14" t="s">
        <v>10009</v>
      </c>
      <c r="T2033" s="14" t="s">
        <v>1510</v>
      </c>
      <c r="U2033" s="14" t="s">
        <v>1511</v>
      </c>
    </row>
    <row r="2034" spans="1:21">
      <c r="A2034" s="14" t="s">
        <v>10010</v>
      </c>
      <c r="B2034" s="14">
        <v>828.7287313</v>
      </c>
      <c r="C2034" s="14">
        <v>495.1798945</v>
      </c>
      <c r="D2034" s="14">
        <v>1162.277568</v>
      </c>
      <c r="E2034" s="14">
        <v>2.346353684</v>
      </c>
      <c r="F2034" s="14">
        <v>1.230420498</v>
      </c>
      <c r="G2034" s="14">
        <v>0.00370749</v>
      </c>
      <c r="H2034" s="14">
        <v>0.011451626</v>
      </c>
      <c r="I2034" s="14" t="s">
        <v>164</v>
      </c>
      <c r="J2034" s="14">
        <v>131.2198296</v>
      </c>
      <c r="K2034" s="14">
        <v>59.36972424</v>
      </c>
      <c r="L2034" s="14">
        <v>75.89444982</v>
      </c>
      <c r="M2034" s="14">
        <v>18.91698172</v>
      </c>
      <c r="N2034" s="14">
        <v>27.09859176</v>
      </c>
      <c r="O2034" s="14">
        <v>49.56610007</v>
      </c>
      <c r="P2034" s="14" t="s">
        <v>10011</v>
      </c>
      <c r="Q2034" s="14" t="s">
        <v>10012</v>
      </c>
      <c r="T2034" s="14" t="s">
        <v>10013</v>
      </c>
      <c r="U2034" s="14" t="s">
        <v>10014</v>
      </c>
    </row>
    <row r="2035" spans="1:21">
      <c r="A2035" s="14" t="s">
        <v>10015</v>
      </c>
      <c r="B2035" s="14">
        <v>1014.753759</v>
      </c>
      <c r="C2035" s="14">
        <v>434.9609683</v>
      </c>
      <c r="D2035" s="14">
        <v>1594.546549</v>
      </c>
      <c r="E2035" s="14">
        <v>3.667482895</v>
      </c>
      <c r="F2035" s="14">
        <v>1.874790237</v>
      </c>
      <c r="G2035" s="51" t="s">
        <v>10016</v>
      </c>
      <c r="H2035" s="51" t="s">
        <v>10017</v>
      </c>
      <c r="I2035" s="14" t="s">
        <v>164</v>
      </c>
      <c r="J2035" s="14">
        <v>27.41886502</v>
      </c>
      <c r="K2035" s="14">
        <v>29.87306918</v>
      </c>
      <c r="L2035" s="14">
        <v>31.49626339</v>
      </c>
      <c r="M2035" s="14">
        <v>6.100711138</v>
      </c>
      <c r="N2035" s="14">
        <v>7.632916189</v>
      </c>
      <c r="O2035" s="14">
        <v>6.122669432</v>
      </c>
      <c r="P2035" s="14" t="s">
        <v>6631</v>
      </c>
      <c r="Q2035" s="14" t="s">
        <v>6632</v>
      </c>
      <c r="T2035" s="14" t="s">
        <v>6633</v>
      </c>
      <c r="U2035" s="14" t="s">
        <v>6634</v>
      </c>
    </row>
    <row r="2036" spans="1:21">
      <c r="A2036" s="14" t="s">
        <v>10018</v>
      </c>
      <c r="B2036" s="14">
        <v>212.3741152</v>
      </c>
      <c r="C2036" s="14">
        <v>50.30063512</v>
      </c>
      <c r="D2036" s="14">
        <v>374.4475954</v>
      </c>
      <c r="E2036" s="14">
        <v>7.428640267</v>
      </c>
      <c r="F2036" s="14">
        <v>2.893098165</v>
      </c>
      <c r="G2036" s="51" t="s">
        <v>10019</v>
      </c>
      <c r="H2036" s="51" t="s">
        <v>10020</v>
      </c>
      <c r="I2036" s="14" t="s">
        <v>164</v>
      </c>
      <c r="J2036" s="14">
        <v>2.836321798</v>
      </c>
      <c r="K2036" s="14">
        <v>2.563049304</v>
      </c>
      <c r="L2036" s="14">
        <v>3.500445285</v>
      </c>
      <c r="M2036" s="14">
        <v>0.248037156</v>
      </c>
      <c r="N2036" s="14">
        <v>0.360159011</v>
      </c>
      <c r="O2036" s="14">
        <v>0.380410079</v>
      </c>
      <c r="P2036" s="14" t="s">
        <v>10008</v>
      </c>
      <c r="Q2036" s="14" t="s">
        <v>10009</v>
      </c>
      <c r="T2036" s="14" t="s">
        <v>1510</v>
      </c>
      <c r="U2036" s="14" t="s">
        <v>1511</v>
      </c>
    </row>
    <row r="2037" spans="1:21">
      <c r="A2037" s="14" t="s">
        <v>10021</v>
      </c>
      <c r="B2037" s="14">
        <v>563.5471728</v>
      </c>
      <c r="C2037" s="14">
        <v>331.3385598</v>
      </c>
      <c r="D2037" s="14">
        <v>795.7557857</v>
      </c>
      <c r="E2037" s="14">
        <v>2.400113022</v>
      </c>
      <c r="F2037" s="14">
        <v>1.263102344</v>
      </c>
      <c r="G2037" s="14">
        <v>0.001821248</v>
      </c>
      <c r="H2037" s="14">
        <v>0.006184121</v>
      </c>
      <c r="I2037" s="14" t="s">
        <v>164</v>
      </c>
      <c r="J2037" s="14">
        <v>9.385937794</v>
      </c>
      <c r="K2037" s="14">
        <v>5.73550867</v>
      </c>
      <c r="L2037" s="14">
        <v>5.478366338</v>
      </c>
      <c r="M2037" s="14">
        <v>1.405530774</v>
      </c>
      <c r="N2037" s="14">
        <v>1.973497999</v>
      </c>
      <c r="O2037" s="14">
        <v>3.860440817</v>
      </c>
      <c r="P2037" s="14" t="s">
        <v>10022</v>
      </c>
      <c r="Q2037" s="14" t="s">
        <v>10023</v>
      </c>
      <c r="R2037" s="14" t="s">
        <v>10024</v>
      </c>
      <c r="S2037" s="14" t="s">
        <v>10025</v>
      </c>
      <c r="T2037" s="14" t="s">
        <v>10026</v>
      </c>
      <c r="U2037" s="14" t="s">
        <v>10027</v>
      </c>
    </row>
    <row r="2038" spans="1:15">
      <c r="A2038" s="14" t="s">
        <v>10028</v>
      </c>
      <c r="B2038" s="14">
        <v>385.4134909</v>
      </c>
      <c r="C2038" s="14">
        <v>569.7644889</v>
      </c>
      <c r="D2038" s="14">
        <v>201.0624928</v>
      </c>
      <c r="E2038" s="14">
        <v>0.352859177</v>
      </c>
      <c r="F2038" s="14">
        <v>-1.502835564</v>
      </c>
      <c r="G2038" s="14">
        <v>0.000172549</v>
      </c>
      <c r="H2038" s="14">
        <v>0.000771491</v>
      </c>
      <c r="I2038" s="14" t="s">
        <v>147</v>
      </c>
      <c r="J2038" s="14">
        <v>6.268394298</v>
      </c>
      <c r="K2038" s="14">
        <v>14.42131679</v>
      </c>
      <c r="L2038" s="14">
        <v>7.941473581</v>
      </c>
      <c r="M2038" s="14">
        <v>23.30776284</v>
      </c>
      <c r="N2038" s="14">
        <v>25.84285286</v>
      </c>
      <c r="O2038" s="14">
        <v>17.12266993</v>
      </c>
    </row>
    <row r="2039" spans="1:15">
      <c r="A2039" s="14" t="s">
        <v>10029</v>
      </c>
      <c r="B2039" s="14">
        <v>85.8349902</v>
      </c>
      <c r="C2039" s="14">
        <v>134.4677374</v>
      </c>
      <c r="D2039" s="14">
        <v>37.20224303</v>
      </c>
      <c r="E2039" s="14">
        <v>0.276287957</v>
      </c>
      <c r="F2039" s="14">
        <v>-1.855755418</v>
      </c>
      <c r="G2039" s="51" t="s">
        <v>10030</v>
      </c>
      <c r="H2039" s="51" t="s">
        <v>10031</v>
      </c>
      <c r="I2039" s="14" t="s">
        <v>147</v>
      </c>
      <c r="J2039" s="14">
        <v>0.455055847</v>
      </c>
      <c r="K2039" s="14">
        <v>0.538182081</v>
      </c>
      <c r="L2039" s="14">
        <v>0.284797673</v>
      </c>
      <c r="M2039" s="14">
        <v>1.333501048</v>
      </c>
      <c r="N2039" s="14">
        <v>1.316688817</v>
      </c>
      <c r="O2039" s="14">
        <v>1.142781086</v>
      </c>
    </row>
    <row r="2040" spans="1:21">
      <c r="A2040" s="14" t="s">
        <v>10032</v>
      </c>
      <c r="B2040" s="14">
        <v>3678.980857</v>
      </c>
      <c r="C2040" s="14">
        <v>2338.524889</v>
      </c>
      <c r="D2040" s="14">
        <v>5019.436825</v>
      </c>
      <c r="E2040" s="14">
        <v>2.146108277</v>
      </c>
      <c r="F2040" s="14">
        <v>1.101722866</v>
      </c>
      <c r="G2040" s="51" t="s">
        <v>10033</v>
      </c>
      <c r="H2040" s="51" t="s">
        <v>10034</v>
      </c>
      <c r="I2040" s="14" t="s">
        <v>164</v>
      </c>
      <c r="J2040" s="14">
        <v>52.82355568</v>
      </c>
      <c r="K2040" s="14">
        <v>58.8194429</v>
      </c>
      <c r="L2040" s="14">
        <v>43.88696105</v>
      </c>
      <c r="M2040" s="14">
        <v>17.38223123</v>
      </c>
      <c r="N2040" s="14">
        <v>17.82829904</v>
      </c>
      <c r="O2040" s="14">
        <v>25.03374979</v>
      </c>
      <c r="P2040" s="14" t="s">
        <v>10035</v>
      </c>
      <c r="Q2040" s="14" t="s">
        <v>10036</v>
      </c>
      <c r="R2040" s="14" t="s">
        <v>754</v>
      </c>
      <c r="S2040" s="14" t="s">
        <v>755</v>
      </c>
      <c r="T2040" s="14" t="s">
        <v>10037</v>
      </c>
      <c r="U2040" s="14" t="s">
        <v>10038</v>
      </c>
    </row>
    <row r="2041" spans="1:21">
      <c r="A2041" s="14" t="s">
        <v>10039</v>
      </c>
      <c r="B2041" s="14">
        <v>26.29032857</v>
      </c>
      <c r="C2041" s="14">
        <v>6.466785893</v>
      </c>
      <c r="D2041" s="14">
        <v>46.11387124</v>
      </c>
      <c r="E2041" s="14">
        <v>7.038299919</v>
      </c>
      <c r="F2041" s="14">
        <v>2.815226992</v>
      </c>
      <c r="G2041" s="14">
        <v>0.000108938</v>
      </c>
      <c r="H2041" s="14">
        <v>0.000511443</v>
      </c>
      <c r="I2041" s="14" t="s">
        <v>164</v>
      </c>
      <c r="J2041" s="14">
        <v>2.806369732</v>
      </c>
      <c r="K2041" s="14">
        <v>2.723812998</v>
      </c>
      <c r="L2041" s="14">
        <v>1.447559741</v>
      </c>
      <c r="M2041" s="14">
        <v>0.08575411</v>
      </c>
      <c r="N2041" s="14">
        <v>0.246812663</v>
      </c>
      <c r="O2041" s="14">
        <v>0.503402301</v>
      </c>
      <c r="P2041" s="14" t="s">
        <v>10035</v>
      </c>
      <c r="Q2041" s="14" t="s">
        <v>10036</v>
      </c>
      <c r="R2041" s="14" t="s">
        <v>754</v>
      </c>
      <c r="S2041" s="14" t="s">
        <v>755</v>
      </c>
      <c r="T2041" s="14" t="s">
        <v>10037</v>
      </c>
      <c r="U2041" s="14" t="s">
        <v>10038</v>
      </c>
    </row>
    <row r="2042" spans="1:15">
      <c r="A2042" s="14" t="s">
        <v>10040</v>
      </c>
      <c r="B2042" s="14">
        <v>1618.375474</v>
      </c>
      <c r="C2042" s="14">
        <v>803.9062784</v>
      </c>
      <c r="D2042" s="14">
        <v>2432.844669</v>
      </c>
      <c r="E2042" s="14">
        <v>3.027230482</v>
      </c>
      <c r="F2042" s="14">
        <v>1.597998521</v>
      </c>
      <c r="G2042" s="51" t="s">
        <v>10041</v>
      </c>
      <c r="H2042" s="51" t="s">
        <v>10042</v>
      </c>
      <c r="I2042" s="14" t="s">
        <v>164</v>
      </c>
      <c r="J2042" s="14">
        <v>28.24913262</v>
      </c>
      <c r="K2042" s="14">
        <v>23.89754152</v>
      </c>
      <c r="L2042" s="14">
        <v>32.03320387</v>
      </c>
      <c r="M2042" s="14">
        <v>7.438365844</v>
      </c>
      <c r="N2042" s="14">
        <v>8.587824078</v>
      </c>
      <c r="O2042" s="14">
        <v>6.714085878</v>
      </c>
    </row>
    <row r="2043" spans="1:15">
      <c r="A2043" s="14" t="s">
        <v>10043</v>
      </c>
      <c r="B2043" s="14">
        <v>38.86226252</v>
      </c>
      <c r="C2043" s="14">
        <v>57.9804614</v>
      </c>
      <c r="D2043" s="14">
        <v>19.74406365</v>
      </c>
      <c r="E2043" s="14">
        <v>0.339913045</v>
      </c>
      <c r="F2043" s="14">
        <v>-1.556762363</v>
      </c>
      <c r="G2043" s="14">
        <v>0.003111369</v>
      </c>
      <c r="H2043" s="14">
        <v>0.009805876</v>
      </c>
      <c r="I2043" s="14" t="s">
        <v>147</v>
      </c>
      <c r="J2043" s="14">
        <v>0.166610628</v>
      </c>
      <c r="K2043" s="14">
        <v>0.447196196</v>
      </c>
      <c r="L2043" s="14">
        <v>0.213894599</v>
      </c>
      <c r="M2043" s="14">
        <v>0.570204681</v>
      </c>
      <c r="N2043" s="14">
        <v>0.752185084</v>
      </c>
      <c r="O2043" s="14">
        <v>0.685725905</v>
      </c>
    </row>
    <row r="2044" spans="1:15">
      <c r="A2044" s="14" t="s">
        <v>10044</v>
      </c>
      <c r="B2044" s="14">
        <v>20.75674772</v>
      </c>
      <c r="C2044" s="14">
        <v>9.043939952</v>
      </c>
      <c r="D2044" s="14">
        <v>32.46955548</v>
      </c>
      <c r="E2044" s="14">
        <v>3.585645897</v>
      </c>
      <c r="F2044" s="14">
        <v>1.842233021</v>
      </c>
      <c r="G2044" s="14">
        <v>0.000633827</v>
      </c>
      <c r="H2044" s="14">
        <v>0.002452294</v>
      </c>
      <c r="I2044" s="14" t="s">
        <v>164</v>
      </c>
      <c r="J2044" s="14">
        <v>0.672643231</v>
      </c>
      <c r="K2044" s="14">
        <v>0.902714004</v>
      </c>
      <c r="L2044" s="14">
        <v>0.626065684</v>
      </c>
      <c r="M2044" s="14">
        <v>0.134285663</v>
      </c>
      <c r="N2044" s="14">
        <v>0.202448952</v>
      </c>
      <c r="O2044" s="14">
        <v>0.168920796</v>
      </c>
    </row>
    <row r="2045" spans="1:21">
      <c r="A2045" s="14" t="s">
        <v>10045</v>
      </c>
      <c r="B2045" s="14">
        <v>315.2119556</v>
      </c>
      <c r="C2045" s="14">
        <v>524.7381246</v>
      </c>
      <c r="D2045" s="14">
        <v>105.6857866</v>
      </c>
      <c r="E2045" s="14">
        <v>0.201280278</v>
      </c>
      <c r="F2045" s="14">
        <v>-2.312722278</v>
      </c>
      <c r="G2045" s="51" t="s">
        <v>2088</v>
      </c>
      <c r="H2045" s="51" t="s">
        <v>2089</v>
      </c>
      <c r="I2045" s="14" t="s">
        <v>147</v>
      </c>
      <c r="J2045" s="14">
        <v>3.129361254</v>
      </c>
      <c r="K2045" s="14">
        <v>5.088131314</v>
      </c>
      <c r="L2045" s="14">
        <v>1.361691105</v>
      </c>
      <c r="M2045" s="14">
        <v>14.95776068</v>
      </c>
      <c r="N2045" s="14">
        <v>12.62125637</v>
      </c>
      <c r="O2045" s="14">
        <v>11.51106885</v>
      </c>
      <c r="P2045" s="14" t="s">
        <v>10046</v>
      </c>
      <c r="Q2045" s="14" t="s">
        <v>10047</v>
      </c>
      <c r="R2045" s="14" t="s">
        <v>754</v>
      </c>
      <c r="S2045" s="14" t="s">
        <v>755</v>
      </c>
      <c r="T2045" s="14" t="s">
        <v>10048</v>
      </c>
      <c r="U2045" s="14" t="s">
        <v>10049</v>
      </c>
    </row>
    <row r="2046" spans="1:21">
      <c r="A2046" s="14" t="s">
        <v>10050</v>
      </c>
      <c r="B2046" s="14">
        <v>4.230386004</v>
      </c>
      <c r="C2046" s="14">
        <v>0</v>
      </c>
      <c r="D2046" s="14">
        <v>8.460772007</v>
      </c>
      <c r="E2046" s="14">
        <v>45.64977197</v>
      </c>
      <c r="F2046" s="14">
        <v>5.512535749</v>
      </c>
      <c r="G2046" s="14">
        <v>0.002500374</v>
      </c>
      <c r="H2046" s="14">
        <v>0.008117214</v>
      </c>
      <c r="I2046" s="14" t="s">
        <v>164</v>
      </c>
      <c r="J2046" s="14">
        <v>0.556483958</v>
      </c>
      <c r="K2046" s="14">
        <v>1.120235451</v>
      </c>
      <c r="L2046" s="14">
        <v>1.178782585</v>
      </c>
      <c r="M2046" s="14">
        <v>0</v>
      </c>
      <c r="N2046" s="14">
        <v>0</v>
      </c>
      <c r="O2046" s="14">
        <v>0</v>
      </c>
      <c r="P2046" s="14" t="s">
        <v>273</v>
      </c>
      <c r="Q2046" s="14" t="s">
        <v>274</v>
      </c>
      <c r="R2046" s="14" t="s">
        <v>275</v>
      </c>
      <c r="S2046" s="14" t="s">
        <v>276</v>
      </c>
      <c r="T2046" s="14" t="s">
        <v>277</v>
      </c>
      <c r="U2046" s="14" t="s">
        <v>278</v>
      </c>
    </row>
    <row r="2047" spans="1:21">
      <c r="A2047" s="14" t="s">
        <v>10051</v>
      </c>
      <c r="B2047" s="14">
        <v>8.987593974</v>
      </c>
      <c r="C2047" s="14">
        <v>0.309088846</v>
      </c>
      <c r="D2047" s="14">
        <v>17.6660991</v>
      </c>
      <c r="E2047" s="14">
        <v>48.914483</v>
      </c>
      <c r="F2047" s="14">
        <v>5.612189788</v>
      </c>
      <c r="G2047" s="51" t="s">
        <v>10052</v>
      </c>
      <c r="H2047" s="14">
        <v>0.000367024</v>
      </c>
      <c r="I2047" s="14" t="s">
        <v>164</v>
      </c>
      <c r="J2047" s="14">
        <v>0.324127498</v>
      </c>
      <c r="K2047" s="14">
        <v>0.277307407</v>
      </c>
      <c r="L2047" s="14">
        <v>0.265273082</v>
      </c>
      <c r="M2047" s="14">
        <v>0</v>
      </c>
      <c r="N2047" s="14">
        <v>0</v>
      </c>
      <c r="O2047" s="14">
        <v>0.013566349</v>
      </c>
      <c r="P2047" s="14" t="s">
        <v>9978</v>
      </c>
      <c r="Q2047" s="14" t="s">
        <v>9979</v>
      </c>
      <c r="T2047" s="14" t="s">
        <v>282</v>
      </c>
      <c r="U2047" s="14" t="s">
        <v>283</v>
      </c>
    </row>
    <row r="2048" spans="1:21">
      <c r="A2048" s="14" t="s">
        <v>10053</v>
      </c>
      <c r="B2048" s="14">
        <v>372.3877027</v>
      </c>
      <c r="C2048" s="14">
        <v>533.685552</v>
      </c>
      <c r="D2048" s="14">
        <v>211.0898535</v>
      </c>
      <c r="E2048" s="14">
        <v>0.395689794</v>
      </c>
      <c r="F2048" s="14">
        <v>-1.33755824</v>
      </c>
      <c r="G2048" s="51" t="s">
        <v>10054</v>
      </c>
      <c r="H2048" s="51" t="s">
        <v>10055</v>
      </c>
      <c r="I2048" s="14" t="s">
        <v>147</v>
      </c>
      <c r="J2048" s="14">
        <v>3.118505113</v>
      </c>
      <c r="K2048" s="14">
        <v>3.494822709</v>
      </c>
      <c r="L2048" s="14">
        <v>3.668186915</v>
      </c>
      <c r="M2048" s="14">
        <v>6.574166715</v>
      </c>
      <c r="N2048" s="14">
        <v>7.771759482</v>
      </c>
      <c r="O2048" s="14">
        <v>7.0106703</v>
      </c>
      <c r="P2048" s="14" t="s">
        <v>9978</v>
      </c>
      <c r="Q2048" s="14" t="s">
        <v>9979</v>
      </c>
      <c r="T2048" s="14" t="s">
        <v>282</v>
      </c>
      <c r="U2048" s="14" t="s">
        <v>283</v>
      </c>
    </row>
    <row r="2049" spans="1:21">
      <c r="A2049" s="14" t="s">
        <v>10056</v>
      </c>
      <c r="B2049" s="14">
        <v>258.2835969</v>
      </c>
      <c r="C2049" s="14">
        <v>516.5671938</v>
      </c>
      <c r="D2049" s="14">
        <v>0</v>
      </c>
      <c r="E2049" s="14">
        <v>0.000349067</v>
      </c>
      <c r="F2049" s="14">
        <v>-11.48420925</v>
      </c>
      <c r="G2049" s="51" t="s">
        <v>10057</v>
      </c>
      <c r="H2049" s="51" t="s">
        <v>10058</v>
      </c>
      <c r="I2049" s="14" t="s">
        <v>147</v>
      </c>
      <c r="J2049" s="14">
        <v>0</v>
      </c>
      <c r="K2049" s="14">
        <v>0</v>
      </c>
      <c r="L2049" s="14">
        <v>0</v>
      </c>
      <c r="M2049" s="14">
        <v>20.26213696</v>
      </c>
      <c r="N2049" s="14">
        <v>19.32882205</v>
      </c>
      <c r="O2049" s="14">
        <v>2.16518923</v>
      </c>
      <c r="P2049" s="14" t="s">
        <v>10059</v>
      </c>
      <c r="Q2049" s="14" t="s">
        <v>10060</v>
      </c>
      <c r="R2049" s="14" t="s">
        <v>1271</v>
      </c>
      <c r="S2049" s="14" t="s">
        <v>1272</v>
      </c>
      <c r="T2049" s="14" t="s">
        <v>10061</v>
      </c>
      <c r="U2049" s="14" t="s">
        <v>10062</v>
      </c>
    </row>
    <row r="2050" spans="1:21">
      <c r="A2050" s="14" t="s">
        <v>10063</v>
      </c>
      <c r="B2050" s="14">
        <v>1219.491542</v>
      </c>
      <c r="C2050" s="14">
        <v>1666.243694</v>
      </c>
      <c r="D2050" s="14">
        <v>772.7393908</v>
      </c>
      <c r="E2050" s="14">
        <v>0.463694864</v>
      </c>
      <c r="F2050" s="14">
        <v>-1.108752349</v>
      </c>
      <c r="G2050" s="51" t="s">
        <v>10064</v>
      </c>
      <c r="H2050" s="14">
        <v>0.000331344</v>
      </c>
      <c r="I2050" s="14" t="s">
        <v>147</v>
      </c>
      <c r="J2050" s="14">
        <v>11.58708967</v>
      </c>
      <c r="K2050" s="14">
        <v>9.002354544</v>
      </c>
      <c r="L2050" s="14">
        <v>10.66819919</v>
      </c>
      <c r="M2050" s="14">
        <v>14.9621507</v>
      </c>
      <c r="N2050" s="14">
        <v>13.70791109</v>
      </c>
      <c r="O2050" s="14">
        <v>27.76886477</v>
      </c>
      <c r="P2050" s="14" t="s">
        <v>10065</v>
      </c>
      <c r="Q2050" s="14" t="s">
        <v>10066</v>
      </c>
      <c r="R2050" s="14" t="s">
        <v>811</v>
      </c>
      <c r="S2050" s="14" t="s">
        <v>812</v>
      </c>
      <c r="T2050" s="14" t="s">
        <v>10067</v>
      </c>
      <c r="U2050" s="14" t="s">
        <v>10068</v>
      </c>
    </row>
    <row r="2051" spans="1:15">
      <c r="A2051" s="14" t="s">
        <v>10069</v>
      </c>
      <c r="B2051" s="14">
        <v>189.817593</v>
      </c>
      <c r="C2051" s="14">
        <v>273.3458316</v>
      </c>
      <c r="D2051" s="14">
        <v>106.2893543</v>
      </c>
      <c r="E2051" s="14">
        <v>0.388570143</v>
      </c>
      <c r="F2051" s="14">
        <v>-1.363753042</v>
      </c>
      <c r="G2051" s="51" t="s">
        <v>10070</v>
      </c>
      <c r="H2051" s="14">
        <v>0.000104125</v>
      </c>
      <c r="I2051" s="14" t="s">
        <v>147</v>
      </c>
      <c r="J2051" s="14">
        <v>12.49032163</v>
      </c>
      <c r="K2051" s="14">
        <v>19.250694</v>
      </c>
      <c r="L2051" s="14">
        <v>10.02191596</v>
      </c>
      <c r="M2051" s="14">
        <v>29.49961504</v>
      </c>
      <c r="N2051" s="14">
        <v>29.90334328</v>
      </c>
      <c r="O2051" s="14">
        <v>29.07975476</v>
      </c>
    </row>
    <row r="2052" spans="1:21">
      <c r="A2052" s="14" t="s">
        <v>10071</v>
      </c>
      <c r="B2052" s="14">
        <v>507.2025613</v>
      </c>
      <c r="C2052" s="14">
        <v>48.57579671</v>
      </c>
      <c r="D2052" s="14">
        <v>965.8293258</v>
      </c>
      <c r="E2052" s="14">
        <v>19.8637919</v>
      </c>
      <c r="F2052" s="14">
        <v>4.312069147</v>
      </c>
      <c r="G2052" s="51" t="s">
        <v>10072</v>
      </c>
      <c r="H2052" s="51" t="s">
        <v>10073</v>
      </c>
      <c r="I2052" s="14" t="s">
        <v>164</v>
      </c>
      <c r="J2052" s="14">
        <v>8.234471077</v>
      </c>
      <c r="K2052" s="14">
        <v>21.65512449</v>
      </c>
      <c r="L2052" s="14">
        <v>7.398341377</v>
      </c>
      <c r="M2052" s="14">
        <v>0.405410083</v>
      </c>
      <c r="N2052" s="14">
        <v>0.525598439</v>
      </c>
      <c r="O2052" s="14">
        <v>0.632490252</v>
      </c>
      <c r="P2052" s="14" t="s">
        <v>10074</v>
      </c>
      <c r="Q2052" s="14" t="s">
        <v>10075</v>
      </c>
      <c r="T2052" s="14" t="s">
        <v>10076</v>
      </c>
      <c r="U2052" s="14" t="s">
        <v>10077</v>
      </c>
    </row>
    <row r="2053" spans="1:21">
      <c r="A2053" s="14" t="s">
        <v>10078</v>
      </c>
      <c r="B2053" s="14">
        <v>67.58025626</v>
      </c>
      <c r="C2053" s="14">
        <v>119.0680489</v>
      </c>
      <c r="D2053" s="14">
        <v>16.09246366</v>
      </c>
      <c r="E2053" s="14">
        <v>0.135434395</v>
      </c>
      <c r="F2053" s="14">
        <v>-2.884333919</v>
      </c>
      <c r="G2053" s="14">
        <v>0.000479769</v>
      </c>
      <c r="H2053" s="14">
        <v>0.001912312</v>
      </c>
      <c r="I2053" s="14" t="s">
        <v>147</v>
      </c>
      <c r="J2053" s="14">
        <v>0.047130784</v>
      </c>
      <c r="K2053" s="14">
        <v>0.268818405</v>
      </c>
      <c r="L2053" s="14">
        <v>0.45379849</v>
      </c>
      <c r="M2053" s="14">
        <v>1.774293365</v>
      </c>
      <c r="N2053" s="14">
        <v>2.089092896</v>
      </c>
      <c r="O2053" s="14">
        <v>0.697005765</v>
      </c>
      <c r="P2053" s="14" t="s">
        <v>10079</v>
      </c>
      <c r="Q2053" s="14" t="s">
        <v>10080</v>
      </c>
      <c r="T2053" s="14" t="s">
        <v>10081</v>
      </c>
      <c r="U2053" s="14" t="s">
        <v>10082</v>
      </c>
    </row>
    <row r="2054" spans="1:15">
      <c r="A2054" s="14" t="s">
        <v>10083</v>
      </c>
      <c r="B2054" s="14">
        <v>26.17750795</v>
      </c>
      <c r="C2054" s="14">
        <v>7.489568677</v>
      </c>
      <c r="D2054" s="14">
        <v>44.86544722</v>
      </c>
      <c r="E2054" s="14">
        <v>6.006493035</v>
      </c>
      <c r="F2054" s="14">
        <v>2.586522901</v>
      </c>
      <c r="G2054" s="14">
        <v>0.004045812</v>
      </c>
      <c r="H2054" s="14">
        <v>0.012327753</v>
      </c>
      <c r="I2054" s="14" t="s">
        <v>164</v>
      </c>
      <c r="J2054" s="14">
        <v>1.12759848</v>
      </c>
      <c r="K2054" s="14">
        <v>2.837403878</v>
      </c>
      <c r="L2054" s="14">
        <v>1.920867225</v>
      </c>
      <c r="M2054" s="14">
        <v>0.148425736</v>
      </c>
      <c r="N2054" s="14">
        <v>0.569587491</v>
      </c>
      <c r="O2054" s="14">
        <v>0.072608626</v>
      </c>
    </row>
    <row r="2055" spans="1:21">
      <c r="A2055" s="14" t="s">
        <v>10084</v>
      </c>
      <c r="B2055" s="14">
        <v>10.91910409</v>
      </c>
      <c r="C2055" s="14">
        <v>21.50652455</v>
      </c>
      <c r="D2055" s="14">
        <v>0.331683638</v>
      </c>
      <c r="E2055" s="14">
        <v>0.016311304</v>
      </c>
      <c r="F2055" s="14">
        <v>-5.937984101</v>
      </c>
      <c r="G2055" s="14">
        <v>0.014325299</v>
      </c>
      <c r="H2055" s="14">
        <v>0.036673835</v>
      </c>
      <c r="I2055" s="14" t="s">
        <v>147</v>
      </c>
      <c r="J2055" s="14">
        <v>0.033591395</v>
      </c>
      <c r="K2055" s="14">
        <v>0</v>
      </c>
      <c r="L2055" s="14">
        <v>0</v>
      </c>
      <c r="M2055" s="14">
        <v>0</v>
      </c>
      <c r="N2055" s="14">
        <v>0.165439276</v>
      </c>
      <c r="O2055" s="14">
        <v>1.771518461</v>
      </c>
      <c r="Q2055" s="14" t="s">
        <v>10085</v>
      </c>
      <c r="T2055" s="14" t="s">
        <v>10086</v>
      </c>
      <c r="U2055" s="14" t="s">
        <v>10087</v>
      </c>
    </row>
    <row r="2056" spans="1:21">
      <c r="A2056" s="14" t="s">
        <v>10088</v>
      </c>
      <c r="B2056" s="14">
        <v>12.39563442</v>
      </c>
      <c r="C2056" s="14">
        <v>19.196477</v>
      </c>
      <c r="D2056" s="14">
        <v>5.594791831</v>
      </c>
      <c r="E2056" s="14">
        <v>0.290664895</v>
      </c>
      <c r="F2056" s="14">
        <v>-1.782571253</v>
      </c>
      <c r="G2056" s="14">
        <v>0.006905628</v>
      </c>
      <c r="H2056" s="14">
        <v>0.019609428</v>
      </c>
      <c r="I2056" s="14" t="s">
        <v>147</v>
      </c>
      <c r="J2056" s="14">
        <v>0.260215034</v>
      </c>
      <c r="K2056" s="14">
        <v>0.305566571</v>
      </c>
      <c r="L2056" s="14">
        <v>0.167031933</v>
      </c>
      <c r="M2056" s="14">
        <v>0.667915812</v>
      </c>
      <c r="N2056" s="14">
        <v>0.747583582</v>
      </c>
      <c r="O2056" s="14">
        <v>0.653477635</v>
      </c>
      <c r="P2056" s="14" t="s">
        <v>10089</v>
      </c>
      <c r="Q2056" s="14" t="s">
        <v>10090</v>
      </c>
      <c r="T2056" s="14" t="s">
        <v>10091</v>
      </c>
      <c r="U2056" s="14" t="s">
        <v>10092</v>
      </c>
    </row>
    <row r="2057" spans="1:21">
      <c r="A2057" s="14" t="s">
        <v>10093</v>
      </c>
      <c r="B2057" s="14">
        <v>25.16413103</v>
      </c>
      <c r="C2057" s="14">
        <v>7.866617748</v>
      </c>
      <c r="D2057" s="14">
        <v>42.4616443</v>
      </c>
      <c r="E2057" s="14">
        <v>5.376597648</v>
      </c>
      <c r="F2057" s="14">
        <v>2.426693513</v>
      </c>
      <c r="G2057" s="14">
        <v>0.016473366</v>
      </c>
      <c r="H2057" s="14">
        <v>0.04128307</v>
      </c>
      <c r="I2057" s="14" t="s">
        <v>164</v>
      </c>
      <c r="J2057" s="14">
        <v>0.759257565</v>
      </c>
      <c r="K2057" s="14">
        <v>0.782411023</v>
      </c>
      <c r="L2057" s="14">
        <v>0.783268627</v>
      </c>
      <c r="M2057" s="14">
        <v>0</v>
      </c>
      <c r="N2057" s="14">
        <v>0.222582196</v>
      </c>
      <c r="O2057" s="14">
        <v>0.136194458</v>
      </c>
      <c r="P2057" s="14" t="s">
        <v>10094</v>
      </c>
      <c r="Q2057" s="14" t="s">
        <v>10095</v>
      </c>
      <c r="R2057" s="14" t="s">
        <v>180</v>
      </c>
      <c r="S2057" s="14" t="s">
        <v>181</v>
      </c>
      <c r="T2057" s="14" t="s">
        <v>10096</v>
      </c>
      <c r="U2057" s="14" t="s">
        <v>10097</v>
      </c>
    </row>
    <row r="2058" spans="1:21">
      <c r="A2058" s="14" t="s">
        <v>10098</v>
      </c>
      <c r="B2058" s="14">
        <v>170.7671568</v>
      </c>
      <c r="C2058" s="14">
        <v>62.55230001</v>
      </c>
      <c r="D2058" s="14">
        <v>278.9820136</v>
      </c>
      <c r="E2058" s="14">
        <v>4.466619804</v>
      </c>
      <c r="F2058" s="14">
        <v>2.159183459</v>
      </c>
      <c r="G2058" s="51" t="s">
        <v>10099</v>
      </c>
      <c r="H2058" s="51" t="s">
        <v>10100</v>
      </c>
      <c r="I2058" s="14" t="s">
        <v>164</v>
      </c>
      <c r="J2058" s="14">
        <v>8.945918954</v>
      </c>
      <c r="K2058" s="14">
        <v>16.88312745</v>
      </c>
      <c r="L2058" s="14">
        <v>15.26100439</v>
      </c>
      <c r="M2058" s="14">
        <v>2.911878585</v>
      </c>
      <c r="N2058" s="14">
        <v>2.234881445</v>
      </c>
      <c r="O2058" s="14">
        <v>2.401243695</v>
      </c>
      <c r="P2058" s="14" t="s">
        <v>10101</v>
      </c>
      <c r="Q2058" s="14" t="s">
        <v>10102</v>
      </c>
      <c r="R2058" s="14" t="s">
        <v>275</v>
      </c>
      <c r="S2058" s="14" t="s">
        <v>276</v>
      </c>
      <c r="T2058" s="14" t="s">
        <v>10103</v>
      </c>
      <c r="U2058" s="14" t="s">
        <v>10104</v>
      </c>
    </row>
    <row r="2059" spans="1:21">
      <c r="A2059" s="14" t="s">
        <v>10105</v>
      </c>
      <c r="B2059" s="14">
        <v>1462.272982</v>
      </c>
      <c r="C2059" s="14">
        <v>2365.552014</v>
      </c>
      <c r="D2059" s="14">
        <v>558.9939493</v>
      </c>
      <c r="E2059" s="14">
        <v>0.236317412</v>
      </c>
      <c r="F2059" s="14">
        <v>-2.081202164</v>
      </c>
      <c r="G2059" s="51" t="s">
        <v>10106</v>
      </c>
      <c r="H2059" s="51" t="s">
        <v>10107</v>
      </c>
      <c r="I2059" s="14" t="s">
        <v>147</v>
      </c>
      <c r="J2059" s="14">
        <v>3.71116396</v>
      </c>
      <c r="K2059" s="14">
        <v>6.054818539</v>
      </c>
      <c r="L2059" s="14">
        <v>4.836409348</v>
      </c>
      <c r="M2059" s="14">
        <v>19.72348529</v>
      </c>
      <c r="N2059" s="14">
        <v>21.5293894</v>
      </c>
      <c r="O2059" s="14">
        <v>8.619046421</v>
      </c>
      <c r="P2059" s="14" t="s">
        <v>10108</v>
      </c>
      <c r="Q2059" s="14" t="s">
        <v>10109</v>
      </c>
      <c r="R2059" s="14" t="s">
        <v>10110</v>
      </c>
      <c r="S2059" s="14" t="s">
        <v>10111</v>
      </c>
      <c r="T2059" s="14" t="s">
        <v>10112</v>
      </c>
      <c r="U2059" s="14" t="s">
        <v>10113</v>
      </c>
    </row>
    <row r="2060" spans="1:15">
      <c r="A2060" s="14" t="s">
        <v>10114</v>
      </c>
      <c r="B2060" s="14">
        <v>98.36860051</v>
      </c>
      <c r="C2060" s="14">
        <v>132.6691196</v>
      </c>
      <c r="D2060" s="14">
        <v>64.06808145</v>
      </c>
      <c r="E2060" s="14">
        <v>0.483330454</v>
      </c>
      <c r="F2060" s="14">
        <v>-1.048918195</v>
      </c>
      <c r="G2060" s="51" t="s">
        <v>10115</v>
      </c>
      <c r="H2060" s="14">
        <v>0.000323482</v>
      </c>
      <c r="I2060" s="14" t="s">
        <v>147</v>
      </c>
      <c r="J2060" s="14">
        <v>1.046809386</v>
      </c>
      <c r="K2060" s="14">
        <v>1.330919892</v>
      </c>
      <c r="L2060" s="14">
        <v>1.184747868</v>
      </c>
      <c r="M2060" s="14">
        <v>2.184115689</v>
      </c>
      <c r="N2060" s="14">
        <v>1.944651527</v>
      </c>
      <c r="O2060" s="14">
        <v>1.921674622</v>
      </c>
    </row>
    <row r="2061" spans="1:15">
      <c r="A2061" s="14" t="s">
        <v>10116</v>
      </c>
      <c r="B2061" s="14">
        <v>2790.85107</v>
      </c>
      <c r="C2061" s="14">
        <v>3953.982501</v>
      </c>
      <c r="D2061" s="14">
        <v>1627.719639</v>
      </c>
      <c r="E2061" s="14">
        <v>0.411663265</v>
      </c>
      <c r="F2061" s="14">
        <v>-1.280463379</v>
      </c>
      <c r="G2061" s="51" t="s">
        <v>10117</v>
      </c>
      <c r="H2061" s="51" t="s">
        <v>10118</v>
      </c>
      <c r="I2061" s="14" t="s">
        <v>147</v>
      </c>
      <c r="J2061" s="14">
        <v>18.10909747</v>
      </c>
      <c r="K2061" s="14">
        <v>18.49008405</v>
      </c>
      <c r="L2061" s="14">
        <v>16.99649884</v>
      </c>
      <c r="M2061" s="14">
        <v>36.07833239</v>
      </c>
      <c r="N2061" s="14">
        <v>34.42539404</v>
      </c>
      <c r="O2061" s="14">
        <v>36.63680813</v>
      </c>
    </row>
    <row r="2062" spans="1:21">
      <c r="A2062" s="14" t="s">
        <v>10119</v>
      </c>
      <c r="B2062" s="14">
        <v>16482.18121</v>
      </c>
      <c r="C2062" s="14">
        <v>24088.36858</v>
      </c>
      <c r="D2062" s="14">
        <v>8875.99384</v>
      </c>
      <c r="E2062" s="14">
        <v>0.368482381</v>
      </c>
      <c r="F2062" s="14">
        <v>-1.440332456</v>
      </c>
      <c r="G2062" s="51" t="s">
        <v>10120</v>
      </c>
      <c r="H2062" s="51" t="s">
        <v>10121</v>
      </c>
      <c r="I2062" s="14" t="s">
        <v>147</v>
      </c>
      <c r="J2062" s="14">
        <v>65.32021839</v>
      </c>
      <c r="K2062" s="14">
        <v>61.04288339</v>
      </c>
      <c r="L2062" s="14">
        <v>64.90026599</v>
      </c>
      <c r="M2062" s="14">
        <v>154.9005802</v>
      </c>
      <c r="N2062" s="14">
        <v>153.7993955</v>
      </c>
      <c r="O2062" s="14">
        <v>114.5870349</v>
      </c>
      <c r="P2062" s="14" t="s">
        <v>10122</v>
      </c>
      <c r="Q2062" s="14" t="s">
        <v>10123</v>
      </c>
      <c r="R2062" s="14" t="s">
        <v>5098</v>
      </c>
      <c r="S2062" s="14" t="s">
        <v>5099</v>
      </c>
      <c r="T2062" s="14" t="s">
        <v>10124</v>
      </c>
      <c r="U2062" s="14" t="s">
        <v>10125</v>
      </c>
    </row>
    <row r="2063" spans="1:21">
      <c r="A2063" s="14" t="s">
        <v>10126</v>
      </c>
      <c r="B2063" s="14">
        <v>28.75209663</v>
      </c>
      <c r="C2063" s="14">
        <v>12.39070323</v>
      </c>
      <c r="D2063" s="14">
        <v>45.11349004</v>
      </c>
      <c r="E2063" s="14">
        <v>3.665062102</v>
      </c>
      <c r="F2063" s="14">
        <v>1.873837644</v>
      </c>
      <c r="G2063" s="14">
        <v>0.004372854</v>
      </c>
      <c r="H2063" s="14">
        <v>0.013164383</v>
      </c>
      <c r="I2063" s="14" t="s">
        <v>164</v>
      </c>
      <c r="J2063" s="14">
        <v>0.341972202</v>
      </c>
      <c r="K2063" s="14">
        <v>0.648694482</v>
      </c>
      <c r="L2063" s="14">
        <v>0.810505211</v>
      </c>
      <c r="M2063" s="14">
        <v>0.180055141</v>
      </c>
      <c r="N2063" s="14">
        <v>0.15114884</v>
      </c>
      <c r="O2063" s="14">
        <v>0.066061099</v>
      </c>
      <c r="P2063" s="14" t="s">
        <v>10127</v>
      </c>
      <c r="Q2063" s="14" t="s">
        <v>10128</v>
      </c>
      <c r="R2063" s="14" t="s">
        <v>10129</v>
      </c>
      <c r="S2063" s="14" t="s">
        <v>10130</v>
      </c>
      <c r="T2063" s="14" t="s">
        <v>10131</v>
      </c>
      <c r="U2063" s="14" t="s">
        <v>10132</v>
      </c>
    </row>
    <row r="2064" spans="1:21">
      <c r="A2064" s="14" t="s">
        <v>10133</v>
      </c>
      <c r="B2064" s="14">
        <v>231.7694776</v>
      </c>
      <c r="C2064" s="14">
        <v>452.3729553</v>
      </c>
      <c r="D2064" s="14">
        <v>11.16599993</v>
      </c>
      <c r="E2064" s="14">
        <v>0.02465141</v>
      </c>
      <c r="F2064" s="14">
        <v>-5.342186034</v>
      </c>
      <c r="G2064" s="51" t="s">
        <v>10134</v>
      </c>
      <c r="H2064" s="51" t="s">
        <v>10135</v>
      </c>
      <c r="I2064" s="14" t="s">
        <v>147</v>
      </c>
      <c r="J2064" s="14">
        <v>0.252317764</v>
      </c>
      <c r="K2064" s="14">
        <v>0.275129147</v>
      </c>
      <c r="L2064" s="14">
        <v>0.182208013</v>
      </c>
      <c r="M2064" s="14">
        <v>9.498796649</v>
      </c>
      <c r="N2064" s="14">
        <v>10.76987091</v>
      </c>
      <c r="O2064" s="14">
        <v>2.833802293</v>
      </c>
      <c r="P2064" s="14" t="s">
        <v>573</v>
      </c>
      <c r="Q2064" s="14" t="s">
        <v>574</v>
      </c>
      <c r="T2064" s="14" t="s">
        <v>575</v>
      </c>
      <c r="U2064" s="14" t="s">
        <v>576</v>
      </c>
    </row>
    <row r="2065" spans="1:21">
      <c r="A2065" s="14" t="s">
        <v>10136</v>
      </c>
      <c r="B2065" s="14">
        <v>363.7498471</v>
      </c>
      <c r="C2065" s="14">
        <v>171.85248</v>
      </c>
      <c r="D2065" s="14">
        <v>555.6472142</v>
      </c>
      <c r="E2065" s="14">
        <v>3.230429604</v>
      </c>
      <c r="F2065" s="14">
        <v>1.691726037</v>
      </c>
      <c r="G2065" s="14">
        <v>0.003536657</v>
      </c>
      <c r="H2065" s="14">
        <v>0.010981293</v>
      </c>
      <c r="I2065" s="14" t="s">
        <v>164</v>
      </c>
      <c r="J2065" s="14">
        <v>19.18076688</v>
      </c>
      <c r="K2065" s="14">
        <v>12.24933352</v>
      </c>
      <c r="L2065" s="14">
        <v>24.39074826</v>
      </c>
      <c r="M2065" s="14">
        <v>1.725980538</v>
      </c>
      <c r="N2065" s="14">
        <v>3.528910566</v>
      </c>
      <c r="O2065" s="14">
        <v>9.467627644</v>
      </c>
      <c r="P2065" s="14" t="s">
        <v>10137</v>
      </c>
      <c r="Q2065" s="14" t="s">
        <v>10138</v>
      </c>
      <c r="T2065" s="14" t="s">
        <v>10139</v>
      </c>
      <c r="U2065" s="14" t="s">
        <v>10140</v>
      </c>
    </row>
    <row r="2066" spans="1:21">
      <c r="A2066" s="14" t="s">
        <v>10141</v>
      </c>
      <c r="B2066" s="14">
        <v>14359.08007</v>
      </c>
      <c r="C2066" s="14">
        <v>21526.0203</v>
      </c>
      <c r="D2066" s="14">
        <v>7192.139841</v>
      </c>
      <c r="E2066" s="14">
        <v>0.334113003</v>
      </c>
      <c r="F2066" s="14">
        <v>-1.581591966</v>
      </c>
      <c r="G2066" s="51" t="s">
        <v>10142</v>
      </c>
      <c r="H2066" s="51" t="s">
        <v>10143</v>
      </c>
      <c r="I2066" s="14" t="s">
        <v>147</v>
      </c>
      <c r="J2066" s="14">
        <v>145.6165376</v>
      </c>
      <c r="K2066" s="14">
        <v>158.6899596</v>
      </c>
      <c r="L2066" s="14">
        <v>126.7220769</v>
      </c>
      <c r="M2066" s="14">
        <v>376.1559582</v>
      </c>
      <c r="N2066" s="14">
        <v>362.5192565</v>
      </c>
      <c r="O2066" s="14">
        <v>318.4771599</v>
      </c>
      <c r="P2066" s="14" t="s">
        <v>10144</v>
      </c>
      <c r="Q2066" s="14" t="s">
        <v>10145</v>
      </c>
      <c r="T2066" s="14" t="s">
        <v>10146</v>
      </c>
      <c r="U2066" s="14" t="s">
        <v>10147</v>
      </c>
    </row>
    <row r="2067" spans="1:21">
      <c r="A2067" s="14" t="s">
        <v>10148</v>
      </c>
      <c r="B2067" s="14">
        <v>5726.39417</v>
      </c>
      <c r="C2067" s="14">
        <v>8636.795911</v>
      </c>
      <c r="D2067" s="14">
        <v>2815.992429</v>
      </c>
      <c r="E2067" s="14">
        <v>0.326054304</v>
      </c>
      <c r="F2067" s="14">
        <v>-1.616815832</v>
      </c>
      <c r="G2067" s="51" t="s">
        <v>10149</v>
      </c>
      <c r="H2067" s="51" t="s">
        <v>10150</v>
      </c>
      <c r="I2067" s="14" t="s">
        <v>147</v>
      </c>
      <c r="J2067" s="14">
        <v>14.73039784</v>
      </c>
      <c r="K2067" s="14">
        <v>21.24250086</v>
      </c>
      <c r="L2067" s="14">
        <v>19.44474927</v>
      </c>
      <c r="M2067" s="14">
        <v>48.98422529</v>
      </c>
      <c r="N2067" s="14">
        <v>54.6642981</v>
      </c>
      <c r="O2067" s="14">
        <v>34.73513254</v>
      </c>
      <c r="P2067" s="14" t="s">
        <v>10151</v>
      </c>
      <c r="Q2067" s="14" t="s">
        <v>2146</v>
      </c>
      <c r="T2067" s="14" t="s">
        <v>10152</v>
      </c>
      <c r="U2067" s="14" t="s">
        <v>10153</v>
      </c>
    </row>
    <row r="2068" spans="1:21">
      <c r="A2068" s="14" t="s">
        <v>10154</v>
      </c>
      <c r="B2068" s="14">
        <v>2381.324741</v>
      </c>
      <c r="C2068" s="14">
        <v>3176.587928</v>
      </c>
      <c r="D2068" s="14">
        <v>1586.061554</v>
      </c>
      <c r="E2068" s="14">
        <v>0.499220884</v>
      </c>
      <c r="F2068" s="14">
        <v>-1.002249806</v>
      </c>
      <c r="G2068" s="51" t="s">
        <v>10155</v>
      </c>
      <c r="H2068" s="51" t="s">
        <v>10156</v>
      </c>
      <c r="I2068" s="14" t="s">
        <v>147</v>
      </c>
      <c r="J2068" s="14">
        <v>8.715459769</v>
      </c>
      <c r="K2068" s="14">
        <v>8.761533808</v>
      </c>
      <c r="L2068" s="14">
        <v>8.376125795</v>
      </c>
      <c r="M2068" s="14">
        <v>13.490589</v>
      </c>
      <c r="N2068" s="14">
        <v>12.64656002</v>
      </c>
      <c r="O2068" s="14">
        <v>16.71388373</v>
      </c>
      <c r="P2068" s="14" t="s">
        <v>10157</v>
      </c>
      <c r="Q2068" s="14" t="s">
        <v>10158</v>
      </c>
      <c r="R2068" s="14" t="s">
        <v>6520</v>
      </c>
      <c r="S2068" s="14" t="s">
        <v>6521</v>
      </c>
      <c r="T2068" s="14" t="s">
        <v>10159</v>
      </c>
      <c r="U2068" s="14" t="s">
        <v>10160</v>
      </c>
    </row>
    <row r="2069" spans="1:21">
      <c r="A2069" s="14" t="s">
        <v>10161</v>
      </c>
      <c r="B2069" s="14">
        <v>11316.50087</v>
      </c>
      <c r="C2069" s="14">
        <v>15504.83475</v>
      </c>
      <c r="D2069" s="14">
        <v>7128.166989</v>
      </c>
      <c r="E2069" s="14">
        <v>0.459757262</v>
      </c>
      <c r="F2069" s="14">
        <v>-1.121055731</v>
      </c>
      <c r="G2069" s="51" t="s">
        <v>10162</v>
      </c>
      <c r="H2069" s="51" t="s">
        <v>10163</v>
      </c>
      <c r="I2069" s="14" t="s">
        <v>147</v>
      </c>
      <c r="J2069" s="14">
        <v>92.12115377</v>
      </c>
      <c r="K2069" s="14">
        <v>89.84597776</v>
      </c>
      <c r="L2069" s="14">
        <v>93.53915114</v>
      </c>
      <c r="M2069" s="14">
        <v>167.3307466</v>
      </c>
      <c r="N2069" s="14">
        <v>160.701558</v>
      </c>
      <c r="O2069" s="14">
        <v>164.354439</v>
      </c>
      <c r="P2069" s="14" t="s">
        <v>10164</v>
      </c>
      <c r="Q2069" s="14" t="s">
        <v>10165</v>
      </c>
      <c r="T2069" s="14" t="s">
        <v>10166</v>
      </c>
      <c r="U2069" s="14" t="s">
        <v>10167</v>
      </c>
    </row>
    <row r="2070" spans="1:21">
      <c r="A2070" s="14" t="s">
        <v>10168</v>
      </c>
      <c r="B2070" s="14">
        <v>281.3577388</v>
      </c>
      <c r="C2070" s="14">
        <v>148.8151223</v>
      </c>
      <c r="D2070" s="14">
        <v>413.9003553</v>
      </c>
      <c r="E2070" s="14">
        <v>2.783315955</v>
      </c>
      <c r="F2070" s="14">
        <v>1.476804689</v>
      </c>
      <c r="G2070" s="51" t="s">
        <v>4393</v>
      </c>
      <c r="H2070" s="51" t="s">
        <v>4394</v>
      </c>
      <c r="I2070" s="14" t="s">
        <v>164</v>
      </c>
      <c r="J2070" s="14">
        <v>8.512748965</v>
      </c>
      <c r="K2070" s="14">
        <v>5.668571703</v>
      </c>
      <c r="L2070" s="14">
        <v>9.162894588</v>
      </c>
      <c r="M2070" s="14">
        <v>2.178677768</v>
      </c>
      <c r="N2070" s="14">
        <v>2.532630094</v>
      </c>
      <c r="O2070" s="14">
        <v>2.162699792</v>
      </c>
      <c r="P2070" s="14" t="s">
        <v>10169</v>
      </c>
      <c r="Q2070" s="14" t="s">
        <v>10170</v>
      </c>
      <c r="T2070" s="14" t="s">
        <v>10171</v>
      </c>
      <c r="U2070" s="14" t="s">
        <v>10172</v>
      </c>
    </row>
    <row r="2071" spans="1:21">
      <c r="A2071" s="14" t="s">
        <v>10173</v>
      </c>
      <c r="B2071" s="14">
        <v>801.0148358</v>
      </c>
      <c r="C2071" s="14">
        <v>517.0877227</v>
      </c>
      <c r="D2071" s="14">
        <v>1084.941949</v>
      </c>
      <c r="E2071" s="14">
        <v>2.097065303</v>
      </c>
      <c r="F2071" s="14">
        <v>1.068371788</v>
      </c>
      <c r="G2071" s="51" t="s">
        <v>10174</v>
      </c>
      <c r="H2071" s="51" t="s">
        <v>10175</v>
      </c>
      <c r="I2071" s="14" t="s">
        <v>164</v>
      </c>
      <c r="J2071" s="14">
        <v>11.23769166</v>
      </c>
      <c r="K2071" s="14">
        <v>8.388505803</v>
      </c>
      <c r="L2071" s="14">
        <v>10.5901762</v>
      </c>
      <c r="M2071" s="14">
        <v>3.152558204</v>
      </c>
      <c r="N2071" s="14">
        <v>3.620355505</v>
      </c>
      <c r="O2071" s="14">
        <v>5.207345736</v>
      </c>
      <c r="P2071" s="14" t="s">
        <v>10176</v>
      </c>
      <c r="Q2071" s="14" t="s">
        <v>10177</v>
      </c>
      <c r="R2071" s="14" t="s">
        <v>771</v>
      </c>
      <c r="S2071" s="14" t="s">
        <v>772</v>
      </c>
      <c r="T2071" s="14" t="s">
        <v>10178</v>
      </c>
      <c r="U2071" s="14" t="s">
        <v>10179</v>
      </c>
    </row>
    <row r="2072" spans="1:21">
      <c r="A2072" s="14" t="s">
        <v>10180</v>
      </c>
      <c r="B2072" s="14">
        <v>11942.41144</v>
      </c>
      <c r="C2072" s="14">
        <v>16487.19458</v>
      </c>
      <c r="D2072" s="14">
        <v>7397.628308</v>
      </c>
      <c r="E2072" s="14">
        <v>0.44869464</v>
      </c>
      <c r="F2072" s="14">
        <v>-1.156194145</v>
      </c>
      <c r="G2072" s="51" t="s">
        <v>10181</v>
      </c>
      <c r="H2072" s="14">
        <v>0.000107787</v>
      </c>
      <c r="I2072" s="14" t="s">
        <v>147</v>
      </c>
      <c r="J2072" s="14">
        <v>46.84447954</v>
      </c>
      <c r="K2072" s="14">
        <v>56.90375053</v>
      </c>
      <c r="L2072" s="14">
        <v>46.6893944</v>
      </c>
      <c r="M2072" s="14">
        <v>105.2736706</v>
      </c>
      <c r="N2072" s="14">
        <v>101.9022096</v>
      </c>
      <c r="O2072" s="14">
        <v>65.48894889</v>
      </c>
      <c r="P2072" s="14" t="s">
        <v>10182</v>
      </c>
      <c r="Q2072" s="14" t="s">
        <v>10183</v>
      </c>
      <c r="T2072" s="14" t="s">
        <v>10184</v>
      </c>
      <c r="U2072" s="14" t="s">
        <v>10185</v>
      </c>
    </row>
    <row r="2073" spans="1:21">
      <c r="A2073" s="14" t="s">
        <v>10186</v>
      </c>
      <c r="B2073" s="14">
        <v>9562.197878</v>
      </c>
      <c r="C2073" s="14">
        <v>207.5828723</v>
      </c>
      <c r="D2073" s="14">
        <v>18916.81288</v>
      </c>
      <c r="E2073" s="14">
        <v>91.02956093</v>
      </c>
      <c r="F2073" s="14">
        <v>6.508263217</v>
      </c>
      <c r="G2073" s="51" t="s">
        <v>10187</v>
      </c>
      <c r="H2073" s="51" t="s">
        <v>10188</v>
      </c>
      <c r="I2073" s="14" t="s">
        <v>164</v>
      </c>
      <c r="J2073" s="14">
        <v>289.6779737</v>
      </c>
      <c r="K2073" s="14">
        <v>273.4098491</v>
      </c>
      <c r="L2073" s="14">
        <v>273.8243534</v>
      </c>
      <c r="M2073" s="14">
        <v>0.99993722</v>
      </c>
      <c r="N2073" s="14">
        <v>2.098514799</v>
      </c>
      <c r="O2073" s="14">
        <v>4.720402758</v>
      </c>
      <c r="P2073" s="14" t="s">
        <v>5072</v>
      </c>
      <c r="Q2073" s="14" t="s">
        <v>5073</v>
      </c>
      <c r="T2073" s="14" t="s">
        <v>5074</v>
      </c>
      <c r="U2073" s="14" t="s">
        <v>5075</v>
      </c>
    </row>
    <row r="2074" spans="1:21">
      <c r="A2074" s="14" t="s">
        <v>10189</v>
      </c>
      <c r="B2074" s="14">
        <v>1842.223352</v>
      </c>
      <c r="C2074" s="14">
        <v>2758.081883</v>
      </c>
      <c r="D2074" s="14">
        <v>926.3648203</v>
      </c>
      <c r="E2074" s="14">
        <v>0.335896176</v>
      </c>
      <c r="F2074" s="14">
        <v>-1.573912724</v>
      </c>
      <c r="G2074" s="51" t="s">
        <v>10190</v>
      </c>
      <c r="H2074" s="51" t="s">
        <v>10191</v>
      </c>
      <c r="I2074" s="14" t="s">
        <v>147</v>
      </c>
      <c r="J2074" s="14">
        <v>8.244134317</v>
      </c>
      <c r="K2074" s="14">
        <v>9.96140703</v>
      </c>
      <c r="L2074" s="14">
        <v>8.581718959</v>
      </c>
      <c r="M2074" s="14">
        <v>24.41392308</v>
      </c>
      <c r="N2074" s="14">
        <v>23.42226079</v>
      </c>
      <c r="O2074" s="14">
        <v>17.19292675</v>
      </c>
      <c r="P2074" s="14" t="s">
        <v>5438</v>
      </c>
      <c r="Q2074" s="14" t="s">
        <v>5439</v>
      </c>
      <c r="T2074" s="14" t="s">
        <v>5440</v>
      </c>
      <c r="U2074" s="14" t="s">
        <v>5441</v>
      </c>
    </row>
    <row r="2075" spans="1:15">
      <c r="A2075" s="14" t="s">
        <v>10192</v>
      </c>
      <c r="B2075" s="14">
        <v>19.29424312</v>
      </c>
      <c r="C2075" s="14">
        <v>2.163621922</v>
      </c>
      <c r="D2075" s="14">
        <v>36.42486431</v>
      </c>
      <c r="E2075" s="14">
        <v>16.56402181</v>
      </c>
      <c r="F2075" s="14">
        <v>4.049981102</v>
      </c>
      <c r="G2075" s="14">
        <v>0.016387179</v>
      </c>
      <c r="H2075" s="14">
        <v>0.041124466</v>
      </c>
      <c r="I2075" s="14" t="s">
        <v>164</v>
      </c>
      <c r="J2075" s="14">
        <v>2.178306637</v>
      </c>
      <c r="K2075" s="14">
        <v>0.243614522</v>
      </c>
      <c r="L2075" s="14">
        <v>4.311283824</v>
      </c>
      <c r="M2075" s="14">
        <v>0</v>
      </c>
      <c r="N2075" s="14">
        <v>0</v>
      </c>
      <c r="O2075" s="14">
        <v>0.354561555</v>
      </c>
    </row>
    <row r="2076" spans="1:21">
      <c r="A2076" s="14" t="s">
        <v>10193</v>
      </c>
      <c r="B2076" s="14">
        <v>60.51631215</v>
      </c>
      <c r="C2076" s="14">
        <v>119.3748331</v>
      </c>
      <c r="D2076" s="14">
        <v>1.657791237</v>
      </c>
      <c r="E2076" s="14">
        <v>0.013731558</v>
      </c>
      <c r="F2076" s="14">
        <v>-6.186360846</v>
      </c>
      <c r="G2076" s="51" t="s">
        <v>10194</v>
      </c>
      <c r="H2076" s="51" t="s">
        <v>10195</v>
      </c>
      <c r="I2076" s="14" t="s">
        <v>147</v>
      </c>
      <c r="J2076" s="14">
        <v>0</v>
      </c>
      <c r="K2076" s="14">
        <v>0.059285574</v>
      </c>
      <c r="L2076" s="14">
        <v>0.014178189</v>
      </c>
      <c r="M2076" s="14">
        <v>1.524459283</v>
      </c>
      <c r="N2076" s="14">
        <v>1.69219238</v>
      </c>
      <c r="O2076" s="14">
        <v>1.12171068</v>
      </c>
      <c r="P2076" s="14" t="s">
        <v>10196</v>
      </c>
      <c r="Q2076" s="14" t="s">
        <v>10197</v>
      </c>
      <c r="T2076" s="14" t="s">
        <v>10198</v>
      </c>
      <c r="U2076" s="14" t="s">
        <v>10199</v>
      </c>
    </row>
    <row r="2077" spans="1:21">
      <c r="A2077" s="14" t="s">
        <v>10200</v>
      </c>
      <c r="B2077" s="14">
        <v>6695.144127</v>
      </c>
      <c r="C2077" s="14">
        <v>9455.32171</v>
      </c>
      <c r="D2077" s="14">
        <v>3934.966543</v>
      </c>
      <c r="E2077" s="14">
        <v>0.416165429</v>
      </c>
      <c r="F2077" s="14">
        <v>-1.264770971</v>
      </c>
      <c r="G2077" s="51" t="s">
        <v>10201</v>
      </c>
      <c r="H2077" s="51" t="s">
        <v>10202</v>
      </c>
      <c r="I2077" s="14" t="s">
        <v>147</v>
      </c>
      <c r="J2077" s="14">
        <v>35.98188268</v>
      </c>
      <c r="K2077" s="14">
        <v>60.09189355</v>
      </c>
      <c r="L2077" s="14">
        <v>44.56324387</v>
      </c>
      <c r="M2077" s="14">
        <v>96.84523043</v>
      </c>
      <c r="N2077" s="14">
        <v>96.21799483</v>
      </c>
      <c r="O2077" s="14">
        <v>83.94360329</v>
      </c>
      <c r="P2077" s="14" t="s">
        <v>10203</v>
      </c>
      <c r="Q2077" s="14" t="s">
        <v>10204</v>
      </c>
      <c r="T2077" s="14" t="s">
        <v>10205</v>
      </c>
      <c r="U2077" s="14" t="s">
        <v>10206</v>
      </c>
    </row>
    <row r="2078" spans="1:21">
      <c r="A2078" s="14" t="s">
        <v>10207</v>
      </c>
      <c r="B2078" s="14">
        <v>1496.545208</v>
      </c>
      <c r="C2078" s="14">
        <v>2802.416862</v>
      </c>
      <c r="D2078" s="14">
        <v>190.6735545</v>
      </c>
      <c r="E2078" s="14">
        <v>0.06803356</v>
      </c>
      <c r="F2078" s="14">
        <v>-3.877609597</v>
      </c>
      <c r="G2078" s="51" t="s">
        <v>10208</v>
      </c>
      <c r="H2078" s="51" t="s">
        <v>10209</v>
      </c>
      <c r="I2078" s="14" t="s">
        <v>147</v>
      </c>
      <c r="J2078" s="14">
        <v>1.302776158</v>
      </c>
      <c r="K2078" s="14">
        <v>1.699236701</v>
      </c>
      <c r="L2078" s="14">
        <v>1.447358412</v>
      </c>
      <c r="M2078" s="14">
        <v>18.96221351</v>
      </c>
      <c r="N2078" s="14">
        <v>20.11559817</v>
      </c>
      <c r="O2078" s="14">
        <v>14.28689337</v>
      </c>
      <c r="P2078" s="14" t="s">
        <v>10210</v>
      </c>
      <c r="Q2078" s="14" t="s">
        <v>10211</v>
      </c>
      <c r="T2078" s="14" t="s">
        <v>10212</v>
      </c>
      <c r="U2078" s="14" t="s">
        <v>10213</v>
      </c>
    </row>
    <row r="2079" spans="1:21">
      <c r="A2079" s="14" t="s">
        <v>10214</v>
      </c>
      <c r="B2079" s="14">
        <v>312.3049015</v>
      </c>
      <c r="C2079" s="14">
        <v>511.5414188</v>
      </c>
      <c r="D2079" s="14">
        <v>113.0683842</v>
      </c>
      <c r="E2079" s="14">
        <v>0.221014852</v>
      </c>
      <c r="F2079" s="14">
        <v>-2.177784776</v>
      </c>
      <c r="G2079" s="14">
        <v>0.017844511</v>
      </c>
      <c r="H2079" s="14">
        <v>0.044196923</v>
      </c>
      <c r="I2079" s="14" t="s">
        <v>147</v>
      </c>
      <c r="J2079" s="14">
        <v>1.19103796</v>
      </c>
      <c r="K2079" s="14">
        <v>4.880890793</v>
      </c>
      <c r="L2079" s="14">
        <v>1.167268626</v>
      </c>
      <c r="M2079" s="14">
        <v>12.51970514</v>
      </c>
      <c r="N2079" s="14">
        <v>12.53491366</v>
      </c>
      <c r="O2079" s="14">
        <v>1.103840579</v>
      </c>
      <c r="P2079" s="14" t="s">
        <v>10215</v>
      </c>
      <c r="Q2079" s="14" t="s">
        <v>10216</v>
      </c>
      <c r="T2079" s="14" t="s">
        <v>10217</v>
      </c>
      <c r="U2079" s="14" t="s">
        <v>10218</v>
      </c>
    </row>
    <row r="2080" spans="1:15">
      <c r="A2080" s="14" t="s">
        <v>10219</v>
      </c>
      <c r="B2080" s="14">
        <v>19.73933726</v>
      </c>
      <c r="C2080" s="14">
        <v>9.964215828</v>
      </c>
      <c r="D2080" s="14">
        <v>29.51445868</v>
      </c>
      <c r="E2080" s="14">
        <v>2.948095051</v>
      </c>
      <c r="F2080" s="14">
        <v>1.55978304</v>
      </c>
      <c r="G2080" s="14">
        <v>0.003330164</v>
      </c>
      <c r="H2080" s="14">
        <v>0.010412536</v>
      </c>
      <c r="I2080" s="14" t="s">
        <v>164</v>
      </c>
      <c r="J2080" s="14">
        <v>2.326022875</v>
      </c>
      <c r="K2080" s="14">
        <v>2.006752715</v>
      </c>
      <c r="L2080" s="14">
        <v>1.599721297</v>
      </c>
      <c r="M2080" s="14">
        <v>0.454887508</v>
      </c>
      <c r="N2080" s="14">
        <v>0.49096188</v>
      </c>
      <c r="O2080" s="14">
        <v>0.723213258</v>
      </c>
    </row>
    <row r="2081" spans="1:21">
      <c r="A2081" s="14" t="s">
        <v>10220</v>
      </c>
      <c r="B2081" s="14">
        <v>1847.498483</v>
      </c>
      <c r="C2081" s="14">
        <v>265.1328187</v>
      </c>
      <c r="D2081" s="14">
        <v>3429.864147</v>
      </c>
      <c r="E2081" s="14">
        <v>12.93945277</v>
      </c>
      <c r="F2081" s="14">
        <v>3.693704699</v>
      </c>
      <c r="G2081" s="51" t="s">
        <v>10221</v>
      </c>
      <c r="H2081" s="51" t="s">
        <v>10222</v>
      </c>
      <c r="I2081" s="14" t="s">
        <v>164</v>
      </c>
      <c r="J2081" s="14">
        <v>28.82937008</v>
      </c>
      <c r="K2081" s="14">
        <v>75.18412009</v>
      </c>
      <c r="L2081" s="14">
        <v>54.73621221</v>
      </c>
      <c r="M2081" s="14">
        <v>3.742466469</v>
      </c>
      <c r="N2081" s="14">
        <v>2.975304856</v>
      </c>
      <c r="O2081" s="14">
        <v>3.367104823</v>
      </c>
      <c r="P2081" s="14" t="s">
        <v>10223</v>
      </c>
      <c r="Q2081" s="14" t="s">
        <v>10224</v>
      </c>
      <c r="R2081" s="14" t="s">
        <v>798</v>
      </c>
      <c r="S2081" s="14" t="s">
        <v>799</v>
      </c>
      <c r="T2081" s="14" t="s">
        <v>10225</v>
      </c>
      <c r="U2081" s="14" t="s">
        <v>10226</v>
      </c>
    </row>
    <row r="2082" spans="1:21">
      <c r="A2082" s="14" t="s">
        <v>10227</v>
      </c>
      <c r="B2082" s="14">
        <v>5.995373206</v>
      </c>
      <c r="C2082" s="14">
        <v>0</v>
      </c>
      <c r="D2082" s="14">
        <v>11.99074641</v>
      </c>
      <c r="E2082" s="14">
        <v>64.71859051</v>
      </c>
      <c r="F2082" s="14">
        <v>6.016108283</v>
      </c>
      <c r="G2082" s="14">
        <v>0.000255055</v>
      </c>
      <c r="H2082" s="14">
        <v>0.001089259</v>
      </c>
      <c r="I2082" s="14" t="s">
        <v>164</v>
      </c>
      <c r="J2082" s="14">
        <v>0.986543405</v>
      </c>
      <c r="K2082" s="14">
        <v>0.812442604</v>
      </c>
      <c r="L2082" s="14">
        <v>1.468016087</v>
      </c>
      <c r="M2082" s="14">
        <v>0</v>
      </c>
      <c r="N2082" s="14">
        <v>0</v>
      </c>
      <c r="O2082" s="14">
        <v>0</v>
      </c>
      <c r="P2082" s="14" t="s">
        <v>10228</v>
      </c>
      <c r="Q2082" s="14" t="s">
        <v>10229</v>
      </c>
      <c r="R2082" s="14" t="s">
        <v>2789</v>
      </c>
      <c r="S2082" s="14" t="s">
        <v>2790</v>
      </c>
      <c r="T2082" s="14" t="s">
        <v>10230</v>
      </c>
      <c r="U2082" s="14" t="s">
        <v>10231</v>
      </c>
    </row>
    <row r="2083" spans="1:21">
      <c r="A2083" s="14" t="s">
        <v>10232</v>
      </c>
      <c r="B2083" s="14">
        <v>7473.45043</v>
      </c>
      <c r="C2083" s="14">
        <v>12038.72184</v>
      </c>
      <c r="D2083" s="14">
        <v>2908.17902</v>
      </c>
      <c r="E2083" s="14">
        <v>0.241572783</v>
      </c>
      <c r="F2083" s="14">
        <v>-2.049470174</v>
      </c>
      <c r="G2083" s="51" t="s">
        <v>10233</v>
      </c>
      <c r="H2083" s="51" t="s">
        <v>10234</v>
      </c>
      <c r="I2083" s="14" t="s">
        <v>147</v>
      </c>
      <c r="J2083" s="14">
        <v>68.19129241</v>
      </c>
      <c r="K2083" s="14">
        <v>79.76887443</v>
      </c>
      <c r="L2083" s="14">
        <v>72.87814843</v>
      </c>
      <c r="M2083" s="14">
        <v>292.965102</v>
      </c>
      <c r="N2083" s="14">
        <v>295.7021191</v>
      </c>
      <c r="O2083" s="14">
        <v>151.3673014</v>
      </c>
      <c r="P2083" s="14" t="s">
        <v>10235</v>
      </c>
      <c r="Q2083" s="14" t="s">
        <v>10236</v>
      </c>
      <c r="T2083" s="14" t="s">
        <v>10237</v>
      </c>
      <c r="U2083" s="14" t="s">
        <v>10238</v>
      </c>
    </row>
    <row r="2084" spans="1:21">
      <c r="A2084" s="14" t="s">
        <v>10239</v>
      </c>
      <c r="B2084" s="14">
        <v>17936.90566</v>
      </c>
      <c r="C2084" s="14">
        <v>24758.38933</v>
      </c>
      <c r="D2084" s="14">
        <v>11115.42199</v>
      </c>
      <c r="E2084" s="14">
        <v>0.448958425</v>
      </c>
      <c r="F2084" s="14">
        <v>-1.155346241</v>
      </c>
      <c r="G2084" s="51" t="s">
        <v>10240</v>
      </c>
      <c r="H2084" s="51" t="s">
        <v>10241</v>
      </c>
      <c r="I2084" s="14" t="s">
        <v>147</v>
      </c>
      <c r="J2084" s="14">
        <v>74.51629969</v>
      </c>
      <c r="K2084" s="14">
        <v>87.99321411</v>
      </c>
      <c r="L2084" s="14">
        <v>69.08892557</v>
      </c>
      <c r="M2084" s="14">
        <v>157.5097028</v>
      </c>
      <c r="N2084" s="14">
        <v>150.6143914</v>
      </c>
      <c r="O2084" s="14">
        <v>112.8964624</v>
      </c>
      <c r="P2084" s="14" t="s">
        <v>10242</v>
      </c>
      <c r="Q2084" s="14" t="s">
        <v>10243</v>
      </c>
      <c r="T2084" s="14" t="s">
        <v>10244</v>
      </c>
      <c r="U2084" s="14" t="s">
        <v>10245</v>
      </c>
    </row>
    <row r="2085" spans="1:21">
      <c r="A2085" s="14" t="s">
        <v>10246</v>
      </c>
      <c r="B2085" s="14">
        <v>271.367337</v>
      </c>
      <c r="C2085" s="14">
        <v>158.5475716</v>
      </c>
      <c r="D2085" s="14">
        <v>384.1871024</v>
      </c>
      <c r="E2085" s="14">
        <v>2.421615275</v>
      </c>
      <c r="F2085" s="14">
        <v>1.27596968</v>
      </c>
      <c r="G2085" s="14">
        <v>0.002749613</v>
      </c>
      <c r="H2085" s="14">
        <v>0.008818664</v>
      </c>
      <c r="I2085" s="14" t="s">
        <v>164</v>
      </c>
      <c r="J2085" s="14">
        <v>2.633820496</v>
      </c>
      <c r="K2085" s="14">
        <v>1.408162517</v>
      </c>
      <c r="L2085" s="14">
        <v>3.057223297</v>
      </c>
      <c r="M2085" s="14">
        <v>0.660952247</v>
      </c>
      <c r="N2085" s="14">
        <v>0.52925317</v>
      </c>
      <c r="O2085" s="14">
        <v>1.262778116</v>
      </c>
      <c r="P2085" s="14" t="s">
        <v>10247</v>
      </c>
      <c r="Q2085" s="14" t="s">
        <v>10248</v>
      </c>
      <c r="R2085" s="14" t="s">
        <v>9953</v>
      </c>
      <c r="S2085" s="14" t="s">
        <v>9954</v>
      </c>
      <c r="T2085" s="14" t="s">
        <v>10249</v>
      </c>
      <c r="U2085" s="14" t="s">
        <v>10250</v>
      </c>
    </row>
    <row r="2086" spans="1:17">
      <c r="A2086" s="14" t="s">
        <v>10251</v>
      </c>
      <c r="B2086" s="14">
        <v>1144.888883</v>
      </c>
      <c r="C2086" s="14">
        <v>752.4471589</v>
      </c>
      <c r="D2086" s="14">
        <v>1537.330606</v>
      </c>
      <c r="E2086" s="14">
        <v>2.042522936</v>
      </c>
      <c r="F2086" s="14">
        <v>1.030352279</v>
      </c>
      <c r="G2086" s="14">
        <v>0.015635125</v>
      </c>
      <c r="H2086" s="14">
        <v>0.039482347</v>
      </c>
      <c r="I2086" s="14" t="s">
        <v>164</v>
      </c>
      <c r="J2086" s="14">
        <v>12.92012902</v>
      </c>
      <c r="K2086" s="14">
        <v>19.90825469</v>
      </c>
      <c r="L2086" s="14">
        <v>18.77756824</v>
      </c>
      <c r="M2086" s="14">
        <v>4.133546958</v>
      </c>
      <c r="N2086" s="14">
        <v>4.693289331</v>
      </c>
      <c r="O2086" s="14">
        <v>12.59636278</v>
      </c>
      <c r="P2086" s="14" t="s">
        <v>10252</v>
      </c>
      <c r="Q2086" s="14" t="s">
        <v>10253</v>
      </c>
    </row>
    <row r="2087" spans="1:21">
      <c r="A2087" s="14" t="s">
        <v>10254</v>
      </c>
      <c r="B2087" s="14">
        <v>97.79103249</v>
      </c>
      <c r="C2087" s="14">
        <v>8.808630488</v>
      </c>
      <c r="D2087" s="14">
        <v>186.7734345</v>
      </c>
      <c r="E2087" s="14">
        <v>21.23413296</v>
      </c>
      <c r="F2087" s="14">
        <v>4.408313296</v>
      </c>
      <c r="G2087" s="51" t="s">
        <v>7989</v>
      </c>
      <c r="H2087" s="51" t="s">
        <v>10255</v>
      </c>
      <c r="I2087" s="14" t="s">
        <v>164</v>
      </c>
      <c r="J2087" s="14">
        <v>7.710752098</v>
      </c>
      <c r="K2087" s="14">
        <v>0.960532463</v>
      </c>
      <c r="L2087" s="14">
        <v>2.113350821</v>
      </c>
      <c r="M2087" s="14">
        <v>0.081649488</v>
      </c>
      <c r="N2087" s="14">
        <v>0.266332167</v>
      </c>
      <c r="O2087" s="14">
        <v>0.063907592</v>
      </c>
      <c r="P2087" s="14" t="s">
        <v>10256</v>
      </c>
      <c r="Q2087" s="14" t="s">
        <v>10257</v>
      </c>
      <c r="R2087" s="14" t="s">
        <v>556</v>
      </c>
      <c r="S2087" s="14" t="s">
        <v>557</v>
      </c>
      <c r="T2087" s="14" t="s">
        <v>4520</v>
      </c>
      <c r="U2087" s="14" t="s">
        <v>4521</v>
      </c>
    </row>
    <row r="2088" spans="1:21">
      <c r="A2088" s="14" t="s">
        <v>10258</v>
      </c>
      <c r="B2088" s="14">
        <v>32.34155662</v>
      </c>
      <c r="C2088" s="14">
        <v>16.22247339</v>
      </c>
      <c r="D2088" s="14">
        <v>48.46063984</v>
      </c>
      <c r="E2088" s="14">
        <v>2.983232818</v>
      </c>
      <c r="F2088" s="14">
        <v>1.576876573</v>
      </c>
      <c r="G2088" s="14">
        <v>0.019481775</v>
      </c>
      <c r="H2088" s="14">
        <v>0.047548055</v>
      </c>
      <c r="I2088" s="14" t="s">
        <v>164</v>
      </c>
      <c r="J2088" s="14">
        <v>0.510206082</v>
      </c>
      <c r="K2088" s="14">
        <v>0.413335191</v>
      </c>
      <c r="L2088" s="14">
        <v>0.910612795</v>
      </c>
      <c r="M2088" s="14">
        <v>0.181000087</v>
      </c>
      <c r="N2088" s="14">
        <v>0.061287563</v>
      </c>
      <c r="O2088" s="14">
        <v>0.27083963</v>
      </c>
      <c r="P2088" s="14" t="s">
        <v>10259</v>
      </c>
      <c r="Q2088" s="14" t="s">
        <v>5227</v>
      </c>
      <c r="T2088" s="14" t="s">
        <v>10260</v>
      </c>
      <c r="U2088" s="14" t="s">
        <v>10261</v>
      </c>
    </row>
    <row r="2089" spans="1:21">
      <c r="A2089" s="14" t="s">
        <v>10262</v>
      </c>
      <c r="B2089" s="14">
        <v>11352.99245</v>
      </c>
      <c r="C2089" s="14">
        <v>18672.75501</v>
      </c>
      <c r="D2089" s="14">
        <v>4033.229885</v>
      </c>
      <c r="E2089" s="14">
        <v>0.215996731</v>
      </c>
      <c r="F2089" s="14">
        <v>-2.210918619</v>
      </c>
      <c r="G2089" s="51" t="s">
        <v>10263</v>
      </c>
      <c r="H2089" s="51" t="s">
        <v>4306</v>
      </c>
      <c r="I2089" s="14" t="s">
        <v>147</v>
      </c>
      <c r="J2089" s="14">
        <v>30.6824418</v>
      </c>
      <c r="K2089" s="14">
        <v>40.47794328</v>
      </c>
      <c r="L2089" s="14">
        <v>31.79258348</v>
      </c>
      <c r="M2089" s="14">
        <v>158.6797178</v>
      </c>
      <c r="N2089" s="14">
        <v>167.3926931</v>
      </c>
      <c r="O2089" s="14">
        <v>57.63245046</v>
      </c>
      <c r="P2089" s="14" t="s">
        <v>3695</v>
      </c>
      <c r="Q2089" s="14" t="s">
        <v>10264</v>
      </c>
      <c r="R2089" s="14" t="s">
        <v>565</v>
      </c>
      <c r="S2089" s="14" t="s">
        <v>566</v>
      </c>
      <c r="T2089" s="14" t="s">
        <v>10265</v>
      </c>
      <c r="U2089" s="14" t="s">
        <v>10266</v>
      </c>
    </row>
    <row r="2090" spans="1:21">
      <c r="A2090" s="14" t="s">
        <v>10267</v>
      </c>
      <c r="B2090" s="14">
        <v>389.5963222</v>
      </c>
      <c r="C2090" s="14">
        <v>255.8343306</v>
      </c>
      <c r="D2090" s="14">
        <v>523.3583139</v>
      </c>
      <c r="E2090" s="14">
        <v>2.043475106</v>
      </c>
      <c r="F2090" s="14">
        <v>1.031024669</v>
      </c>
      <c r="G2090" s="14">
        <v>0.00012396</v>
      </c>
      <c r="H2090" s="14">
        <v>0.000574575</v>
      </c>
      <c r="I2090" s="14" t="s">
        <v>164</v>
      </c>
      <c r="J2090" s="14">
        <v>3.014499264</v>
      </c>
      <c r="K2090" s="14">
        <v>2.502251551</v>
      </c>
      <c r="L2090" s="14">
        <v>3.037509335</v>
      </c>
      <c r="M2090" s="14">
        <v>0.812052538</v>
      </c>
      <c r="N2090" s="14">
        <v>1.035806324</v>
      </c>
      <c r="O2090" s="14">
        <v>1.647681739</v>
      </c>
      <c r="P2090" s="14" t="s">
        <v>10268</v>
      </c>
      <c r="Q2090" s="14" t="s">
        <v>10269</v>
      </c>
      <c r="T2090" s="14" t="s">
        <v>10270</v>
      </c>
      <c r="U2090" s="14" t="s">
        <v>10271</v>
      </c>
    </row>
    <row r="2091" spans="1:21">
      <c r="A2091" s="14" t="s">
        <v>10272</v>
      </c>
      <c r="B2091" s="14">
        <v>14.57249633</v>
      </c>
      <c r="C2091" s="14">
        <v>1.326052473</v>
      </c>
      <c r="D2091" s="14">
        <v>27.81894018</v>
      </c>
      <c r="E2091" s="14">
        <v>20.82950979</v>
      </c>
      <c r="F2091" s="14">
        <v>4.380556981</v>
      </c>
      <c r="G2091" s="51" t="s">
        <v>10273</v>
      </c>
      <c r="H2091" s="14">
        <v>0.000164651</v>
      </c>
      <c r="I2091" s="14" t="s">
        <v>164</v>
      </c>
      <c r="J2091" s="14">
        <v>0.577352106</v>
      </c>
      <c r="K2091" s="14">
        <v>0.48426845</v>
      </c>
      <c r="L2091" s="14">
        <v>0.972830514</v>
      </c>
      <c r="M2091" s="14">
        <v>0</v>
      </c>
      <c r="N2091" s="14">
        <v>0.059239324</v>
      </c>
      <c r="O2091" s="14">
        <v>0.020137549</v>
      </c>
      <c r="P2091" s="14" t="s">
        <v>10274</v>
      </c>
      <c r="Q2091" s="14" t="s">
        <v>10275</v>
      </c>
      <c r="T2091" s="14" t="s">
        <v>10276</v>
      </c>
      <c r="U2091" s="14" t="s">
        <v>10277</v>
      </c>
    </row>
    <row r="2092" spans="1:21">
      <c r="A2092" s="14" t="s">
        <v>10278</v>
      </c>
      <c r="B2092" s="14">
        <v>13.50435306</v>
      </c>
      <c r="C2092" s="14">
        <v>1.717847746</v>
      </c>
      <c r="D2092" s="14">
        <v>25.29085837</v>
      </c>
      <c r="E2092" s="14">
        <v>14.8577183</v>
      </c>
      <c r="F2092" s="14">
        <v>3.893140673</v>
      </c>
      <c r="G2092" s="14">
        <v>0.002042001</v>
      </c>
      <c r="H2092" s="14">
        <v>0.006833396</v>
      </c>
      <c r="I2092" s="14" t="s">
        <v>164</v>
      </c>
      <c r="J2092" s="14">
        <v>0.937151245</v>
      </c>
      <c r="K2092" s="14">
        <v>0.231005074</v>
      </c>
      <c r="L2092" s="14">
        <v>0.294640179</v>
      </c>
      <c r="M2092" s="14">
        <v>0.016363707</v>
      </c>
      <c r="N2092" s="14">
        <v>0.062796136</v>
      </c>
      <c r="O2092" s="14">
        <v>0</v>
      </c>
      <c r="P2092" s="14" t="s">
        <v>6917</v>
      </c>
      <c r="Q2092" s="14" t="s">
        <v>6918</v>
      </c>
      <c r="T2092" s="14" t="s">
        <v>6919</v>
      </c>
      <c r="U2092" s="14" t="s">
        <v>6920</v>
      </c>
    </row>
    <row r="2093" spans="1:21">
      <c r="A2093" s="14" t="s">
        <v>10279</v>
      </c>
      <c r="B2093" s="14">
        <v>2482.489371</v>
      </c>
      <c r="C2093" s="14">
        <v>3643.792639</v>
      </c>
      <c r="D2093" s="14">
        <v>1321.186103</v>
      </c>
      <c r="E2093" s="14">
        <v>0.362629817</v>
      </c>
      <c r="F2093" s="14">
        <v>-1.463430542</v>
      </c>
      <c r="G2093" s="51" t="s">
        <v>10280</v>
      </c>
      <c r="H2093" s="51" t="s">
        <v>10281</v>
      </c>
      <c r="I2093" s="14" t="s">
        <v>147</v>
      </c>
      <c r="J2093" s="14">
        <v>9.421116113</v>
      </c>
      <c r="K2093" s="14">
        <v>9.241129468</v>
      </c>
      <c r="L2093" s="14">
        <v>9.580729625</v>
      </c>
      <c r="M2093" s="14">
        <v>22.72682624</v>
      </c>
      <c r="N2093" s="14">
        <v>22.08174087</v>
      </c>
      <c r="O2093" s="14">
        <v>18.90966585</v>
      </c>
      <c r="P2093" s="14" t="s">
        <v>7729</v>
      </c>
      <c r="Q2093" s="14" t="s">
        <v>7730</v>
      </c>
      <c r="R2093" s="14" t="s">
        <v>771</v>
      </c>
      <c r="S2093" s="14" t="s">
        <v>772</v>
      </c>
      <c r="T2093" s="14" t="s">
        <v>7731</v>
      </c>
      <c r="U2093" s="14" t="s">
        <v>7732</v>
      </c>
    </row>
    <row r="2094" spans="1:21">
      <c r="A2094" s="14" t="s">
        <v>10282</v>
      </c>
      <c r="B2094" s="14">
        <v>981.9480423</v>
      </c>
      <c r="C2094" s="14">
        <v>1679.918661</v>
      </c>
      <c r="D2094" s="14">
        <v>283.9774237</v>
      </c>
      <c r="E2094" s="14">
        <v>0.16905252</v>
      </c>
      <c r="F2094" s="14">
        <v>-2.564456574</v>
      </c>
      <c r="G2094" s="51" t="s">
        <v>10283</v>
      </c>
      <c r="H2094" s="51" t="s">
        <v>10284</v>
      </c>
      <c r="I2094" s="14" t="s">
        <v>147</v>
      </c>
      <c r="J2094" s="14">
        <v>10.80401507</v>
      </c>
      <c r="K2094" s="14">
        <v>12.77458062</v>
      </c>
      <c r="L2094" s="14">
        <v>10.94404116</v>
      </c>
      <c r="M2094" s="14">
        <v>68.52138637</v>
      </c>
      <c r="N2094" s="14">
        <v>70.68333116</v>
      </c>
      <c r="O2094" s="14">
        <v>25.18209214</v>
      </c>
      <c r="P2094" s="14" t="s">
        <v>10285</v>
      </c>
      <c r="Q2094" s="14" t="s">
        <v>10286</v>
      </c>
      <c r="T2094" s="14" t="s">
        <v>10287</v>
      </c>
      <c r="U2094" s="14" t="s">
        <v>10288</v>
      </c>
    </row>
    <row r="2095" spans="1:21">
      <c r="A2095" s="14" t="s">
        <v>10289</v>
      </c>
      <c r="B2095" s="14">
        <v>1454.970704</v>
      </c>
      <c r="C2095" s="14">
        <v>865.9522483</v>
      </c>
      <c r="D2095" s="14">
        <v>2043.98916</v>
      </c>
      <c r="E2095" s="14">
        <v>2.359485309</v>
      </c>
      <c r="F2095" s="14">
        <v>1.238472189</v>
      </c>
      <c r="G2095" s="51" t="s">
        <v>10290</v>
      </c>
      <c r="H2095" s="51" t="s">
        <v>782</v>
      </c>
      <c r="I2095" s="14" t="s">
        <v>164</v>
      </c>
      <c r="J2095" s="14">
        <v>15.4973973</v>
      </c>
      <c r="K2095" s="14">
        <v>15.19058179</v>
      </c>
      <c r="L2095" s="14">
        <v>17.60876005</v>
      </c>
      <c r="M2095" s="14">
        <v>4.24196996</v>
      </c>
      <c r="N2095" s="14">
        <v>4.760742029</v>
      </c>
      <c r="O2095" s="14">
        <v>8.098251462</v>
      </c>
      <c r="P2095" s="14" t="s">
        <v>10291</v>
      </c>
      <c r="Q2095" s="14" t="s">
        <v>10292</v>
      </c>
      <c r="T2095" s="14" t="s">
        <v>2621</v>
      </c>
      <c r="U2095" s="14" t="s">
        <v>2622</v>
      </c>
    </row>
    <row r="2096" spans="1:21">
      <c r="A2096" s="14" t="s">
        <v>10293</v>
      </c>
      <c r="B2096" s="14">
        <v>12112.63782</v>
      </c>
      <c r="C2096" s="14">
        <v>16715.57202</v>
      </c>
      <c r="D2096" s="14">
        <v>7509.703626</v>
      </c>
      <c r="E2096" s="14">
        <v>0.44925463</v>
      </c>
      <c r="F2096" s="14">
        <v>-1.154394722</v>
      </c>
      <c r="G2096" s="51" t="s">
        <v>10294</v>
      </c>
      <c r="H2096" s="51" t="s">
        <v>10295</v>
      </c>
      <c r="I2096" s="14" t="s">
        <v>147</v>
      </c>
      <c r="J2096" s="14">
        <v>146.5914619</v>
      </c>
      <c r="K2096" s="14">
        <v>115.1978137</v>
      </c>
      <c r="L2096" s="14">
        <v>115.2765485</v>
      </c>
      <c r="M2096" s="14">
        <v>216.7053052</v>
      </c>
      <c r="N2096" s="14">
        <v>206.4463853</v>
      </c>
      <c r="O2096" s="14">
        <v>271.6482282</v>
      </c>
      <c r="P2096" s="14" t="s">
        <v>10296</v>
      </c>
      <c r="Q2096" s="14" t="s">
        <v>10297</v>
      </c>
      <c r="R2096" s="14" t="s">
        <v>5864</v>
      </c>
      <c r="S2096" s="14" t="s">
        <v>5865</v>
      </c>
      <c r="T2096" s="14" t="s">
        <v>10298</v>
      </c>
      <c r="U2096" s="14" t="s">
        <v>10299</v>
      </c>
    </row>
    <row r="2097" spans="1:21">
      <c r="A2097" s="14" t="s">
        <v>10300</v>
      </c>
      <c r="B2097" s="14">
        <v>102.9410281</v>
      </c>
      <c r="C2097" s="14">
        <v>201.7129251</v>
      </c>
      <c r="D2097" s="14">
        <v>4.169130995</v>
      </c>
      <c r="E2097" s="14">
        <v>0.020811818</v>
      </c>
      <c r="F2097" s="14">
        <v>-5.586453169</v>
      </c>
      <c r="G2097" s="51" t="s">
        <v>10301</v>
      </c>
      <c r="H2097" s="51" t="s">
        <v>10302</v>
      </c>
      <c r="I2097" s="14" t="s">
        <v>147</v>
      </c>
      <c r="J2097" s="14">
        <v>0.130311447</v>
      </c>
      <c r="K2097" s="14">
        <v>0.087441576</v>
      </c>
      <c r="L2097" s="14">
        <v>0.334587476</v>
      </c>
      <c r="M2097" s="14">
        <v>10.29459269</v>
      </c>
      <c r="N2097" s="14">
        <v>8.949409099</v>
      </c>
      <c r="O2097" s="14">
        <v>1.927144467</v>
      </c>
      <c r="Q2097" s="14" t="s">
        <v>10303</v>
      </c>
      <c r="T2097" s="14" t="s">
        <v>10304</v>
      </c>
      <c r="U2097" s="14" t="s">
        <v>10305</v>
      </c>
    </row>
    <row r="2098" spans="1:15">
      <c r="A2098" s="14" t="s">
        <v>10306</v>
      </c>
      <c r="B2098" s="14">
        <v>3.363819109</v>
      </c>
      <c r="C2098" s="14">
        <v>0</v>
      </c>
      <c r="D2098" s="14">
        <v>6.727638218</v>
      </c>
      <c r="E2098" s="14">
        <v>36.33157668</v>
      </c>
      <c r="F2098" s="14">
        <v>5.183152071</v>
      </c>
      <c r="G2098" s="14">
        <v>0.015092842</v>
      </c>
      <c r="H2098" s="14">
        <v>0.038275739</v>
      </c>
      <c r="I2098" s="14" t="s">
        <v>164</v>
      </c>
      <c r="J2098" s="14">
        <v>0.427448346</v>
      </c>
      <c r="K2098" s="14">
        <v>0.143413176</v>
      </c>
      <c r="L2098" s="14">
        <v>0.891731532</v>
      </c>
      <c r="M2098" s="14">
        <v>0</v>
      </c>
      <c r="N2098" s="14">
        <v>0</v>
      </c>
      <c r="O2098" s="14">
        <v>0</v>
      </c>
    </row>
    <row r="2099" spans="1:21">
      <c r="A2099" s="14" t="s">
        <v>10307</v>
      </c>
      <c r="B2099" s="14">
        <v>851.1515763</v>
      </c>
      <c r="C2099" s="14">
        <v>1299.939088</v>
      </c>
      <c r="D2099" s="14">
        <v>402.3640648</v>
      </c>
      <c r="E2099" s="14">
        <v>0.309557971</v>
      </c>
      <c r="F2099" s="14">
        <v>-1.691718486</v>
      </c>
      <c r="G2099" s="51" t="s">
        <v>10308</v>
      </c>
      <c r="H2099" s="51" t="s">
        <v>10309</v>
      </c>
      <c r="I2099" s="14" t="s">
        <v>147</v>
      </c>
      <c r="J2099" s="14">
        <v>4.244419884</v>
      </c>
      <c r="K2099" s="14">
        <v>5.112927997</v>
      </c>
      <c r="L2099" s="14">
        <v>4.391068798</v>
      </c>
      <c r="M2099" s="14">
        <v>13.45394655</v>
      </c>
      <c r="N2099" s="14">
        <v>11.85114649</v>
      </c>
      <c r="O2099" s="14">
        <v>11.07478227</v>
      </c>
      <c r="P2099" s="14" t="s">
        <v>10310</v>
      </c>
      <c r="Q2099" s="14" t="s">
        <v>10311</v>
      </c>
      <c r="T2099" s="14" t="s">
        <v>10312</v>
      </c>
      <c r="U2099" s="14" t="s">
        <v>10313</v>
      </c>
    </row>
    <row r="2100" spans="1:15">
      <c r="A2100" s="14" t="s">
        <v>10314</v>
      </c>
      <c r="B2100" s="14">
        <v>58.06648288</v>
      </c>
      <c r="C2100" s="14">
        <v>27.52901765</v>
      </c>
      <c r="D2100" s="14">
        <v>88.60394812</v>
      </c>
      <c r="E2100" s="14">
        <v>3.23323769</v>
      </c>
      <c r="F2100" s="14">
        <v>1.69297957</v>
      </c>
      <c r="G2100" s="14">
        <v>0.001197045</v>
      </c>
      <c r="H2100" s="14">
        <v>0.00428861</v>
      </c>
      <c r="I2100" s="14" t="s">
        <v>164</v>
      </c>
      <c r="J2100" s="14">
        <v>2.079058225</v>
      </c>
      <c r="K2100" s="14">
        <v>2.211533874</v>
      </c>
      <c r="L2100" s="14">
        <v>2.047315951</v>
      </c>
      <c r="M2100" s="14">
        <v>0.8894156</v>
      </c>
      <c r="N2100" s="14">
        <v>0.310286792</v>
      </c>
      <c r="O2100" s="14">
        <v>0.395540597</v>
      </c>
    </row>
    <row r="2101" spans="1:21">
      <c r="A2101" s="14" t="s">
        <v>10315</v>
      </c>
      <c r="B2101" s="14">
        <v>3482.121653</v>
      </c>
      <c r="C2101" s="14">
        <v>5175.970988</v>
      </c>
      <c r="D2101" s="14">
        <v>1788.272319</v>
      </c>
      <c r="E2101" s="14">
        <v>0.345493657</v>
      </c>
      <c r="F2101" s="14">
        <v>-1.533268869</v>
      </c>
      <c r="G2101" s="51" t="s">
        <v>10316</v>
      </c>
      <c r="H2101" s="51" t="s">
        <v>10317</v>
      </c>
      <c r="I2101" s="14" t="s">
        <v>147</v>
      </c>
      <c r="J2101" s="14">
        <v>27.50993338</v>
      </c>
      <c r="K2101" s="14">
        <v>33.53549469</v>
      </c>
      <c r="L2101" s="14">
        <v>23.37611897</v>
      </c>
      <c r="M2101" s="14">
        <v>76.08896932</v>
      </c>
      <c r="N2101" s="14">
        <v>68.46156848</v>
      </c>
      <c r="O2101" s="14">
        <v>55.12737328</v>
      </c>
      <c r="P2101" s="14" t="s">
        <v>10318</v>
      </c>
      <c r="Q2101" s="14" t="s">
        <v>10319</v>
      </c>
      <c r="T2101" s="14" t="s">
        <v>10320</v>
      </c>
      <c r="U2101" s="14" t="s">
        <v>10321</v>
      </c>
    </row>
    <row r="2102" spans="1:21">
      <c r="A2102" s="14" t="s">
        <v>10322</v>
      </c>
      <c r="B2102" s="14">
        <v>146.3275648</v>
      </c>
      <c r="C2102" s="14">
        <v>63.26053304</v>
      </c>
      <c r="D2102" s="14">
        <v>229.3945966</v>
      </c>
      <c r="E2102" s="14">
        <v>3.633547667</v>
      </c>
      <c r="F2102" s="14">
        <v>1.861378832</v>
      </c>
      <c r="G2102" s="14">
        <v>0.00014048</v>
      </c>
      <c r="H2102" s="14">
        <v>0.000642129</v>
      </c>
      <c r="I2102" s="14" t="s">
        <v>164</v>
      </c>
      <c r="J2102" s="14">
        <v>2.458402518</v>
      </c>
      <c r="K2102" s="14">
        <v>4.074103608</v>
      </c>
      <c r="L2102" s="14">
        <v>2.068198819</v>
      </c>
      <c r="M2102" s="14">
        <v>0.924219528</v>
      </c>
      <c r="N2102" s="14">
        <v>0.611502699</v>
      </c>
      <c r="O2102" s="14">
        <v>0.384562219</v>
      </c>
      <c r="P2102" s="14" t="s">
        <v>10323</v>
      </c>
      <c r="Q2102" s="14" t="s">
        <v>10324</v>
      </c>
      <c r="T2102" s="14" t="s">
        <v>10325</v>
      </c>
      <c r="U2102" s="14" t="s">
        <v>10326</v>
      </c>
    </row>
    <row r="2103" spans="1:21">
      <c r="A2103" s="14" t="s">
        <v>10327</v>
      </c>
      <c r="B2103" s="14">
        <v>358.3631915</v>
      </c>
      <c r="C2103" s="14">
        <v>200.0097255</v>
      </c>
      <c r="D2103" s="14">
        <v>516.7166575</v>
      </c>
      <c r="E2103" s="14">
        <v>2.580479782</v>
      </c>
      <c r="F2103" s="14">
        <v>1.367639327</v>
      </c>
      <c r="G2103" s="14">
        <v>0.000221682</v>
      </c>
      <c r="H2103" s="14">
        <v>0.000961954</v>
      </c>
      <c r="I2103" s="14" t="s">
        <v>164</v>
      </c>
      <c r="J2103" s="14">
        <v>3.318455251</v>
      </c>
      <c r="K2103" s="14">
        <v>3.097901574</v>
      </c>
      <c r="L2103" s="14">
        <v>3.500055669</v>
      </c>
      <c r="M2103" s="14">
        <v>0.715231603</v>
      </c>
      <c r="N2103" s="14">
        <v>0.727766467</v>
      </c>
      <c r="O2103" s="14">
        <v>1.797138162</v>
      </c>
      <c r="P2103" s="14" t="s">
        <v>10328</v>
      </c>
      <c r="Q2103" s="14" t="s">
        <v>10329</v>
      </c>
      <c r="T2103" s="14" t="s">
        <v>10330</v>
      </c>
      <c r="U2103" s="14" t="s">
        <v>10331</v>
      </c>
    </row>
    <row r="2104" spans="1:21">
      <c r="A2104" s="14" t="s">
        <v>10332</v>
      </c>
      <c r="B2104" s="14">
        <v>312.7211826</v>
      </c>
      <c r="C2104" s="14">
        <v>549.0952594</v>
      </c>
      <c r="D2104" s="14">
        <v>76.34710575</v>
      </c>
      <c r="E2104" s="14">
        <v>0.139006567</v>
      </c>
      <c r="F2104" s="14">
        <v>-2.846775057</v>
      </c>
      <c r="G2104" s="51" t="s">
        <v>9754</v>
      </c>
      <c r="H2104" s="51" t="s">
        <v>6206</v>
      </c>
      <c r="I2104" s="14" t="s">
        <v>147</v>
      </c>
      <c r="J2104" s="14">
        <v>1.603493401</v>
      </c>
      <c r="K2104" s="14">
        <v>0.896646669</v>
      </c>
      <c r="L2104" s="14">
        <v>1.247614318</v>
      </c>
      <c r="M2104" s="14">
        <v>4.670140747</v>
      </c>
      <c r="N2104" s="14">
        <v>4.799527792</v>
      </c>
      <c r="O2104" s="14">
        <v>13.36860179</v>
      </c>
      <c r="P2104" s="14" t="s">
        <v>10333</v>
      </c>
      <c r="Q2104" s="14" t="s">
        <v>10334</v>
      </c>
      <c r="T2104" s="14" t="s">
        <v>10335</v>
      </c>
      <c r="U2104" s="14" t="s">
        <v>10336</v>
      </c>
    </row>
    <row r="2105" spans="1:21">
      <c r="A2105" s="14" t="s">
        <v>10337</v>
      </c>
      <c r="B2105" s="14">
        <v>1147.655658</v>
      </c>
      <c r="C2105" s="14">
        <v>574.6023676</v>
      </c>
      <c r="D2105" s="14">
        <v>1720.708949</v>
      </c>
      <c r="E2105" s="14">
        <v>2.996655039</v>
      </c>
      <c r="F2105" s="14">
        <v>1.583353017</v>
      </c>
      <c r="G2105" s="51" t="s">
        <v>10338</v>
      </c>
      <c r="H2105" s="51" t="s">
        <v>10339</v>
      </c>
      <c r="I2105" s="14" t="s">
        <v>164</v>
      </c>
      <c r="J2105" s="14">
        <v>61.57150067</v>
      </c>
      <c r="K2105" s="14">
        <v>68.73570308</v>
      </c>
      <c r="L2105" s="14">
        <v>68.65633623</v>
      </c>
      <c r="M2105" s="14">
        <v>19.10598021</v>
      </c>
      <c r="N2105" s="14">
        <v>17.51525666</v>
      </c>
      <c r="O2105" s="14">
        <v>17.92607967</v>
      </c>
      <c r="P2105" s="14" t="s">
        <v>7572</v>
      </c>
      <c r="Q2105" s="14" t="s">
        <v>7573</v>
      </c>
      <c r="T2105" s="14" t="s">
        <v>10340</v>
      </c>
      <c r="U2105" s="14" t="s">
        <v>10341</v>
      </c>
    </row>
    <row r="2106" spans="1:21">
      <c r="A2106" s="14" t="s">
        <v>10342</v>
      </c>
      <c r="B2106" s="14">
        <v>5809.547408</v>
      </c>
      <c r="C2106" s="14">
        <v>8083.33679</v>
      </c>
      <c r="D2106" s="14">
        <v>3535.758025</v>
      </c>
      <c r="E2106" s="14">
        <v>0.437420934</v>
      </c>
      <c r="F2106" s="14">
        <v>-1.192905828</v>
      </c>
      <c r="G2106" s="51" t="s">
        <v>10343</v>
      </c>
      <c r="H2106" s="51" t="s">
        <v>10344</v>
      </c>
      <c r="I2106" s="14" t="s">
        <v>147</v>
      </c>
      <c r="J2106" s="14">
        <v>58.42656221</v>
      </c>
      <c r="K2106" s="14">
        <v>71.01386583</v>
      </c>
      <c r="L2106" s="14">
        <v>59.45118638</v>
      </c>
      <c r="M2106" s="14">
        <v>125.9553086</v>
      </c>
      <c r="N2106" s="14">
        <v>120.3175574</v>
      </c>
      <c r="O2106" s="14">
        <v>107.5699108</v>
      </c>
      <c r="P2106" s="14" t="s">
        <v>10345</v>
      </c>
      <c r="Q2106" s="14" t="s">
        <v>10346</v>
      </c>
      <c r="T2106" s="14" t="s">
        <v>10347</v>
      </c>
      <c r="U2106" s="14" t="s">
        <v>10348</v>
      </c>
    </row>
    <row r="2107" spans="1:21">
      <c r="A2107" s="14" t="s">
        <v>10349</v>
      </c>
      <c r="B2107" s="14">
        <v>4802.99573</v>
      </c>
      <c r="C2107" s="14">
        <v>6938.414182</v>
      </c>
      <c r="D2107" s="14">
        <v>2667.577278</v>
      </c>
      <c r="E2107" s="14">
        <v>0.384473782</v>
      </c>
      <c r="F2107" s="14">
        <v>-1.379042872</v>
      </c>
      <c r="G2107" s="51" t="s">
        <v>8450</v>
      </c>
      <c r="H2107" s="14">
        <v>0.000282051</v>
      </c>
      <c r="I2107" s="14" t="s">
        <v>147</v>
      </c>
      <c r="J2107" s="14">
        <v>19.7119704</v>
      </c>
      <c r="K2107" s="14">
        <v>25.14181982</v>
      </c>
      <c r="L2107" s="14">
        <v>20.25325379</v>
      </c>
      <c r="M2107" s="14">
        <v>54.71612598</v>
      </c>
      <c r="N2107" s="14">
        <v>54.9100949</v>
      </c>
      <c r="O2107" s="14">
        <v>27.4654596</v>
      </c>
      <c r="P2107" s="14" t="s">
        <v>9741</v>
      </c>
      <c r="Q2107" s="14" t="s">
        <v>9742</v>
      </c>
      <c r="T2107" s="14" t="s">
        <v>9743</v>
      </c>
      <c r="U2107" s="14" t="s">
        <v>9744</v>
      </c>
    </row>
    <row r="2108" spans="1:21">
      <c r="A2108" s="14" t="s">
        <v>10350</v>
      </c>
      <c r="B2108" s="14">
        <v>931.8947936</v>
      </c>
      <c r="C2108" s="14">
        <v>1523.048627</v>
      </c>
      <c r="D2108" s="14">
        <v>340.7409606</v>
      </c>
      <c r="E2108" s="14">
        <v>0.223746339</v>
      </c>
      <c r="F2108" s="14">
        <v>-2.160064019</v>
      </c>
      <c r="G2108" s="51" t="s">
        <v>10351</v>
      </c>
      <c r="H2108" s="51" t="s">
        <v>10352</v>
      </c>
      <c r="I2108" s="14" t="s">
        <v>147</v>
      </c>
      <c r="J2108" s="14">
        <v>2.142378886</v>
      </c>
      <c r="K2108" s="14">
        <v>2.083885371</v>
      </c>
      <c r="L2108" s="14">
        <v>1.96456029</v>
      </c>
      <c r="M2108" s="14">
        <v>8.441078958</v>
      </c>
      <c r="N2108" s="14">
        <v>8.792767919</v>
      </c>
      <c r="O2108" s="14">
        <v>5.249542348</v>
      </c>
      <c r="P2108" s="14" t="s">
        <v>10353</v>
      </c>
      <c r="Q2108" s="14" t="s">
        <v>10354</v>
      </c>
      <c r="T2108" s="14" t="s">
        <v>10355</v>
      </c>
      <c r="U2108" s="14" t="s">
        <v>10356</v>
      </c>
    </row>
    <row r="2109" spans="1:15">
      <c r="A2109" s="14" t="s">
        <v>10357</v>
      </c>
      <c r="B2109" s="14">
        <v>6105.819729</v>
      </c>
      <c r="C2109" s="14">
        <v>8616.988585</v>
      </c>
      <c r="D2109" s="14">
        <v>3594.650872</v>
      </c>
      <c r="E2109" s="14">
        <v>0.417173759</v>
      </c>
      <c r="F2109" s="14">
        <v>-1.261279681</v>
      </c>
      <c r="G2109" s="51" t="s">
        <v>3195</v>
      </c>
      <c r="H2109" s="51" t="s">
        <v>3196</v>
      </c>
      <c r="I2109" s="14" t="s">
        <v>147</v>
      </c>
      <c r="J2109" s="14">
        <v>83.58914521</v>
      </c>
      <c r="K2109" s="14">
        <v>74.18213031</v>
      </c>
      <c r="L2109" s="14">
        <v>75.73362923</v>
      </c>
      <c r="M2109" s="14">
        <v>168.5280318</v>
      </c>
      <c r="N2109" s="14">
        <v>163.9539077</v>
      </c>
      <c r="O2109" s="14">
        <v>124.1440596</v>
      </c>
    </row>
    <row r="2110" spans="1:21">
      <c r="A2110" s="14" t="s">
        <v>10358</v>
      </c>
      <c r="B2110" s="14">
        <v>503.7167216</v>
      </c>
      <c r="C2110" s="14">
        <v>323.1956583</v>
      </c>
      <c r="D2110" s="14">
        <v>684.2377849</v>
      </c>
      <c r="E2110" s="14">
        <v>2.117618854</v>
      </c>
      <c r="F2110" s="14">
        <v>1.082442945</v>
      </c>
      <c r="G2110" s="51" t="s">
        <v>10359</v>
      </c>
      <c r="H2110" s="51" t="s">
        <v>10360</v>
      </c>
      <c r="I2110" s="14" t="s">
        <v>164</v>
      </c>
      <c r="J2110" s="14">
        <v>21.15985048</v>
      </c>
      <c r="K2110" s="14">
        <v>15.63365411</v>
      </c>
      <c r="L2110" s="14">
        <v>15.00336446</v>
      </c>
      <c r="M2110" s="14">
        <v>6.16315096</v>
      </c>
      <c r="N2110" s="14">
        <v>7.94534067</v>
      </c>
      <c r="O2110" s="14">
        <v>5.946174653</v>
      </c>
      <c r="P2110" s="14" t="s">
        <v>10361</v>
      </c>
      <c r="Q2110" s="14" t="s">
        <v>10362</v>
      </c>
      <c r="R2110" s="14" t="s">
        <v>6666</v>
      </c>
      <c r="S2110" s="14" t="s">
        <v>6667</v>
      </c>
      <c r="T2110" s="14" t="s">
        <v>10363</v>
      </c>
      <c r="U2110" s="14" t="s">
        <v>10364</v>
      </c>
    </row>
    <row r="2111" spans="1:21">
      <c r="A2111" s="14" t="s">
        <v>10365</v>
      </c>
      <c r="B2111" s="14">
        <v>134.6813302</v>
      </c>
      <c r="C2111" s="14">
        <v>29.46161951</v>
      </c>
      <c r="D2111" s="14">
        <v>239.9010409</v>
      </c>
      <c r="E2111" s="14">
        <v>8.159690252</v>
      </c>
      <c r="F2111" s="14">
        <v>3.028514387</v>
      </c>
      <c r="G2111" s="51" t="s">
        <v>10366</v>
      </c>
      <c r="H2111" s="51" t="s">
        <v>3605</v>
      </c>
      <c r="I2111" s="14" t="s">
        <v>164</v>
      </c>
      <c r="J2111" s="14">
        <v>6.717656532</v>
      </c>
      <c r="K2111" s="14">
        <v>2.564002209</v>
      </c>
      <c r="L2111" s="14">
        <v>5.67688792</v>
      </c>
      <c r="M2111" s="14">
        <v>0.527301957</v>
      </c>
      <c r="N2111" s="14">
        <v>0.55647199</v>
      </c>
      <c r="O2111" s="14">
        <v>0.412722717</v>
      </c>
      <c r="P2111" s="14" t="s">
        <v>10367</v>
      </c>
      <c r="Q2111" s="14" t="s">
        <v>10368</v>
      </c>
      <c r="T2111" s="14" t="s">
        <v>10369</v>
      </c>
      <c r="U2111" s="14" t="s">
        <v>10370</v>
      </c>
    </row>
    <row r="2112" spans="1:21">
      <c r="A2112" s="14" t="s">
        <v>10371</v>
      </c>
      <c r="B2112" s="14">
        <v>149.654785</v>
      </c>
      <c r="C2112" s="14">
        <v>85.78172658</v>
      </c>
      <c r="D2112" s="14">
        <v>213.5278435</v>
      </c>
      <c r="E2112" s="14">
        <v>2.482481365</v>
      </c>
      <c r="F2112" s="14">
        <v>1.311782888</v>
      </c>
      <c r="G2112" s="51" t="s">
        <v>10372</v>
      </c>
      <c r="H2112" s="51" t="s">
        <v>10373</v>
      </c>
      <c r="I2112" s="14" t="s">
        <v>164</v>
      </c>
      <c r="J2112" s="14">
        <v>1.859608945</v>
      </c>
      <c r="K2112" s="14">
        <v>1.63381738</v>
      </c>
      <c r="L2112" s="14">
        <v>1.600849335</v>
      </c>
      <c r="M2112" s="14">
        <v>0.44496069</v>
      </c>
      <c r="N2112" s="14">
        <v>0.485098815</v>
      </c>
      <c r="O2112" s="14">
        <v>0.778338872</v>
      </c>
      <c r="P2112" s="14" t="s">
        <v>10374</v>
      </c>
      <c r="Q2112" s="14" t="s">
        <v>10375</v>
      </c>
      <c r="T2112" s="14" t="s">
        <v>10376</v>
      </c>
      <c r="U2112" s="14" t="s">
        <v>10377</v>
      </c>
    </row>
    <row r="2113" spans="1:21">
      <c r="A2113" s="14" t="s">
        <v>10378</v>
      </c>
      <c r="B2113" s="14">
        <v>170.0460447</v>
      </c>
      <c r="C2113" s="14">
        <v>263.6513852</v>
      </c>
      <c r="D2113" s="14">
        <v>76.44070414</v>
      </c>
      <c r="E2113" s="14">
        <v>0.289892769</v>
      </c>
      <c r="F2113" s="14">
        <v>-1.786408749</v>
      </c>
      <c r="G2113" s="14">
        <v>0.002225837</v>
      </c>
      <c r="H2113" s="14">
        <v>0.007355999</v>
      </c>
      <c r="I2113" s="14" t="s">
        <v>147</v>
      </c>
      <c r="J2113" s="14">
        <v>0.382774877</v>
      </c>
      <c r="K2113" s="14">
        <v>1.281037204</v>
      </c>
      <c r="L2113" s="14">
        <v>0.543617998</v>
      </c>
      <c r="M2113" s="14">
        <v>2.521751205</v>
      </c>
      <c r="N2113" s="14">
        <v>2.466450529</v>
      </c>
      <c r="O2113" s="14">
        <v>1.185556455</v>
      </c>
      <c r="P2113" s="14" t="s">
        <v>2619</v>
      </c>
      <c r="Q2113" s="14" t="s">
        <v>2620</v>
      </c>
      <c r="T2113" s="14" t="s">
        <v>2621</v>
      </c>
      <c r="U2113" s="14" t="s">
        <v>2622</v>
      </c>
    </row>
    <row r="2114" spans="1:21">
      <c r="A2114" s="14" t="s">
        <v>10379</v>
      </c>
      <c r="B2114" s="14">
        <v>48.43011617</v>
      </c>
      <c r="C2114" s="14">
        <v>4.317145294</v>
      </c>
      <c r="D2114" s="14">
        <v>92.54308705</v>
      </c>
      <c r="E2114" s="14">
        <v>21.34851098</v>
      </c>
      <c r="F2114" s="14">
        <v>4.416063543</v>
      </c>
      <c r="G2114" s="51" t="s">
        <v>6860</v>
      </c>
      <c r="H2114" s="51" t="s">
        <v>6861</v>
      </c>
      <c r="I2114" s="14" t="s">
        <v>164</v>
      </c>
      <c r="J2114" s="14">
        <v>3.892261391</v>
      </c>
      <c r="K2114" s="14">
        <v>3.055788333</v>
      </c>
      <c r="L2114" s="14">
        <v>3.972521391</v>
      </c>
      <c r="M2114" s="14">
        <v>0</v>
      </c>
      <c r="N2114" s="14">
        <v>0.319492983</v>
      </c>
      <c r="O2114" s="14">
        <v>0.097746304</v>
      </c>
      <c r="P2114" s="14" t="s">
        <v>10380</v>
      </c>
      <c r="Q2114" s="14" t="s">
        <v>10381</v>
      </c>
      <c r="T2114" s="14" t="s">
        <v>10382</v>
      </c>
      <c r="U2114" s="14" t="s">
        <v>10383</v>
      </c>
    </row>
    <row r="2115" spans="1:15">
      <c r="A2115" s="14" t="s">
        <v>10384</v>
      </c>
      <c r="B2115" s="14">
        <v>47.51646371</v>
      </c>
      <c r="C2115" s="14">
        <v>63.75564847</v>
      </c>
      <c r="D2115" s="14">
        <v>31.27727895</v>
      </c>
      <c r="E2115" s="14">
        <v>0.491834708</v>
      </c>
      <c r="F2115" s="14">
        <v>-1.023754549</v>
      </c>
      <c r="G2115" s="14">
        <v>0.006454135</v>
      </c>
      <c r="H2115" s="14">
        <v>0.018459779</v>
      </c>
      <c r="I2115" s="14" t="s">
        <v>147</v>
      </c>
      <c r="J2115" s="14">
        <v>1.565180461</v>
      </c>
      <c r="K2115" s="14">
        <v>1.204718324</v>
      </c>
      <c r="L2115" s="14">
        <v>1.595682134</v>
      </c>
      <c r="M2115" s="14">
        <v>2.717707279</v>
      </c>
      <c r="N2115" s="14">
        <v>2.53174307</v>
      </c>
      <c r="O2115" s="14">
        <v>2.003853346</v>
      </c>
    </row>
    <row r="2116" spans="1:21">
      <c r="A2116" s="14" t="s">
        <v>10385</v>
      </c>
      <c r="B2116" s="14">
        <v>2606.928635</v>
      </c>
      <c r="C2116" s="14">
        <v>1476.115637</v>
      </c>
      <c r="D2116" s="14">
        <v>3737.741632</v>
      </c>
      <c r="E2116" s="14">
        <v>2.532858256</v>
      </c>
      <c r="F2116" s="14">
        <v>1.340766343</v>
      </c>
      <c r="G2116" s="51" t="s">
        <v>10386</v>
      </c>
      <c r="H2116" s="51" t="s">
        <v>10387</v>
      </c>
      <c r="I2116" s="14" t="s">
        <v>164</v>
      </c>
      <c r="J2116" s="14">
        <v>39.98901282</v>
      </c>
      <c r="K2116" s="14">
        <v>34.6853252</v>
      </c>
      <c r="L2116" s="14">
        <v>37.51123956</v>
      </c>
      <c r="M2116" s="14">
        <v>12.52097381</v>
      </c>
      <c r="N2116" s="14">
        <v>12.30517459</v>
      </c>
      <c r="O2116" s="14">
        <v>11.50384645</v>
      </c>
      <c r="P2116" s="14" t="s">
        <v>10388</v>
      </c>
      <c r="Q2116" s="14" t="s">
        <v>10389</v>
      </c>
      <c r="R2116" s="14" t="s">
        <v>10390</v>
      </c>
      <c r="S2116" s="14" t="s">
        <v>10391</v>
      </c>
      <c r="T2116" s="14" t="s">
        <v>10392</v>
      </c>
      <c r="U2116" s="14" t="s">
        <v>10393</v>
      </c>
    </row>
    <row r="2117" spans="1:21">
      <c r="A2117" s="14" t="s">
        <v>10394</v>
      </c>
      <c r="B2117" s="14">
        <v>162.5414636</v>
      </c>
      <c r="C2117" s="14">
        <v>221.9707878</v>
      </c>
      <c r="D2117" s="14">
        <v>103.1121394</v>
      </c>
      <c r="E2117" s="14">
        <v>0.464312007</v>
      </c>
      <c r="F2117" s="14">
        <v>-1.106833506</v>
      </c>
      <c r="G2117" s="14">
        <v>0.00865733</v>
      </c>
      <c r="H2117" s="14">
        <v>0.023871984</v>
      </c>
      <c r="I2117" s="14" t="s">
        <v>147</v>
      </c>
      <c r="J2117" s="14">
        <v>1.987490887</v>
      </c>
      <c r="K2117" s="14">
        <v>4.648977123</v>
      </c>
      <c r="L2117" s="14">
        <v>2.075371763</v>
      </c>
      <c r="M2117" s="14">
        <v>5.077509497</v>
      </c>
      <c r="N2117" s="14">
        <v>5.445709494</v>
      </c>
      <c r="O2117" s="14">
        <v>4.920884615</v>
      </c>
      <c r="P2117" s="14" t="s">
        <v>10395</v>
      </c>
      <c r="Q2117" s="14" t="s">
        <v>10396</v>
      </c>
      <c r="T2117" s="14" t="s">
        <v>10397</v>
      </c>
      <c r="U2117" s="14" t="s">
        <v>10398</v>
      </c>
    </row>
    <row r="2118" spans="1:21">
      <c r="A2118" s="14" t="s">
        <v>10399</v>
      </c>
      <c r="B2118" s="14">
        <v>13.93878999</v>
      </c>
      <c r="C2118" s="14">
        <v>26.88252907</v>
      </c>
      <c r="D2118" s="14">
        <v>0.995050914</v>
      </c>
      <c r="E2118" s="14">
        <v>0.03665403</v>
      </c>
      <c r="F2118" s="14">
        <v>-4.76988436</v>
      </c>
      <c r="G2118" s="51" t="s">
        <v>10400</v>
      </c>
      <c r="H2118" s="14">
        <v>0.000384464</v>
      </c>
      <c r="I2118" s="14" t="s">
        <v>147</v>
      </c>
      <c r="J2118" s="14">
        <v>0.037997579</v>
      </c>
      <c r="K2118" s="14">
        <v>0</v>
      </c>
      <c r="L2118" s="14">
        <v>0</v>
      </c>
      <c r="M2118" s="14">
        <v>0.227573692</v>
      </c>
      <c r="N2118" s="14">
        <v>0.363883233</v>
      </c>
      <c r="O2118" s="14">
        <v>0.254462041</v>
      </c>
      <c r="P2118" s="14" t="s">
        <v>10401</v>
      </c>
      <c r="Q2118" s="14" t="s">
        <v>10402</v>
      </c>
      <c r="R2118" s="14" t="s">
        <v>10403</v>
      </c>
      <c r="S2118" s="14" t="s">
        <v>10404</v>
      </c>
      <c r="T2118" s="14" t="s">
        <v>10405</v>
      </c>
      <c r="U2118" s="14" t="s">
        <v>10406</v>
      </c>
    </row>
    <row r="2119" spans="1:15">
      <c r="A2119" s="14" t="s">
        <v>10407</v>
      </c>
      <c r="B2119" s="14">
        <v>106.7420161</v>
      </c>
      <c r="C2119" s="14">
        <v>162.6307437</v>
      </c>
      <c r="D2119" s="14">
        <v>50.85328849</v>
      </c>
      <c r="E2119" s="14">
        <v>0.312841588</v>
      </c>
      <c r="F2119" s="14">
        <v>-1.676495781</v>
      </c>
      <c r="G2119" s="14">
        <v>0.002126828</v>
      </c>
      <c r="H2119" s="14">
        <v>0.007080019</v>
      </c>
      <c r="I2119" s="14" t="s">
        <v>147</v>
      </c>
      <c r="J2119" s="14">
        <v>1.128220171</v>
      </c>
      <c r="K2119" s="14">
        <v>0.703744243</v>
      </c>
      <c r="L2119" s="14">
        <v>0.612003469</v>
      </c>
      <c r="M2119" s="14">
        <v>3.358153554</v>
      </c>
      <c r="N2119" s="14">
        <v>1.747831798</v>
      </c>
      <c r="O2119" s="14">
        <v>1.19716803</v>
      </c>
    </row>
    <row r="2120" spans="1:21">
      <c r="A2120" s="14" t="s">
        <v>10408</v>
      </c>
      <c r="B2120" s="14">
        <v>2011.366003</v>
      </c>
      <c r="C2120" s="14">
        <v>3615.362999</v>
      </c>
      <c r="D2120" s="14">
        <v>407.3690059</v>
      </c>
      <c r="E2120" s="14">
        <v>0.112680749</v>
      </c>
      <c r="F2120" s="14">
        <v>-3.149687032</v>
      </c>
      <c r="G2120" s="51" t="s">
        <v>10409</v>
      </c>
      <c r="H2120" s="51" t="s">
        <v>10410</v>
      </c>
      <c r="I2120" s="14" t="s">
        <v>147</v>
      </c>
      <c r="J2120" s="14">
        <v>5.703023333</v>
      </c>
      <c r="K2120" s="14">
        <v>6.43026941</v>
      </c>
      <c r="L2120" s="14">
        <v>5.856293402</v>
      </c>
      <c r="M2120" s="14">
        <v>57.10609887</v>
      </c>
      <c r="N2120" s="14">
        <v>54.46326264</v>
      </c>
      <c r="O2120" s="14">
        <v>16.4831135</v>
      </c>
      <c r="P2120" s="14" t="s">
        <v>10411</v>
      </c>
      <c r="Q2120" s="14" t="s">
        <v>10412</v>
      </c>
      <c r="T2120" s="14" t="s">
        <v>10413</v>
      </c>
      <c r="U2120" s="14" t="s">
        <v>10414</v>
      </c>
    </row>
    <row r="2121" spans="1:21">
      <c r="A2121" s="14" t="s">
        <v>10415</v>
      </c>
      <c r="B2121" s="14">
        <v>29.28839931</v>
      </c>
      <c r="C2121" s="14">
        <v>1.236355384</v>
      </c>
      <c r="D2121" s="14">
        <v>57.34044323</v>
      </c>
      <c r="E2121" s="14">
        <v>43.74584893</v>
      </c>
      <c r="F2121" s="14">
        <v>5.45107422</v>
      </c>
      <c r="G2121" s="51" t="s">
        <v>10416</v>
      </c>
      <c r="H2121" s="51" t="s">
        <v>10417</v>
      </c>
      <c r="I2121" s="14" t="s">
        <v>164</v>
      </c>
      <c r="J2121" s="14">
        <v>0.828463046</v>
      </c>
      <c r="K2121" s="14">
        <v>1.144531296</v>
      </c>
      <c r="L2121" s="14">
        <v>0.844607835</v>
      </c>
      <c r="M2121" s="14">
        <v>0</v>
      </c>
      <c r="N2121" s="14">
        <v>0</v>
      </c>
      <c r="O2121" s="14">
        <v>0.054392628</v>
      </c>
      <c r="P2121" s="14" t="s">
        <v>10418</v>
      </c>
      <c r="Q2121" s="14" t="s">
        <v>10419</v>
      </c>
      <c r="R2121" s="14" t="s">
        <v>10420</v>
      </c>
      <c r="S2121" s="14" t="s">
        <v>10421</v>
      </c>
      <c r="T2121" s="14" t="s">
        <v>10422</v>
      </c>
      <c r="U2121" s="14" t="s">
        <v>10423</v>
      </c>
    </row>
    <row r="2122" spans="1:21">
      <c r="A2122" s="14" t="s">
        <v>10424</v>
      </c>
      <c r="B2122" s="14">
        <v>1441.584537</v>
      </c>
      <c r="C2122" s="14">
        <v>677.0853687</v>
      </c>
      <c r="D2122" s="14">
        <v>2206.083704</v>
      </c>
      <c r="E2122" s="14">
        <v>3.259151772</v>
      </c>
      <c r="F2122" s="14">
        <v>1.704496537</v>
      </c>
      <c r="G2122" s="51" t="s">
        <v>10425</v>
      </c>
      <c r="H2122" s="51" t="s">
        <v>10426</v>
      </c>
      <c r="I2122" s="14" t="s">
        <v>164</v>
      </c>
      <c r="J2122" s="14">
        <v>18.93075184</v>
      </c>
      <c r="K2122" s="14">
        <v>15.91727347</v>
      </c>
      <c r="L2122" s="14">
        <v>16.43871832</v>
      </c>
      <c r="M2122" s="14">
        <v>4.256159375</v>
      </c>
      <c r="N2122" s="14">
        <v>4.291224428</v>
      </c>
      <c r="O2122" s="14">
        <v>4.401923099</v>
      </c>
      <c r="P2122" s="14" t="s">
        <v>10418</v>
      </c>
      <c r="Q2122" s="14" t="s">
        <v>10419</v>
      </c>
      <c r="R2122" s="14" t="s">
        <v>10420</v>
      </c>
      <c r="S2122" s="14" t="s">
        <v>10421</v>
      </c>
      <c r="T2122" s="14" t="s">
        <v>10422</v>
      </c>
      <c r="U2122" s="14" t="s">
        <v>10423</v>
      </c>
    </row>
    <row r="2123" spans="1:21">
      <c r="A2123" s="14" t="s">
        <v>10427</v>
      </c>
      <c r="B2123" s="14">
        <v>563.2765508</v>
      </c>
      <c r="C2123" s="14">
        <v>71.66583669</v>
      </c>
      <c r="D2123" s="14">
        <v>1054.887265</v>
      </c>
      <c r="E2123" s="14">
        <v>14.69217552</v>
      </c>
      <c r="F2123" s="14">
        <v>3.876976132</v>
      </c>
      <c r="G2123" s="51" t="s">
        <v>10428</v>
      </c>
      <c r="H2123" s="51" t="s">
        <v>8584</v>
      </c>
      <c r="I2123" s="14" t="s">
        <v>164</v>
      </c>
      <c r="J2123" s="14">
        <v>21.17265645</v>
      </c>
      <c r="K2123" s="14">
        <v>11.8269978</v>
      </c>
      <c r="L2123" s="14">
        <v>26.22083981</v>
      </c>
      <c r="M2123" s="14">
        <v>0.36356884</v>
      </c>
      <c r="N2123" s="14">
        <v>1.24355189</v>
      </c>
      <c r="O2123" s="14">
        <v>1.778548296</v>
      </c>
      <c r="P2123" s="14" t="s">
        <v>10429</v>
      </c>
      <c r="Q2123" s="14" t="s">
        <v>10430</v>
      </c>
      <c r="T2123" s="14" t="s">
        <v>10431</v>
      </c>
      <c r="U2123" s="14" t="s">
        <v>10432</v>
      </c>
    </row>
    <row r="2124" spans="1:21">
      <c r="A2124" s="14" t="s">
        <v>10433</v>
      </c>
      <c r="B2124" s="14">
        <v>124.6394561</v>
      </c>
      <c r="C2124" s="14">
        <v>12.13599992</v>
      </c>
      <c r="D2124" s="14">
        <v>237.1429123</v>
      </c>
      <c r="E2124" s="14">
        <v>19.35460798</v>
      </c>
      <c r="F2124" s="14">
        <v>4.274605181</v>
      </c>
      <c r="G2124" s="51" t="s">
        <v>10434</v>
      </c>
      <c r="H2124" s="51" t="s">
        <v>10435</v>
      </c>
      <c r="I2124" s="14" t="s">
        <v>164</v>
      </c>
      <c r="J2124" s="14">
        <v>1.904941134</v>
      </c>
      <c r="K2124" s="14">
        <v>0.769248324</v>
      </c>
      <c r="L2124" s="14">
        <v>1.427798173</v>
      </c>
      <c r="M2124" s="14">
        <v>0.019519252</v>
      </c>
      <c r="N2124" s="14">
        <v>0.028089607</v>
      </c>
      <c r="O2124" s="14">
        <v>0.133681163</v>
      </c>
      <c r="P2124" s="14" t="s">
        <v>10436</v>
      </c>
      <c r="Q2124" s="14" t="s">
        <v>10437</v>
      </c>
      <c r="T2124" s="14" t="s">
        <v>1429</v>
      </c>
      <c r="U2124" s="14" t="s">
        <v>1430</v>
      </c>
    </row>
    <row r="2125" spans="1:15">
      <c r="A2125" s="14" t="s">
        <v>10438</v>
      </c>
      <c r="B2125" s="14">
        <v>6714.821297</v>
      </c>
      <c r="C2125" s="14">
        <v>9821.636771</v>
      </c>
      <c r="D2125" s="14">
        <v>3608.005824</v>
      </c>
      <c r="E2125" s="14">
        <v>0.367361675</v>
      </c>
      <c r="F2125" s="14">
        <v>-1.44472697</v>
      </c>
      <c r="G2125" s="51" t="s">
        <v>10439</v>
      </c>
      <c r="H2125" s="51" t="s">
        <v>10440</v>
      </c>
      <c r="I2125" s="14" t="s">
        <v>147</v>
      </c>
      <c r="J2125" s="14">
        <v>35.07108677</v>
      </c>
      <c r="K2125" s="14">
        <v>37.10985335</v>
      </c>
      <c r="L2125" s="14">
        <v>34.56792399</v>
      </c>
      <c r="M2125" s="14">
        <v>83.53198668</v>
      </c>
      <c r="N2125" s="14">
        <v>77.70862457</v>
      </c>
      <c r="O2125" s="14">
        <v>77.32546014</v>
      </c>
    </row>
    <row r="2126" spans="1:21">
      <c r="A2126" s="14" t="s">
        <v>10441</v>
      </c>
      <c r="B2126" s="14">
        <v>39158.54927</v>
      </c>
      <c r="C2126" s="14">
        <v>60.44004246</v>
      </c>
      <c r="D2126" s="14">
        <v>78256.65851</v>
      </c>
      <c r="E2126" s="14">
        <v>1293.435408</v>
      </c>
      <c r="F2126" s="14">
        <v>10.33699229</v>
      </c>
      <c r="G2126" s="51" t="s">
        <v>10442</v>
      </c>
      <c r="H2126" s="51" t="s">
        <v>10443</v>
      </c>
      <c r="I2126" s="14" t="s">
        <v>164</v>
      </c>
      <c r="J2126" s="14">
        <v>1380.648335</v>
      </c>
      <c r="K2126" s="14">
        <v>256.7785031</v>
      </c>
      <c r="L2126" s="14">
        <v>1698.462688</v>
      </c>
      <c r="M2126" s="14">
        <v>0.155678357</v>
      </c>
      <c r="N2126" s="14">
        <v>0.275732126</v>
      </c>
      <c r="O2126" s="14">
        <v>1.804324359</v>
      </c>
      <c r="Q2126" s="14" t="s">
        <v>10444</v>
      </c>
      <c r="T2126" s="14" t="s">
        <v>10445</v>
      </c>
      <c r="U2126" s="14" t="s">
        <v>10446</v>
      </c>
    </row>
    <row r="2127" spans="1:21">
      <c r="A2127" s="14" t="s">
        <v>10447</v>
      </c>
      <c r="B2127" s="14">
        <v>246.1290623</v>
      </c>
      <c r="C2127" s="14">
        <v>134.1350136</v>
      </c>
      <c r="D2127" s="14">
        <v>358.1231109</v>
      </c>
      <c r="E2127" s="14">
        <v>2.667951102</v>
      </c>
      <c r="F2127" s="14">
        <v>1.415732225</v>
      </c>
      <c r="G2127" s="51" t="s">
        <v>10448</v>
      </c>
      <c r="H2127" s="51" t="s">
        <v>10449</v>
      </c>
      <c r="I2127" s="14" t="s">
        <v>164</v>
      </c>
      <c r="J2127" s="14">
        <v>3.79229173</v>
      </c>
      <c r="K2127" s="14">
        <v>2.192971445</v>
      </c>
      <c r="L2127" s="14">
        <v>3.923505921</v>
      </c>
      <c r="M2127" s="14">
        <v>0.873563575</v>
      </c>
      <c r="N2127" s="14">
        <v>0.838080542</v>
      </c>
      <c r="O2127" s="14">
        <v>1.373592792</v>
      </c>
      <c r="P2127" s="14" t="s">
        <v>10450</v>
      </c>
      <c r="Q2127" s="14" t="s">
        <v>10451</v>
      </c>
      <c r="T2127" s="14" t="s">
        <v>6461</v>
      </c>
      <c r="U2127" s="14" t="s">
        <v>6462</v>
      </c>
    </row>
    <row r="2128" spans="1:21">
      <c r="A2128" s="14" t="s">
        <v>10452</v>
      </c>
      <c r="B2128" s="14">
        <v>317.8612027</v>
      </c>
      <c r="C2128" s="14">
        <v>45.46705416</v>
      </c>
      <c r="D2128" s="14">
        <v>590.2553512</v>
      </c>
      <c r="E2128" s="14">
        <v>12.97025022</v>
      </c>
      <c r="F2128" s="14">
        <v>3.697134407</v>
      </c>
      <c r="G2128" s="51" t="s">
        <v>10453</v>
      </c>
      <c r="H2128" s="51" t="s">
        <v>10454</v>
      </c>
      <c r="I2128" s="14" t="s">
        <v>164</v>
      </c>
      <c r="J2128" s="14">
        <v>3.70055105</v>
      </c>
      <c r="K2128" s="14">
        <v>2.479685027</v>
      </c>
      <c r="L2128" s="14">
        <v>3.037048718</v>
      </c>
      <c r="M2128" s="14">
        <v>0.136701014</v>
      </c>
      <c r="N2128" s="14">
        <v>0.253835601</v>
      </c>
      <c r="O2128" s="14">
        <v>0.194147391</v>
      </c>
      <c r="P2128" s="14" t="s">
        <v>10455</v>
      </c>
      <c r="Q2128" s="14" t="s">
        <v>10456</v>
      </c>
      <c r="R2128" s="14" t="s">
        <v>3743</v>
      </c>
      <c r="S2128" s="14" t="s">
        <v>3744</v>
      </c>
      <c r="T2128" s="14" t="s">
        <v>9116</v>
      </c>
      <c r="U2128" s="14" t="s">
        <v>9117</v>
      </c>
    </row>
    <row r="2129" spans="1:21">
      <c r="A2129" s="14" t="s">
        <v>10457</v>
      </c>
      <c r="B2129" s="14">
        <v>41945.61276</v>
      </c>
      <c r="C2129" s="14">
        <v>11723.26026</v>
      </c>
      <c r="D2129" s="14">
        <v>72167.96527</v>
      </c>
      <c r="E2129" s="14">
        <v>6.15603633</v>
      </c>
      <c r="F2129" s="14">
        <v>2.622001746</v>
      </c>
      <c r="G2129" s="51" t="s">
        <v>10458</v>
      </c>
      <c r="H2129" s="51" t="s">
        <v>10459</v>
      </c>
      <c r="I2129" s="14" t="s">
        <v>164</v>
      </c>
      <c r="J2129" s="14">
        <v>1151.035901</v>
      </c>
      <c r="K2129" s="14">
        <v>1640.559368</v>
      </c>
      <c r="L2129" s="14">
        <v>1012.33847</v>
      </c>
      <c r="M2129" s="14">
        <v>208.5793055</v>
      </c>
      <c r="N2129" s="14">
        <v>232.99061</v>
      </c>
      <c r="O2129" s="14">
        <v>54.20759426</v>
      </c>
      <c r="P2129" s="14" t="s">
        <v>10460</v>
      </c>
      <c r="Q2129" s="14" t="s">
        <v>10461</v>
      </c>
      <c r="T2129" s="14" t="s">
        <v>10462</v>
      </c>
      <c r="U2129" s="14" t="s">
        <v>10463</v>
      </c>
    </row>
    <row r="2130" spans="1:21">
      <c r="A2130" s="14" t="s">
        <v>10464</v>
      </c>
      <c r="B2130" s="14">
        <v>58.73104753</v>
      </c>
      <c r="C2130" s="14">
        <v>0.361896244</v>
      </c>
      <c r="D2130" s="14">
        <v>117.1001988</v>
      </c>
      <c r="E2130" s="14">
        <v>324.1838841</v>
      </c>
      <c r="F2130" s="14">
        <v>8.340668563</v>
      </c>
      <c r="G2130" s="51" t="s">
        <v>10465</v>
      </c>
      <c r="H2130" s="51" t="s">
        <v>10466</v>
      </c>
      <c r="I2130" s="14" t="s">
        <v>164</v>
      </c>
      <c r="J2130" s="14">
        <v>0.713260175</v>
      </c>
      <c r="K2130" s="14">
        <v>0.922248085</v>
      </c>
      <c r="L2130" s="14">
        <v>0.301118792</v>
      </c>
      <c r="M2130" s="14">
        <v>0.00469432</v>
      </c>
      <c r="N2130" s="14">
        <v>0</v>
      </c>
      <c r="O2130" s="14">
        <v>0</v>
      </c>
      <c r="Q2130" s="14" t="s">
        <v>10444</v>
      </c>
      <c r="T2130" s="14" t="s">
        <v>10445</v>
      </c>
      <c r="U2130" s="14" t="s">
        <v>10446</v>
      </c>
    </row>
    <row r="2131" spans="1:21">
      <c r="A2131" s="14" t="s">
        <v>10467</v>
      </c>
      <c r="B2131" s="14">
        <v>4803.517773</v>
      </c>
      <c r="C2131" s="14">
        <v>7817.134666</v>
      </c>
      <c r="D2131" s="14">
        <v>1789.900879</v>
      </c>
      <c r="E2131" s="14">
        <v>0.228971905</v>
      </c>
      <c r="F2131" s="14">
        <v>-2.126757506</v>
      </c>
      <c r="G2131" s="51" t="s">
        <v>10468</v>
      </c>
      <c r="H2131" s="51" t="s">
        <v>10469</v>
      </c>
      <c r="I2131" s="14" t="s">
        <v>147</v>
      </c>
      <c r="J2131" s="14">
        <v>12.96700097</v>
      </c>
      <c r="K2131" s="14">
        <v>21.20442547</v>
      </c>
      <c r="L2131" s="14">
        <v>14.71105581</v>
      </c>
      <c r="M2131" s="14">
        <v>67.67179806</v>
      </c>
      <c r="N2131" s="14">
        <v>66.39066278</v>
      </c>
      <c r="O2131" s="14">
        <v>39.39731277</v>
      </c>
      <c r="Q2131" s="14" t="s">
        <v>10470</v>
      </c>
      <c r="T2131" s="14" t="s">
        <v>10471</v>
      </c>
      <c r="U2131" s="14" t="s">
        <v>10472</v>
      </c>
    </row>
    <row r="2132" spans="1:15">
      <c r="A2132" s="14" t="s">
        <v>10473</v>
      </c>
      <c r="B2132" s="14">
        <v>177.3672246</v>
      </c>
      <c r="C2132" s="14">
        <v>61.55049922</v>
      </c>
      <c r="D2132" s="14">
        <v>293.1839499</v>
      </c>
      <c r="E2132" s="14">
        <v>4.770413005</v>
      </c>
      <c r="F2132" s="14">
        <v>2.254114175</v>
      </c>
      <c r="G2132" s="51" t="s">
        <v>10474</v>
      </c>
      <c r="H2132" s="51" t="s">
        <v>10475</v>
      </c>
      <c r="I2132" s="14" t="s">
        <v>164</v>
      </c>
      <c r="J2132" s="14">
        <v>5.644046221</v>
      </c>
      <c r="K2132" s="14">
        <v>7.44687411</v>
      </c>
      <c r="L2132" s="14">
        <v>5.658254495</v>
      </c>
      <c r="M2132" s="14">
        <v>0.994741131</v>
      </c>
      <c r="N2132" s="14">
        <v>1.388125121</v>
      </c>
      <c r="O2132" s="14">
        <v>0.831676151</v>
      </c>
    </row>
    <row r="2133" spans="1:21">
      <c r="A2133" s="14" t="s">
        <v>10476</v>
      </c>
      <c r="B2133" s="14">
        <v>552.2928185</v>
      </c>
      <c r="C2133" s="14">
        <v>240.6441968</v>
      </c>
      <c r="D2133" s="14">
        <v>863.9414402</v>
      </c>
      <c r="E2133" s="14">
        <v>3.593141155</v>
      </c>
      <c r="F2133" s="14">
        <v>1.845245612</v>
      </c>
      <c r="G2133" s="51" t="s">
        <v>10477</v>
      </c>
      <c r="H2133" s="51" t="s">
        <v>10478</v>
      </c>
      <c r="I2133" s="14" t="s">
        <v>164</v>
      </c>
      <c r="J2133" s="14">
        <v>6.317886264</v>
      </c>
      <c r="K2133" s="14">
        <v>7.882194818</v>
      </c>
      <c r="L2133" s="14">
        <v>6.188314499</v>
      </c>
      <c r="M2133" s="14">
        <v>1.614991484</v>
      </c>
      <c r="N2133" s="14">
        <v>1.735063612</v>
      </c>
      <c r="O2133" s="14">
        <v>1.292793216</v>
      </c>
      <c r="P2133" s="14" t="s">
        <v>10479</v>
      </c>
      <c r="Q2133" s="14" t="s">
        <v>10480</v>
      </c>
      <c r="T2133" s="14" t="s">
        <v>10481</v>
      </c>
      <c r="U2133" s="14" t="s">
        <v>10482</v>
      </c>
    </row>
    <row r="2134" spans="1:21">
      <c r="A2134" s="14" t="s">
        <v>10483</v>
      </c>
      <c r="B2134" s="14">
        <v>953.6828327</v>
      </c>
      <c r="C2134" s="14">
        <v>581.8046527</v>
      </c>
      <c r="D2134" s="14">
        <v>1325.561013</v>
      </c>
      <c r="E2134" s="14">
        <v>2.279580167</v>
      </c>
      <c r="F2134" s="14">
        <v>1.188768146</v>
      </c>
      <c r="G2134" s="51" t="s">
        <v>10484</v>
      </c>
      <c r="H2134" s="51" t="s">
        <v>10485</v>
      </c>
      <c r="I2134" s="14" t="s">
        <v>164</v>
      </c>
      <c r="J2134" s="14">
        <v>5.992815353</v>
      </c>
      <c r="K2134" s="14">
        <v>5.542269248</v>
      </c>
      <c r="L2134" s="14">
        <v>6.230089827</v>
      </c>
      <c r="M2134" s="14">
        <v>2.066104722</v>
      </c>
      <c r="N2134" s="14">
        <v>2.290763671</v>
      </c>
      <c r="O2134" s="14">
        <v>2.039953603</v>
      </c>
      <c r="P2134" s="14" t="s">
        <v>10486</v>
      </c>
      <c r="Q2134" s="14" t="s">
        <v>10487</v>
      </c>
      <c r="T2134" s="14" t="s">
        <v>10488</v>
      </c>
      <c r="U2134" s="14" t="s">
        <v>10489</v>
      </c>
    </row>
    <row r="2135" spans="1:21">
      <c r="A2135" s="14" t="s">
        <v>10490</v>
      </c>
      <c r="B2135" s="14">
        <v>5088.297559</v>
      </c>
      <c r="C2135" s="14">
        <v>6983.645053</v>
      </c>
      <c r="D2135" s="14">
        <v>3192.950065</v>
      </c>
      <c r="E2135" s="14">
        <v>0.457197522</v>
      </c>
      <c r="F2135" s="14">
        <v>-1.129110512</v>
      </c>
      <c r="G2135" s="51" t="s">
        <v>10491</v>
      </c>
      <c r="H2135" s="51" t="s">
        <v>10492</v>
      </c>
      <c r="I2135" s="14" t="s">
        <v>147</v>
      </c>
      <c r="J2135" s="14">
        <v>30.82271688</v>
      </c>
      <c r="K2135" s="14">
        <v>27.33044069</v>
      </c>
      <c r="L2135" s="14">
        <v>27.7612936</v>
      </c>
      <c r="M2135" s="14">
        <v>51.37512491</v>
      </c>
      <c r="N2135" s="14">
        <v>46.87424046</v>
      </c>
      <c r="O2135" s="14">
        <v>56.77262423</v>
      </c>
      <c r="P2135" s="14" t="s">
        <v>10493</v>
      </c>
      <c r="Q2135" s="14" t="s">
        <v>10494</v>
      </c>
      <c r="T2135" s="14" t="s">
        <v>10495</v>
      </c>
      <c r="U2135" s="14" t="s">
        <v>10496</v>
      </c>
    </row>
    <row r="2136" spans="1:15">
      <c r="A2136" s="14" t="s">
        <v>10497</v>
      </c>
      <c r="B2136" s="14">
        <v>44.5480041</v>
      </c>
      <c r="C2136" s="14">
        <v>21.91108127</v>
      </c>
      <c r="D2136" s="14">
        <v>67.18492692</v>
      </c>
      <c r="E2136" s="14">
        <v>3.082757268</v>
      </c>
      <c r="F2136" s="14">
        <v>1.624221298</v>
      </c>
      <c r="G2136" s="14">
        <v>0.0003998</v>
      </c>
      <c r="H2136" s="14">
        <v>0.001631156</v>
      </c>
      <c r="I2136" s="14" t="s">
        <v>164</v>
      </c>
      <c r="J2136" s="14">
        <v>1.304867541</v>
      </c>
      <c r="K2136" s="14">
        <v>1.667794483</v>
      </c>
      <c r="L2136" s="14">
        <v>1.236448263</v>
      </c>
      <c r="M2136" s="14">
        <v>0.513915791</v>
      </c>
      <c r="N2136" s="14">
        <v>0.340028407</v>
      </c>
      <c r="O2136" s="14">
        <v>0.260072377</v>
      </c>
    </row>
    <row r="2137" spans="1:17">
      <c r="A2137" s="14" t="s">
        <v>10498</v>
      </c>
      <c r="B2137" s="14">
        <v>2581.530986</v>
      </c>
      <c r="C2137" s="14">
        <v>1515.308837</v>
      </c>
      <c r="D2137" s="14">
        <v>3647.753134</v>
      </c>
      <c r="E2137" s="14">
        <v>2.407667166</v>
      </c>
      <c r="F2137" s="14">
        <v>1.267635969</v>
      </c>
      <c r="G2137" s="51" t="s">
        <v>897</v>
      </c>
      <c r="H2137" s="14">
        <v>0.000172815</v>
      </c>
      <c r="I2137" s="14" t="s">
        <v>164</v>
      </c>
      <c r="J2137" s="14">
        <v>81.1062645</v>
      </c>
      <c r="K2137" s="14">
        <v>98.17003115</v>
      </c>
      <c r="L2137" s="14">
        <v>84.74669188</v>
      </c>
      <c r="M2137" s="14">
        <v>35.47445526</v>
      </c>
      <c r="N2137" s="14">
        <v>33.93539243</v>
      </c>
      <c r="O2137" s="14">
        <v>19.53554193</v>
      </c>
      <c r="P2137" s="14" t="s">
        <v>10499</v>
      </c>
      <c r="Q2137" s="14" t="s">
        <v>10500</v>
      </c>
    </row>
    <row r="2138" spans="1:21">
      <c r="A2138" s="14" t="s">
        <v>10501</v>
      </c>
      <c r="B2138" s="14">
        <v>706.6513695</v>
      </c>
      <c r="C2138" s="14">
        <v>377.1381259</v>
      </c>
      <c r="D2138" s="14">
        <v>1036.164613</v>
      </c>
      <c r="E2138" s="14">
        <v>2.74893571</v>
      </c>
      <c r="F2138" s="14">
        <v>1.458873167</v>
      </c>
      <c r="G2138" s="51" t="s">
        <v>10502</v>
      </c>
      <c r="H2138" s="51" t="s">
        <v>10503</v>
      </c>
      <c r="I2138" s="14" t="s">
        <v>164</v>
      </c>
      <c r="J2138" s="14">
        <v>9.366545541</v>
      </c>
      <c r="K2138" s="14">
        <v>9.237824521</v>
      </c>
      <c r="L2138" s="14">
        <v>11.02572784</v>
      </c>
      <c r="M2138" s="14">
        <v>2.848872362</v>
      </c>
      <c r="N2138" s="14">
        <v>3.670015248</v>
      </c>
      <c r="O2138" s="14">
        <v>2.266152785</v>
      </c>
      <c r="P2138" s="14" t="s">
        <v>784</v>
      </c>
      <c r="Q2138" s="14" t="s">
        <v>785</v>
      </c>
      <c r="T2138" s="14" t="s">
        <v>786</v>
      </c>
      <c r="U2138" s="14" t="s">
        <v>787</v>
      </c>
    </row>
    <row r="2139" spans="1:19">
      <c r="A2139" s="14" t="s">
        <v>10504</v>
      </c>
      <c r="B2139" s="14">
        <v>121.906684</v>
      </c>
      <c r="C2139" s="14">
        <v>166.8757845</v>
      </c>
      <c r="D2139" s="14">
        <v>76.93758349</v>
      </c>
      <c r="E2139" s="14">
        <v>0.46093617</v>
      </c>
      <c r="F2139" s="14">
        <v>-1.117361112</v>
      </c>
      <c r="G2139" s="14">
        <v>0.000433011</v>
      </c>
      <c r="H2139" s="14">
        <v>0.001751812</v>
      </c>
      <c r="I2139" s="14" t="s">
        <v>147</v>
      </c>
      <c r="J2139" s="14">
        <v>3.739667053</v>
      </c>
      <c r="K2139" s="14">
        <v>2.773537488</v>
      </c>
      <c r="L2139" s="14">
        <v>2.653174128</v>
      </c>
      <c r="M2139" s="14">
        <v>6.129835316</v>
      </c>
      <c r="N2139" s="14">
        <v>3.942107743</v>
      </c>
      <c r="O2139" s="14">
        <v>6.359804</v>
      </c>
      <c r="R2139" s="14" t="s">
        <v>2231</v>
      </c>
      <c r="S2139" s="14" t="s">
        <v>2232</v>
      </c>
    </row>
    <row r="2140" spans="1:21">
      <c r="A2140" s="14" t="s">
        <v>10505</v>
      </c>
      <c r="B2140" s="14">
        <v>3270.30946</v>
      </c>
      <c r="C2140" s="14">
        <v>4596.185032</v>
      </c>
      <c r="D2140" s="14">
        <v>1944.433888</v>
      </c>
      <c r="E2140" s="14">
        <v>0.423098966</v>
      </c>
      <c r="F2140" s="14">
        <v>-1.240932936</v>
      </c>
      <c r="G2140" s="51" t="s">
        <v>8465</v>
      </c>
      <c r="H2140" s="51" t="s">
        <v>10506</v>
      </c>
      <c r="I2140" s="14" t="s">
        <v>147</v>
      </c>
      <c r="J2140" s="14">
        <v>22.05224587</v>
      </c>
      <c r="K2140" s="14">
        <v>22.81377746</v>
      </c>
      <c r="L2140" s="14">
        <v>23.31728103</v>
      </c>
      <c r="M2140" s="14">
        <v>47.14470089</v>
      </c>
      <c r="N2140" s="14">
        <v>44.58360433</v>
      </c>
      <c r="O2140" s="14">
        <v>40.22422349</v>
      </c>
      <c r="P2140" s="14" t="s">
        <v>10507</v>
      </c>
      <c r="Q2140" s="14" t="s">
        <v>10508</v>
      </c>
      <c r="T2140" s="14" t="s">
        <v>10509</v>
      </c>
      <c r="U2140" s="14" t="s">
        <v>10510</v>
      </c>
    </row>
    <row r="2141" spans="1:21">
      <c r="A2141" s="14" t="s">
        <v>10511</v>
      </c>
      <c r="B2141" s="14">
        <v>78.43821817</v>
      </c>
      <c r="C2141" s="14">
        <v>5.576409046</v>
      </c>
      <c r="D2141" s="14">
        <v>151.3000273</v>
      </c>
      <c r="E2141" s="14">
        <v>26.94150928</v>
      </c>
      <c r="F2141" s="14">
        <v>4.751758769</v>
      </c>
      <c r="G2141" s="51" t="s">
        <v>10512</v>
      </c>
      <c r="H2141" s="51" t="s">
        <v>10513</v>
      </c>
      <c r="I2141" s="14" t="s">
        <v>164</v>
      </c>
      <c r="J2141" s="14">
        <v>5.647553332</v>
      </c>
      <c r="K2141" s="14">
        <v>1.267902852</v>
      </c>
      <c r="L2141" s="14">
        <v>2.708764443</v>
      </c>
      <c r="M2141" s="14">
        <v>0.017962887</v>
      </c>
      <c r="N2141" s="14">
        <v>0.155099321</v>
      </c>
      <c r="O2141" s="14">
        <v>0.123022115</v>
      </c>
      <c r="P2141" s="14" t="s">
        <v>10514</v>
      </c>
      <c r="Q2141" s="14" t="s">
        <v>10515</v>
      </c>
      <c r="R2141" s="14" t="s">
        <v>5641</v>
      </c>
      <c r="S2141" s="14" t="s">
        <v>5642</v>
      </c>
      <c r="T2141" s="14" t="s">
        <v>10516</v>
      </c>
      <c r="U2141" s="14" t="s">
        <v>10517</v>
      </c>
    </row>
    <row r="2142" spans="1:21">
      <c r="A2142" s="14" t="s">
        <v>10518</v>
      </c>
      <c r="B2142" s="14">
        <v>12004.34931</v>
      </c>
      <c r="C2142" s="14">
        <v>17381.18626</v>
      </c>
      <c r="D2142" s="14">
        <v>6627.51235</v>
      </c>
      <c r="E2142" s="14">
        <v>0.381295278</v>
      </c>
      <c r="F2142" s="14">
        <v>-1.391019431</v>
      </c>
      <c r="G2142" s="51" t="s">
        <v>10519</v>
      </c>
      <c r="H2142" s="51" t="s">
        <v>4313</v>
      </c>
      <c r="I2142" s="14" t="s">
        <v>147</v>
      </c>
      <c r="J2142" s="14">
        <v>172.4832875</v>
      </c>
      <c r="K2142" s="14">
        <v>179.7548289</v>
      </c>
      <c r="L2142" s="14">
        <v>151.6572338</v>
      </c>
      <c r="M2142" s="14">
        <v>354.1818882</v>
      </c>
      <c r="N2142" s="14">
        <v>362.8114816</v>
      </c>
      <c r="O2142" s="14">
        <v>371.1963288</v>
      </c>
      <c r="P2142" s="14" t="s">
        <v>10520</v>
      </c>
      <c r="Q2142" s="14" t="s">
        <v>10521</v>
      </c>
      <c r="R2142" s="14" t="s">
        <v>1536</v>
      </c>
      <c r="S2142" s="14" t="s">
        <v>1537</v>
      </c>
      <c r="T2142" s="14" t="s">
        <v>10522</v>
      </c>
      <c r="U2142" s="14" t="s">
        <v>10523</v>
      </c>
    </row>
    <row r="2143" spans="1:21">
      <c r="A2143" s="14" t="s">
        <v>10524</v>
      </c>
      <c r="B2143" s="14">
        <v>313.1882719</v>
      </c>
      <c r="C2143" s="14">
        <v>524.5063013</v>
      </c>
      <c r="D2143" s="14">
        <v>101.8702424</v>
      </c>
      <c r="E2143" s="14">
        <v>0.194216357</v>
      </c>
      <c r="F2143" s="14">
        <v>-2.364263383</v>
      </c>
      <c r="G2143" s="51" t="s">
        <v>10525</v>
      </c>
      <c r="H2143" s="51" t="s">
        <v>10526</v>
      </c>
      <c r="I2143" s="14" t="s">
        <v>147</v>
      </c>
      <c r="J2143" s="14">
        <v>2.166308761</v>
      </c>
      <c r="K2143" s="14">
        <v>3.45681807</v>
      </c>
      <c r="L2143" s="14">
        <v>2.518257171</v>
      </c>
      <c r="M2143" s="14">
        <v>13.0421864</v>
      </c>
      <c r="N2143" s="14">
        <v>12.1871497</v>
      </c>
      <c r="O2143" s="14">
        <v>8.956505907</v>
      </c>
      <c r="P2143" s="14" t="s">
        <v>10527</v>
      </c>
      <c r="Q2143" s="14" t="s">
        <v>10528</v>
      </c>
      <c r="T2143" s="14" t="s">
        <v>209</v>
      </c>
      <c r="U2143" s="14" t="s">
        <v>210</v>
      </c>
    </row>
    <row r="2144" spans="1:21">
      <c r="A2144" s="14" t="s">
        <v>10529</v>
      </c>
      <c r="B2144" s="14">
        <v>3203.807297</v>
      </c>
      <c r="C2144" s="14">
        <v>4665.197918</v>
      </c>
      <c r="D2144" s="14">
        <v>1742.416675</v>
      </c>
      <c r="E2144" s="14">
        <v>0.373488656</v>
      </c>
      <c r="F2144" s="14">
        <v>-1.42086367</v>
      </c>
      <c r="G2144" s="51" t="s">
        <v>6655</v>
      </c>
      <c r="H2144" s="51" t="s">
        <v>10530</v>
      </c>
      <c r="I2144" s="14" t="s">
        <v>147</v>
      </c>
      <c r="J2144" s="14">
        <v>33.29482529</v>
      </c>
      <c r="K2144" s="14">
        <v>43.01644493</v>
      </c>
      <c r="L2144" s="14">
        <v>53.67449622</v>
      </c>
      <c r="M2144" s="14">
        <v>77.29747616</v>
      </c>
      <c r="N2144" s="14">
        <v>72.34114916</v>
      </c>
      <c r="O2144" s="14">
        <v>141.2285775</v>
      </c>
      <c r="P2144" s="14" t="s">
        <v>10531</v>
      </c>
      <c r="Q2144" s="14" t="s">
        <v>10532</v>
      </c>
      <c r="T2144" s="14" t="s">
        <v>10533</v>
      </c>
      <c r="U2144" s="14" t="s">
        <v>10534</v>
      </c>
    </row>
    <row r="2145" spans="1:21">
      <c r="A2145" s="14" t="s">
        <v>10535</v>
      </c>
      <c r="B2145" s="14">
        <v>34.89504874</v>
      </c>
      <c r="C2145" s="14">
        <v>11.61603973</v>
      </c>
      <c r="D2145" s="14">
        <v>58.17405775</v>
      </c>
      <c r="E2145" s="14">
        <v>5.036391072</v>
      </c>
      <c r="F2145" s="14">
        <v>2.332390312</v>
      </c>
      <c r="G2145" s="14">
        <v>0.00031001</v>
      </c>
      <c r="H2145" s="14">
        <v>0.001301794</v>
      </c>
      <c r="I2145" s="14" t="s">
        <v>164</v>
      </c>
      <c r="J2145" s="14">
        <v>1.180507659</v>
      </c>
      <c r="K2145" s="14">
        <v>0.603847587</v>
      </c>
      <c r="L2145" s="14">
        <v>1.639759014</v>
      </c>
      <c r="M2145" s="14">
        <v>0.28148547</v>
      </c>
      <c r="N2145" s="14">
        <v>0.111197837</v>
      </c>
      <c r="O2145" s="14">
        <v>0.162000391</v>
      </c>
      <c r="P2145" s="14" t="s">
        <v>10536</v>
      </c>
      <c r="Q2145" s="14" t="s">
        <v>10537</v>
      </c>
      <c r="T2145" s="14" t="s">
        <v>10538</v>
      </c>
      <c r="U2145" s="14" t="s">
        <v>10539</v>
      </c>
    </row>
    <row r="2146" spans="1:21">
      <c r="A2146" s="14" t="s">
        <v>10540</v>
      </c>
      <c r="B2146" s="14">
        <v>2279.059393</v>
      </c>
      <c r="C2146" s="14">
        <v>1374.647877</v>
      </c>
      <c r="D2146" s="14">
        <v>3183.470908</v>
      </c>
      <c r="E2146" s="14">
        <v>2.316113383</v>
      </c>
      <c r="F2146" s="14">
        <v>1.211705881</v>
      </c>
      <c r="G2146" s="51" t="s">
        <v>8715</v>
      </c>
      <c r="H2146" s="51" t="s">
        <v>5782</v>
      </c>
      <c r="I2146" s="14" t="s">
        <v>164</v>
      </c>
      <c r="J2146" s="14">
        <v>17.66237174</v>
      </c>
      <c r="K2146" s="14">
        <v>15.56004846</v>
      </c>
      <c r="L2146" s="14">
        <v>25.12570842</v>
      </c>
      <c r="M2146" s="14">
        <v>6.621110113</v>
      </c>
      <c r="N2146" s="14">
        <v>7.139996625</v>
      </c>
      <c r="O2146" s="14">
        <v>6.902437585</v>
      </c>
      <c r="P2146" s="14" t="s">
        <v>10541</v>
      </c>
      <c r="Q2146" s="14" t="s">
        <v>10542</v>
      </c>
      <c r="T2146" s="14" t="s">
        <v>10543</v>
      </c>
      <c r="U2146" s="14" t="s">
        <v>10544</v>
      </c>
    </row>
    <row r="2147" spans="1:21">
      <c r="A2147" s="14" t="s">
        <v>10545</v>
      </c>
      <c r="B2147" s="14">
        <v>1274.528984</v>
      </c>
      <c r="C2147" s="14">
        <v>262.1253732</v>
      </c>
      <c r="D2147" s="14">
        <v>2286.932595</v>
      </c>
      <c r="E2147" s="14">
        <v>8.732710499</v>
      </c>
      <c r="F2147" s="14">
        <v>3.126429514</v>
      </c>
      <c r="G2147" s="51" t="s">
        <v>10546</v>
      </c>
      <c r="H2147" s="51" t="s">
        <v>10547</v>
      </c>
      <c r="I2147" s="14" t="s">
        <v>164</v>
      </c>
      <c r="J2147" s="14">
        <v>38.93548089</v>
      </c>
      <c r="K2147" s="14">
        <v>36.43875953</v>
      </c>
      <c r="L2147" s="14">
        <v>30.27053454</v>
      </c>
      <c r="M2147" s="14">
        <v>3.932239345</v>
      </c>
      <c r="N2147" s="14">
        <v>3.709850427</v>
      </c>
      <c r="O2147" s="14">
        <v>2.18563966</v>
      </c>
      <c r="P2147" s="14" t="s">
        <v>10548</v>
      </c>
      <c r="Q2147" s="14" t="s">
        <v>10549</v>
      </c>
      <c r="R2147" s="14" t="s">
        <v>3786</v>
      </c>
      <c r="S2147" s="14" t="s">
        <v>3787</v>
      </c>
      <c r="T2147" s="14" t="s">
        <v>10550</v>
      </c>
      <c r="U2147" s="14" t="s">
        <v>10551</v>
      </c>
    </row>
    <row r="2148" spans="1:21">
      <c r="A2148" s="14" t="s">
        <v>10552</v>
      </c>
      <c r="B2148" s="14">
        <v>893.6466827</v>
      </c>
      <c r="C2148" s="14">
        <v>1202.879507</v>
      </c>
      <c r="D2148" s="14">
        <v>584.4138588</v>
      </c>
      <c r="E2148" s="14">
        <v>0.485926081</v>
      </c>
      <c r="F2148" s="14">
        <v>-1.041191226</v>
      </c>
      <c r="G2148" s="51" t="s">
        <v>10553</v>
      </c>
      <c r="H2148" s="51" t="s">
        <v>10554</v>
      </c>
      <c r="I2148" s="14" t="s">
        <v>147</v>
      </c>
      <c r="J2148" s="14">
        <v>6.04613435</v>
      </c>
      <c r="K2148" s="14">
        <v>3.700474717</v>
      </c>
      <c r="L2148" s="14">
        <v>5.695691759</v>
      </c>
      <c r="M2148" s="14">
        <v>8.154620056</v>
      </c>
      <c r="N2148" s="14">
        <v>9.003334369</v>
      </c>
      <c r="O2148" s="14">
        <v>8.970166907</v>
      </c>
      <c r="P2148" s="14" t="s">
        <v>10555</v>
      </c>
      <c r="Q2148" s="14" t="s">
        <v>10556</v>
      </c>
      <c r="R2148" s="14" t="s">
        <v>9057</v>
      </c>
      <c r="S2148" s="14" t="s">
        <v>9058</v>
      </c>
      <c r="T2148" s="14" t="s">
        <v>10557</v>
      </c>
      <c r="U2148" s="14" t="s">
        <v>10558</v>
      </c>
    </row>
    <row r="2149" spans="1:15">
      <c r="A2149" s="14" t="s">
        <v>10559</v>
      </c>
      <c r="B2149" s="14">
        <v>523.3296754</v>
      </c>
      <c r="C2149" s="14">
        <v>131.0701414</v>
      </c>
      <c r="D2149" s="14">
        <v>915.5892093</v>
      </c>
      <c r="E2149" s="14">
        <v>6.974627968</v>
      </c>
      <c r="F2149" s="14">
        <v>2.802116264</v>
      </c>
      <c r="G2149" s="51" t="s">
        <v>10560</v>
      </c>
      <c r="H2149" s="51" t="s">
        <v>10561</v>
      </c>
      <c r="I2149" s="14" t="s">
        <v>164</v>
      </c>
      <c r="J2149" s="14">
        <v>13.34026928</v>
      </c>
      <c r="K2149" s="14">
        <v>10.67442933</v>
      </c>
      <c r="L2149" s="14">
        <v>13.19321962</v>
      </c>
      <c r="M2149" s="14">
        <v>1.307719057</v>
      </c>
      <c r="N2149" s="14">
        <v>1.089522081</v>
      </c>
      <c r="O2149" s="14">
        <v>2.042631349</v>
      </c>
    </row>
    <row r="2150" spans="1:21">
      <c r="A2150" s="14" t="s">
        <v>10562</v>
      </c>
      <c r="B2150" s="14">
        <v>245.2161077</v>
      </c>
      <c r="C2150" s="14">
        <v>127.1968439</v>
      </c>
      <c r="D2150" s="14">
        <v>363.2353714</v>
      </c>
      <c r="E2150" s="14">
        <v>2.854983488</v>
      </c>
      <c r="F2150" s="14">
        <v>1.513482402</v>
      </c>
      <c r="G2150" s="14">
        <v>0.014202045</v>
      </c>
      <c r="H2150" s="14">
        <v>0.036400147</v>
      </c>
      <c r="I2150" s="14" t="s">
        <v>164</v>
      </c>
      <c r="J2150" s="14">
        <v>11.86141186</v>
      </c>
      <c r="K2150" s="14">
        <v>1.916790306</v>
      </c>
      <c r="L2150" s="14">
        <v>6.199338801</v>
      </c>
      <c r="M2150" s="14">
        <v>1.53625008</v>
      </c>
      <c r="N2150" s="14">
        <v>1.786484326</v>
      </c>
      <c r="O2150" s="14">
        <v>2.489886643</v>
      </c>
      <c r="P2150" s="14" t="s">
        <v>10563</v>
      </c>
      <c r="Q2150" s="14" t="s">
        <v>10564</v>
      </c>
      <c r="T2150" s="14" t="s">
        <v>10565</v>
      </c>
      <c r="U2150" s="14" t="s">
        <v>10566</v>
      </c>
    </row>
    <row r="2151" spans="1:15">
      <c r="A2151" s="14" t="s">
        <v>10567</v>
      </c>
      <c r="B2151" s="14">
        <v>149.5627471</v>
      </c>
      <c r="C2151" s="14">
        <v>228.4608404</v>
      </c>
      <c r="D2151" s="14">
        <v>70.66465389</v>
      </c>
      <c r="E2151" s="14">
        <v>0.309801136</v>
      </c>
      <c r="F2151" s="14">
        <v>-1.69058566</v>
      </c>
      <c r="G2151" s="51" t="s">
        <v>10568</v>
      </c>
      <c r="H2151" s="51" t="s">
        <v>10569</v>
      </c>
      <c r="I2151" s="14" t="s">
        <v>147</v>
      </c>
      <c r="J2151" s="14">
        <v>6.558719929</v>
      </c>
      <c r="K2151" s="14">
        <v>5.764731632</v>
      </c>
      <c r="L2151" s="14">
        <v>7.471338345</v>
      </c>
      <c r="M2151" s="14">
        <v>18.33651543</v>
      </c>
      <c r="N2151" s="14">
        <v>18.42579934</v>
      </c>
      <c r="O2151" s="14">
        <v>15.54296555</v>
      </c>
    </row>
    <row r="2152" spans="1:21">
      <c r="A2152" s="14" t="s">
        <v>10570</v>
      </c>
      <c r="B2152" s="14">
        <v>74.01200085</v>
      </c>
      <c r="C2152" s="14">
        <v>142.0365847</v>
      </c>
      <c r="D2152" s="14">
        <v>5.987417001</v>
      </c>
      <c r="E2152" s="14">
        <v>0.041787662</v>
      </c>
      <c r="F2152" s="14">
        <v>-4.580779132</v>
      </c>
      <c r="G2152" s="51" t="s">
        <v>10571</v>
      </c>
      <c r="H2152" s="51" t="s">
        <v>10572</v>
      </c>
      <c r="I2152" s="14" t="s">
        <v>147</v>
      </c>
      <c r="J2152" s="14">
        <v>0.020704446</v>
      </c>
      <c r="K2152" s="14">
        <v>0.06251893</v>
      </c>
      <c r="L2152" s="14">
        <v>0.009967632</v>
      </c>
      <c r="M2152" s="14">
        <v>0.473865934</v>
      </c>
      <c r="N2152" s="14">
        <v>0.582081128</v>
      </c>
      <c r="O2152" s="14">
        <v>0.797257361</v>
      </c>
      <c r="P2152" s="14" t="s">
        <v>10573</v>
      </c>
      <c r="Q2152" s="14" t="s">
        <v>10574</v>
      </c>
      <c r="R2152" s="14" t="s">
        <v>5747</v>
      </c>
      <c r="S2152" s="14" t="s">
        <v>5748</v>
      </c>
      <c r="T2152" s="14" t="s">
        <v>10575</v>
      </c>
      <c r="U2152" s="14" t="s">
        <v>10576</v>
      </c>
    </row>
    <row r="2153" spans="1:15">
      <c r="A2153" s="14" t="s">
        <v>10577</v>
      </c>
      <c r="B2153" s="14">
        <v>416.7204433</v>
      </c>
      <c r="C2153" s="14">
        <v>673.2269638</v>
      </c>
      <c r="D2153" s="14">
        <v>160.2139229</v>
      </c>
      <c r="E2153" s="14">
        <v>0.238020651</v>
      </c>
      <c r="F2153" s="14">
        <v>-2.070841346</v>
      </c>
      <c r="G2153" s="51" t="s">
        <v>10578</v>
      </c>
      <c r="H2153" s="51" t="s">
        <v>10579</v>
      </c>
      <c r="I2153" s="14" t="s">
        <v>147</v>
      </c>
      <c r="J2153" s="14">
        <v>1.605533313</v>
      </c>
      <c r="K2153" s="14">
        <v>2.866674055</v>
      </c>
      <c r="L2153" s="14">
        <v>2.298666529</v>
      </c>
      <c r="M2153" s="14">
        <v>9.078271341</v>
      </c>
      <c r="N2153" s="14">
        <v>9.27105866</v>
      </c>
      <c r="O2153" s="14">
        <v>4.686438727</v>
      </c>
    </row>
    <row r="2154" spans="1:15">
      <c r="A2154" s="14" t="s">
        <v>10580</v>
      </c>
      <c r="B2154" s="14">
        <v>57.49846579</v>
      </c>
      <c r="C2154" s="14">
        <v>105.7248177</v>
      </c>
      <c r="D2154" s="14">
        <v>9.272113888</v>
      </c>
      <c r="E2154" s="14">
        <v>0.087549138</v>
      </c>
      <c r="F2154" s="14">
        <v>-3.513763218</v>
      </c>
      <c r="G2154" s="14">
        <v>0.000127956</v>
      </c>
      <c r="H2154" s="14">
        <v>0.000590944</v>
      </c>
      <c r="I2154" s="14" t="s">
        <v>147</v>
      </c>
      <c r="J2154" s="14">
        <v>1.920696116</v>
      </c>
      <c r="K2154" s="14">
        <v>0.460294765</v>
      </c>
      <c r="L2154" s="14">
        <v>0.176127731</v>
      </c>
      <c r="M2154" s="14">
        <v>10.25129533</v>
      </c>
      <c r="N2154" s="14">
        <v>9.834900842</v>
      </c>
      <c r="O2154" s="14">
        <v>3.445315254</v>
      </c>
    </row>
    <row r="2155" spans="1:21">
      <c r="A2155" s="14" t="s">
        <v>10581</v>
      </c>
      <c r="B2155" s="14">
        <v>85.41842429</v>
      </c>
      <c r="C2155" s="14">
        <v>42.44565568</v>
      </c>
      <c r="D2155" s="14">
        <v>128.3911929</v>
      </c>
      <c r="E2155" s="14">
        <v>3.032673107</v>
      </c>
      <c r="F2155" s="14">
        <v>1.600589998</v>
      </c>
      <c r="G2155" s="14">
        <v>0.000138029</v>
      </c>
      <c r="H2155" s="14">
        <v>0.000632873</v>
      </c>
      <c r="I2155" s="14" t="s">
        <v>164</v>
      </c>
      <c r="J2155" s="14">
        <v>0.584212174</v>
      </c>
      <c r="K2155" s="14">
        <v>0.561298503</v>
      </c>
      <c r="L2155" s="14">
        <v>0.925581942</v>
      </c>
      <c r="M2155" s="14">
        <v>0.186307295</v>
      </c>
      <c r="N2155" s="14">
        <v>0.23977281</v>
      </c>
      <c r="O2155" s="14">
        <v>0.12892971</v>
      </c>
      <c r="P2155" s="14" t="s">
        <v>10582</v>
      </c>
      <c r="Q2155" s="14" t="s">
        <v>10583</v>
      </c>
      <c r="T2155" s="14" t="s">
        <v>10584</v>
      </c>
      <c r="U2155" s="14" t="s">
        <v>10585</v>
      </c>
    </row>
    <row r="2156" spans="1:21">
      <c r="A2156" s="14" t="s">
        <v>10586</v>
      </c>
      <c r="B2156" s="14">
        <v>1408.465463</v>
      </c>
      <c r="C2156" s="14">
        <v>123.8197567</v>
      </c>
      <c r="D2156" s="14">
        <v>2693.11117</v>
      </c>
      <c r="E2156" s="14">
        <v>21.76089849</v>
      </c>
      <c r="F2156" s="14">
        <v>4.44366622</v>
      </c>
      <c r="G2156" s="51" t="s">
        <v>10587</v>
      </c>
      <c r="H2156" s="51" t="s">
        <v>10588</v>
      </c>
      <c r="I2156" s="14" t="s">
        <v>164</v>
      </c>
      <c r="J2156" s="14">
        <v>72.48538589</v>
      </c>
      <c r="K2156" s="14">
        <v>26.18754145</v>
      </c>
      <c r="L2156" s="14">
        <v>47.00943269</v>
      </c>
      <c r="M2156" s="14">
        <v>1.480983966</v>
      </c>
      <c r="N2156" s="14">
        <v>3.032076875</v>
      </c>
      <c r="O2156" s="14">
        <v>0.896270034</v>
      </c>
      <c r="Q2156" s="14" t="s">
        <v>10589</v>
      </c>
      <c r="T2156" s="14" t="s">
        <v>8763</v>
      </c>
      <c r="U2156" s="14" t="s">
        <v>8764</v>
      </c>
    </row>
    <row r="2157" spans="1:15">
      <c r="A2157" s="14" t="s">
        <v>10590</v>
      </c>
      <c r="B2157" s="14">
        <v>39.51720362</v>
      </c>
      <c r="C2157" s="14">
        <v>74.40523734</v>
      </c>
      <c r="D2157" s="14">
        <v>4.62916991</v>
      </c>
      <c r="E2157" s="14">
        <v>0.061997337</v>
      </c>
      <c r="F2157" s="14">
        <v>-4.011649946</v>
      </c>
      <c r="G2157" s="51" t="s">
        <v>10591</v>
      </c>
      <c r="H2157" s="51" t="s">
        <v>10592</v>
      </c>
      <c r="I2157" s="14" t="s">
        <v>147</v>
      </c>
      <c r="J2157" s="14">
        <v>0.66114277</v>
      </c>
      <c r="K2157" s="14">
        <v>0.055454996</v>
      </c>
      <c r="L2157" s="14">
        <v>0.053048412</v>
      </c>
      <c r="M2157" s="14">
        <v>3.111186378</v>
      </c>
      <c r="N2157" s="14">
        <v>3.482282967</v>
      </c>
      <c r="O2157" s="14">
        <v>3.643495084</v>
      </c>
    </row>
    <row r="2158" spans="1:21">
      <c r="A2158" s="14" t="s">
        <v>10593</v>
      </c>
      <c r="B2158" s="14">
        <v>1039.3205</v>
      </c>
      <c r="C2158" s="14">
        <v>1423.246582</v>
      </c>
      <c r="D2158" s="14">
        <v>655.3944177</v>
      </c>
      <c r="E2158" s="14">
        <v>0.460537874</v>
      </c>
      <c r="F2158" s="14">
        <v>-1.118608289</v>
      </c>
      <c r="G2158" s="51" t="s">
        <v>3640</v>
      </c>
      <c r="H2158" s="51" t="s">
        <v>10594</v>
      </c>
      <c r="I2158" s="14" t="s">
        <v>147</v>
      </c>
      <c r="J2158" s="14">
        <v>4.419584775</v>
      </c>
      <c r="K2158" s="14">
        <v>6.863313735</v>
      </c>
      <c r="L2158" s="14">
        <v>5.414483178</v>
      </c>
      <c r="M2158" s="14">
        <v>11.13524408</v>
      </c>
      <c r="N2158" s="14">
        <v>10.10941018</v>
      </c>
      <c r="O2158" s="14">
        <v>8.385833137</v>
      </c>
      <c r="P2158" s="14" t="s">
        <v>10595</v>
      </c>
      <c r="Q2158" s="14" t="s">
        <v>10596</v>
      </c>
      <c r="R2158" s="14" t="s">
        <v>754</v>
      </c>
      <c r="S2158" s="14" t="s">
        <v>755</v>
      </c>
      <c r="T2158" s="14" t="s">
        <v>10597</v>
      </c>
      <c r="U2158" s="14" t="s">
        <v>10598</v>
      </c>
    </row>
    <row r="2159" spans="1:21">
      <c r="A2159" s="14" t="s">
        <v>10599</v>
      </c>
      <c r="B2159" s="14">
        <v>4969.608665</v>
      </c>
      <c r="C2159" s="14">
        <v>3155.076634</v>
      </c>
      <c r="D2159" s="14">
        <v>6784.140696</v>
      </c>
      <c r="E2159" s="14">
        <v>2.150349515</v>
      </c>
      <c r="F2159" s="14">
        <v>1.104571173</v>
      </c>
      <c r="G2159" s="14">
        <v>0.009456058</v>
      </c>
      <c r="H2159" s="14">
        <v>0.025735792</v>
      </c>
      <c r="I2159" s="14" t="s">
        <v>164</v>
      </c>
      <c r="J2159" s="14">
        <v>129.9862071</v>
      </c>
      <c r="K2159" s="14">
        <v>163.0460196</v>
      </c>
      <c r="L2159" s="14">
        <v>134.4592312</v>
      </c>
      <c r="M2159" s="14">
        <v>65.77088943</v>
      </c>
      <c r="N2159" s="14">
        <v>69.59387717</v>
      </c>
      <c r="O2159" s="14">
        <v>24.73223826</v>
      </c>
      <c r="P2159" s="14" t="s">
        <v>10600</v>
      </c>
      <c r="Q2159" s="14" t="s">
        <v>10601</v>
      </c>
      <c r="T2159" s="14" t="s">
        <v>3353</v>
      </c>
      <c r="U2159" s="14" t="s">
        <v>3354</v>
      </c>
    </row>
    <row r="2160" spans="1:21">
      <c r="A2160" s="14" t="s">
        <v>10602</v>
      </c>
      <c r="B2160" s="14">
        <v>1999.095892</v>
      </c>
      <c r="C2160" s="14">
        <v>1306.546866</v>
      </c>
      <c r="D2160" s="14">
        <v>2691.644919</v>
      </c>
      <c r="E2160" s="14">
        <v>2.059605911</v>
      </c>
      <c r="F2160" s="14">
        <v>1.042368316</v>
      </c>
      <c r="G2160" s="51" t="s">
        <v>7032</v>
      </c>
      <c r="H2160" s="14">
        <v>0.000111198</v>
      </c>
      <c r="I2160" s="14" t="s">
        <v>164</v>
      </c>
      <c r="J2160" s="14">
        <v>17.98276198</v>
      </c>
      <c r="K2160" s="14">
        <v>15.25296664</v>
      </c>
      <c r="L2160" s="14">
        <v>18.27526858</v>
      </c>
      <c r="M2160" s="14">
        <v>5.164667768</v>
      </c>
      <c r="N2160" s="14">
        <v>5.773789261</v>
      </c>
      <c r="O2160" s="14">
        <v>9.968623398</v>
      </c>
      <c r="P2160" s="14" t="s">
        <v>10603</v>
      </c>
      <c r="Q2160" s="14" t="s">
        <v>10604</v>
      </c>
      <c r="T2160" s="14" t="s">
        <v>10605</v>
      </c>
      <c r="U2160" s="14" t="s">
        <v>10606</v>
      </c>
    </row>
    <row r="2161" spans="1:21">
      <c r="A2161" s="14" t="s">
        <v>10607</v>
      </c>
      <c r="B2161" s="14">
        <v>1267.043626</v>
      </c>
      <c r="C2161" s="14">
        <v>1812.724001</v>
      </c>
      <c r="D2161" s="14">
        <v>721.3632506</v>
      </c>
      <c r="E2161" s="14">
        <v>0.397950998</v>
      </c>
      <c r="F2161" s="14">
        <v>-1.329337302</v>
      </c>
      <c r="G2161" s="14">
        <v>0.000446632</v>
      </c>
      <c r="H2161" s="14">
        <v>0.00179956</v>
      </c>
      <c r="I2161" s="14" t="s">
        <v>147</v>
      </c>
      <c r="J2161" s="14">
        <v>34.61458146</v>
      </c>
      <c r="K2161" s="14">
        <v>50.55094665</v>
      </c>
      <c r="L2161" s="14">
        <v>30.5682836</v>
      </c>
      <c r="M2161" s="14">
        <v>88.71188722</v>
      </c>
      <c r="N2161" s="14">
        <v>99.14075375</v>
      </c>
      <c r="O2161" s="14">
        <v>48.13013006</v>
      </c>
      <c r="P2161" s="14" t="s">
        <v>10608</v>
      </c>
      <c r="Q2161" s="14" t="s">
        <v>10609</v>
      </c>
      <c r="T2161" s="14" t="s">
        <v>10610</v>
      </c>
      <c r="U2161" s="14" t="s">
        <v>10611</v>
      </c>
    </row>
    <row r="2162" spans="1:21">
      <c r="A2162" s="14" t="s">
        <v>10612</v>
      </c>
      <c r="B2162" s="14">
        <v>5326.119464</v>
      </c>
      <c r="C2162" s="14">
        <v>3200.280294</v>
      </c>
      <c r="D2162" s="14">
        <v>7451.958635</v>
      </c>
      <c r="E2162" s="14">
        <v>2.328764794</v>
      </c>
      <c r="F2162" s="14">
        <v>1.219564934</v>
      </c>
      <c r="G2162" s="51" t="s">
        <v>10613</v>
      </c>
      <c r="H2162" s="51" t="s">
        <v>10614</v>
      </c>
      <c r="I2162" s="14" t="s">
        <v>164</v>
      </c>
      <c r="J2162" s="14">
        <v>119.4424379</v>
      </c>
      <c r="K2162" s="14">
        <v>120.4560823</v>
      </c>
      <c r="L2162" s="14">
        <v>134.6463301</v>
      </c>
      <c r="M2162" s="14">
        <v>42.38467436</v>
      </c>
      <c r="N2162" s="14">
        <v>49.19863083</v>
      </c>
      <c r="O2162" s="14">
        <v>40.16345501</v>
      </c>
      <c r="P2162" s="14" t="s">
        <v>10615</v>
      </c>
      <c r="Q2162" s="14" t="s">
        <v>10616</v>
      </c>
      <c r="T2162" s="14" t="s">
        <v>10617</v>
      </c>
      <c r="U2162" s="14" t="s">
        <v>10618</v>
      </c>
    </row>
    <row r="2163" spans="1:15">
      <c r="A2163" s="14" t="s">
        <v>10619</v>
      </c>
      <c r="B2163" s="14">
        <v>427.9035201</v>
      </c>
      <c r="C2163" s="14">
        <v>150.4683196</v>
      </c>
      <c r="D2163" s="14">
        <v>705.3387207</v>
      </c>
      <c r="E2163" s="14">
        <v>4.684165503</v>
      </c>
      <c r="F2163" s="14">
        <v>2.227792051</v>
      </c>
      <c r="G2163" s="14">
        <v>0.008701827</v>
      </c>
      <c r="H2163" s="14">
        <v>0.023976124</v>
      </c>
      <c r="I2163" s="14" t="s">
        <v>164</v>
      </c>
      <c r="J2163" s="14">
        <v>40.32193397</v>
      </c>
      <c r="K2163" s="14">
        <v>45.33601048</v>
      </c>
      <c r="L2163" s="14">
        <v>58.62546512</v>
      </c>
      <c r="M2163" s="14">
        <v>2.769169207</v>
      </c>
      <c r="N2163" s="14">
        <v>1.494387619</v>
      </c>
      <c r="O2163" s="14">
        <v>22.63401672</v>
      </c>
    </row>
    <row r="2164" spans="1:21">
      <c r="A2164" s="14" t="s">
        <v>10620</v>
      </c>
      <c r="B2164" s="14">
        <v>732.052559</v>
      </c>
      <c r="C2164" s="14">
        <v>1186.318754</v>
      </c>
      <c r="D2164" s="14">
        <v>277.7863637</v>
      </c>
      <c r="E2164" s="14">
        <v>0.234123687</v>
      </c>
      <c r="F2164" s="14">
        <v>-2.094657193</v>
      </c>
      <c r="G2164" s="51" t="s">
        <v>10621</v>
      </c>
      <c r="H2164" s="51" t="s">
        <v>10622</v>
      </c>
      <c r="I2164" s="14" t="s">
        <v>147</v>
      </c>
      <c r="J2164" s="14">
        <v>2.314823217</v>
      </c>
      <c r="K2164" s="14">
        <v>2.174609463</v>
      </c>
      <c r="L2164" s="14">
        <v>2.346132875</v>
      </c>
      <c r="M2164" s="14">
        <v>5.378758139</v>
      </c>
      <c r="N2164" s="14">
        <v>3.920212616</v>
      </c>
      <c r="O2164" s="14">
        <v>15.54949266</v>
      </c>
      <c r="P2164" s="14" t="s">
        <v>10623</v>
      </c>
      <c r="Q2164" s="14" t="s">
        <v>10624</v>
      </c>
      <c r="T2164" s="14" t="s">
        <v>10625</v>
      </c>
      <c r="U2164" s="14" t="s">
        <v>10626</v>
      </c>
    </row>
    <row r="2165" spans="1:21">
      <c r="A2165" s="14" t="s">
        <v>10627</v>
      </c>
      <c r="B2165" s="14">
        <v>4198.395718</v>
      </c>
      <c r="C2165" s="14">
        <v>7185.766723</v>
      </c>
      <c r="D2165" s="14">
        <v>1211.024713</v>
      </c>
      <c r="E2165" s="14">
        <v>0.168535156</v>
      </c>
      <c r="F2165" s="14">
        <v>-2.568878531</v>
      </c>
      <c r="G2165" s="51" t="s">
        <v>6685</v>
      </c>
      <c r="H2165" s="51" t="s">
        <v>6686</v>
      </c>
      <c r="I2165" s="14" t="s">
        <v>147</v>
      </c>
      <c r="J2165" s="14">
        <v>10.12308431</v>
      </c>
      <c r="K2165" s="14">
        <v>10.98615423</v>
      </c>
      <c r="L2165" s="14">
        <v>10.10770263</v>
      </c>
      <c r="M2165" s="14">
        <v>59.94405906</v>
      </c>
      <c r="N2165" s="14">
        <v>56.44694061</v>
      </c>
      <c r="O2165" s="14">
        <v>33.88898878</v>
      </c>
      <c r="P2165" s="14" t="s">
        <v>10628</v>
      </c>
      <c r="Q2165" s="14" t="s">
        <v>10629</v>
      </c>
      <c r="R2165" s="14" t="s">
        <v>1735</v>
      </c>
      <c r="S2165" s="14" t="s">
        <v>1736</v>
      </c>
      <c r="T2165" s="14" t="s">
        <v>10630</v>
      </c>
      <c r="U2165" s="14" t="s">
        <v>10631</v>
      </c>
    </row>
    <row r="2166" spans="1:21">
      <c r="A2166" s="14" t="s">
        <v>10632</v>
      </c>
      <c r="B2166" s="14">
        <v>343.8697581</v>
      </c>
      <c r="C2166" s="14">
        <v>557.3005961</v>
      </c>
      <c r="D2166" s="14">
        <v>130.4389201</v>
      </c>
      <c r="E2166" s="14">
        <v>0.234070005</v>
      </c>
      <c r="F2166" s="14">
        <v>-2.094988022</v>
      </c>
      <c r="G2166" s="51" t="s">
        <v>4508</v>
      </c>
      <c r="H2166" s="51" t="s">
        <v>410</v>
      </c>
      <c r="I2166" s="14" t="s">
        <v>147</v>
      </c>
      <c r="J2166" s="14">
        <v>0.658157439</v>
      </c>
      <c r="K2166" s="14">
        <v>0.282990537</v>
      </c>
      <c r="L2166" s="14">
        <v>0.319929505</v>
      </c>
      <c r="M2166" s="14">
        <v>1.864296718</v>
      </c>
      <c r="N2166" s="14">
        <v>1.505337196</v>
      </c>
      <c r="O2166" s="14">
        <v>1.002930714</v>
      </c>
      <c r="P2166" s="14" t="s">
        <v>10633</v>
      </c>
      <c r="Q2166" s="14" t="s">
        <v>10634</v>
      </c>
      <c r="T2166" s="14" t="s">
        <v>10635</v>
      </c>
      <c r="U2166" s="14" t="s">
        <v>10636</v>
      </c>
    </row>
    <row r="2167" spans="1:21">
      <c r="A2167" s="14" t="s">
        <v>10637</v>
      </c>
      <c r="B2167" s="14">
        <v>311.3761787</v>
      </c>
      <c r="C2167" s="14">
        <v>535.0013308</v>
      </c>
      <c r="D2167" s="14">
        <v>87.75102655</v>
      </c>
      <c r="E2167" s="14">
        <v>0.164003497</v>
      </c>
      <c r="F2167" s="14">
        <v>-2.60820152</v>
      </c>
      <c r="G2167" s="51" t="s">
        <v>10638</v>
      </c>
      <c r="H2167" s="51" t="s">
        <v>4760</v>
      </c>
      <c r="I2167" s="14" t="s">
        <v>147</v>
      </c>
      <c r="J2167" s="14">
        <v>1.893820121</v>
      </c>
      <c r="K2167" s="14">
        <v>2.012085771</v>
      </c>
      <c r="L2167" s="14">
        <v>1.681638688</v>
      </c>
      <c r="M2167" s="14">
        <v>10.60424121</v>
      </c>
      <c r="N2167" s="14">
        <v>9.154432212</v>
      </c>
      <c r="O2167" s="14">
        <v>8.102725724</v>
      </c>
      <c r="P2167" s="14" t="s">
        <v>10639</v>
      </c>
      <c r="Q2167" s="14" t="s">
        <v>10640</v>
      </c>
      <c r="R2167" s="14" t="s">
        <v>242</v>
      </c>
      <c r="S2167" s="14" t="s">
        <v>243</v>
      </c>
      <c r="T2167" s="14" t="s">
        <v>10641</v>
      </c>
      <c r="U2167" s="14" t="s">
        <v>10642</v>
      </c>
    </row>
    <row r="2168" spans="1:21">
      <c r="A2168" s="14" t="s">
        <v>10643</v>
      </c>
      <c r="B2168" s="14">
        <v>119.7977727</v>
      </c>
      <c r="C2168" s="14">
        <v>51.40572771</v>
      </c>
      <c r="D2168" s="14">
        <v>188.1898177</v>
      </c>
      <c r="E2168" s="14">
        <v>3.664726606</v>
      </c>
      <c r="F2168" s="14">
        <v>1.873705575</v>
      </c>
      <c r="G2168" s="14">
        <v>0.008057499</v>
      </c>
      <c r="H2168" s="14">
        <v>0.022394793</v>
      </c>
      <c r="I2168" s="14" t="s">
        <v>164</v>
      </c>
      <c r="J2168" s="14">
        <v>1.912292438</v>
      </c>
      <c r="K2168" s="14">
        <v>1.97624415</v>
      </c>
      <c r="L2168" s="14">
        <v>1.939712248</v>
      </c>
      <c r="M2168" s="14">
        <v>0.349978027</v>
      </c>
      <c r="N2168" s="14">
        <v>0.822617801</v>
      </c>
      <c r="O2168" s="14">
        <v>0.102723791</v>
      </c>
      <c r="P2168" s="14" t="s">
        <v>10644</v>
      </c>
      <c r="Q2168" s="14" t="s">
        <v>10645</v>
      </c>
      <c r="T2168" s="14" t="s">
        <v>10646</v>
      </c>
      <c r="U2168" s="14" t="s">
        <v>10647</v>
      </c>
    </row>
    <row r="2169" spans="1:17">
      <c r="A2169" s="14" t="s">
        <v>10648</v>
      </c>
      <c r="B2169" s="14">
        <v>232.8583857</v>
      </c>
      <c r="C2169" s="14">
        <v>111.054724</v>
      </c>
      <c r="D2169" s="14">
        <v>354.6620475</v>
      </c>
      <c r="E2169" s="14">
        <v>3.191426168</v>
      </c>
      <c r="F2169" s="14">
        <v>1.674201272</v>
      </c>
      <c r="G2169" s="51" t="s">
        <v>10649</v>
      </c>
      <c r="H2169" s="51" t="s">
        <v>9620</v>
      </c>
      <c r="I2169" s="14" t="s">
        <v>164</v>
      </c>
      <c r="J2169" s="14">
        <v>6.691189221</v>
      </c>
      <c r="K2169" s="14">
        <v>12.73356197</v>
      </c>
      <c r="L2169" s="14">
        <v>9.650869947</v>
      </c>
      <c r="M2169" s="14">
        <v>2.294614</v>
      </c>
      <c r="N2169" s="14">
        <v>2.156936794</v>
      </c>
      <c r="O2169" s="14">
        <v>3.106733605</v>
      </c>
      <c r="P2169" s="14" t="s">
        <v>10650</v>
      </c>
      <c r="Q2169" s="14" t="s">
        <v>10651</v>
      </c>
    </row>
    <row r="2170" spans="1:21">
      <c r="A2170" s="14" t="s">
        <v>10652</v>
      </c>
      <c r="B2170" s="14">
        <v>3836.473195</v>
      </c>
      <c r="C2170" s="14">
        <v>5199.048914</v>
      </c>
      <c r="D2170" s="14">
        <v>2473.897475</v>
      </c>
      <c r="E2170" s="14">
        <v>0.475851768</v>
      </c>
      <c r="F2170" s="14">
        <v>-1.071415864</v>
      </c>
      <c r="G2170" s="14">
        <v>0.000940716</v>
      </c>
      <c r="H2170" s="14">
        <v>0.003470789</v>
      </c>
      <c r="I2170" s="14" t="s">
        <v>147</v>
      </c>
      <c r="J2170" s="14">
        <v>70.43290539</v>
      </c>
      <c r="K2170" s="14">
        <v>96.30723134</v>
      </c>
      <c r="L2170" s="14">
        <v>75.89931017</v>
      </c>
      <c r="M2170" s="14">
        <v>161.7617884</v>
      </c>
      <c r="N2170" s="14">
        <v>162.8270767</v>
      </c>
      <c r="O2170" s="14">
        <v>88.96811387</v>
      </c>
      <c r="P2170" s="14" t="s">
        <v>10653</v>
      </c>
      <c r="Q2170" s="14" t="s">
        <v>10654</v>
      </c>
      <c r="T2170" s="14" t="s">
        <v>10655</v>
      </c>
      <c r="U2170" s="14" t="s">
        <v>10656</v>
      </c>
    </row>
    <row r="2171" spans="1:21">
      <c r="A2171" s="14" t="s">
        <v>10657</v>
      </c>
      <c r="B2171" s="14">
        <v>558.1056412</v>
      </c>
      <c r="C2171" s="14">
        <v>303.3756862</v>
      </c>
      <c r="D2171" s="14">
        <v>812.8355963</v>
      </c>
      <c r="E2171" s="14">
        <v>2.677791862</v>
      </c>
      <c r="F2171" s="14">
        <v>1.421043828</v>
      </c>
      <c r="G2171" s="14">
        <v>0.000136045</v>
      </c>
      <c r="H2171" s="14">
        <v>0.000624743</v>
      </c>
      <c r="I2171" s="14" t="s">
        <v>164</v>
      </c>
      <c r="J2171" s="14">
        <v>12.75067987</v>
      </c>
      <c r="K2171" s="14">
        <v>9.303071447</v>
      </c>
      <c r="L2171" s="14">
        <v>15.58119739</v>
      </c>
      <c r="M2171" s="14">
        <v>2.962245224</v>
      </c>
      <c r="N2171" s="14">
        <v>2.553974511</v>
      </c>
      <c r="O2171" s="14">
        <v>6.281585235</v>
      </c>
      <c r="P2171" s="14" t="s">
        <v>10658</v>
      </c>
      <c r="Q2171" s="14" t="s">
        <v>10659</v>
      </c>
      <c r="T2171" s="14" t="s">
        <v>10660</v>
      </c>
      <c r="U2171" s="14" t="s">
        <v>10661</v>
      </c>
    </row>
    <row r="2172" spans="1:21">
      <c r="A2172" s="14" t="s">
        <v>10662</v>
      </c>
      <c r="B2172" s="14">
        <v>176.7077283</v>
      </c>
      <c r="C2172" s="14">
        <v>280.0482852</v>
      </c>
      <c r="D2172" s="14">
        <v>73.36717132</v>
      </c>
      <c r="E2172" s="14">
        <v>0.262166451</v>
      </c>
      <c r="F2172" s="14">
        <v>-1.931445014</v>
      </c>
      <c r="G2172" s="51" t="s">
        <v>10663</v>
      </c>
      <c r="H2172" s="51" t="s">
        <v>10664</v>
      </c>
      <c r="I2172" s="14" t="s">
        <v>147</v>
      </c>
      <c r="J2172" s="14">
        <v>0.475107187</v>
      </c>
      <c r="K2172" s="14">
        <v>0.264541467</v>
      </c>
      <c r="L2172" s="14">
        <v>0.38445828</v>
      </c>
      <c r="M2172" s="14">
        <v>1.236795411</v>
      </c>
      <c r="N2172" s="14">
        <v>1.165814339</v>
      </c>
      <c r="O2172" s="14">
        <v>1.11274739</v>
      </c>
      <c r="P2172" s="14" t="s">
        <v>10665</v>
      </c>
      <c r="Q2172" s="14" t="s">
        <v>10666</v>
      </c>
      <c r="T2172" s="14" t="s">
        <v>10667</v>
      </c>
      <c r="U2172" s="14" t="s">
        <v>10668</v>
      </c>
    </row>
    <row r="2173" spans="1:21">
      <c r="A2173" s="14" t="s">
        <v>10669</v>
      </c>
      <c r="B2173" s="14">
        <v>3246.613292</v>
      </c>
      <c r="C2173" s="14">
        <v>4575.829239</v>
      </c>
      <c r="D2173" s="14">
        <v>1917.397345</v>
      </c>
      <c r="E2173" s="14">
        <v>0.41904298</v>
      </c>
      <c r="F2173" s="14">
        <v>-1.254829872</v>
      </c>
      <c r="G2173" s="14">
        <v>0.000184179</v>
      </c>
      <c r="H2173" s="14">
        <v>0.000816319</v>
      </c>
      <c r="I2173" s="14" t="s">
        <v>147</v>
      </c>
      <c r="J2173" s="14">
        <v>13.17275808</v>
      </c>
      <c r="K2173" s="14">
        <v>20.0292125</v>
      </c>
      <c r="L2173" s="14">
        <v>16.08524422</v>
      </c>
      <c r="M2173" s="14">
        <v>37.95360472</v>
      </c>
      <c r="N2173" s="14">
        <v>36.8930092</v>
      </c>
      <c r="O2173" s="14">
        <v>20.51104679</v>
      </c>
      <c r="P2173" s="14" t="s">
        <v>10670</v>
      </c>
      <c r="Q2173" s="14" t="s">
        <v>10671</v>
      </c>
      <c r="T2173" s="14" t="s">
        <v>10672</v>
      </c>
      <c r="U2173" s="14" t="s">
        <v>10673</v>
      </c>
    </row>
    <row r="2174" spans="1:21">
      <c r="A2174" s="14" t="s">
        <v>10674</v>
      </c>
      <c r="B2174" s="14">
        <v>391.083284</v>
      </c>
      <c r="C2174" s="14">
        <v>62.2203128</v>
      </c>
      <c r="D2174" s="14">
        <v>719.9462551</v>
      </c>
      <c r="E2174" s="14">
        <v>11.59411545</v>
      </c>
      <c r="F2174" s="14">
        <v>3.535320852</v>
      </c>
      <c r="G2174" s="51" t="s">
        <v>10675</v>
      </c>
      <c r="H2174" s="51" t="s">
        <v>10676</v>
      </c>
      <c r="I2174" s="14" t="s">
        <v>164</v>
      </c>
      <c r="J2174" s="14">
        <v>6.664885684</v>
      </c>
      <c r="K2174" s="14">
        <v>8.452977754</v>
      </c>
      <c r="L2174" s="14">
        <v>5.725764034</v>
      </c>
      <c r="M2174" s="14">
        <v>0.483396568</v>
      </c>
      <c r="N2174" s="14">
        <v>0.668131146</v>
      </c>
      <c r="O2174" s="14">
        <v>0.312626049</v>
      </c>
      <c r="P2174" s="14" t="s">
        <v>10677</v>
      </c>
      <c r="Q2174" s="14" t="s">
        <v>10678</v>
      </c>
      <c r="T2174" s="14" t="s">
        <v>399</v>
      </c>
      <c r="U2174" s="14" t="s">
        <v>400</v>
      </c>
    </row>
    <row r="2175" spans="1:21">
      <c r="A2175" s="14" t="s">
        <v>10679</v>
      </c>
      <c r="B2175" s="14">
        <v>1902.962505</v>
      </c>
      <c r="C2175" s="14">
        <v>1218.073117</v>
      </c>
      <c r="D2175" s="14">
        <v>2587.851893</v>
      </c>
      <c r="E2175" s="14">
        <v>2.124195323</v>
      </c>
      <c r="F2175" s="14">
        <v>1.08691643</v>
      </c>
      <c r="G2175" s="51" t="s">
        <v>10680</v>
      </c>
      <c r="H2175" s="51" t="s">
        <v>10681</v>
      </c>
      <c r="I2175" s="14" t="s">
        <v>164</v>
      </c>
      <c r="J2175" s="14">
        <v>226.4108491</v>
      </c>
      <c r="K2175" s="14">
        <v>214.8363851</v>
      </c>
      <c r="L2175" s="14">
        <v>255.5444022</v>
      </c>
      <c r="M2175" s="14">
        <v>78.73271712</v>
      </c>
      <c r="N2175" s="14">
        <v>90.33541224</v>
      </c>
      <c r="O2175" s="14">
        <v>101.7906613</v>
      </c>
      <c r="Q2175" s="14" t="s">
        <v>6001</v>
      </c>
      <c r="R2175" s="14" t="s">
        <v>6002</v>
      </c>
      <c r="S2175" s="14" t="s">
        <v>6003</v>
      </c>
      <c r="T2175" s="14" t="s">
        <v>6004</v>
      </c>
      <c r="U2175" s="14" t="s">
        <v>6005</v>
      </c>
    </row>
    <row r="2176" spans="1:21">
      <c r="A2176" s="14" t="s">
        <v>10682</v>
      </c>
      <c r="B2176" s="14">
        <v>1173.807557</v>
      </c>
      <c r="C2176" s="14">
        <v>404.9819931</v>
      </c>
      <c r="D2176" s="14">
        <v>1942.633121</v>
      </c>
      <c r="E2176" s="14">
        <v>4.799223606</v>
      </c>
      <c r="F2176" s="14">
        <v>2.262801033</v>
      </c>
      <c r="G2176" s="51" t="s">
        <v>4348</v>
      </c>
      <c r="H2176" s="51" t="s">
        <v>4349</v>
      </c>
      <c r="I2176" s="14" t="s">
        <v>164</v>
      </c>
      <c r="J2176" s="14">
        <v>63.80204885</v>
      </c>
      <c r="K2176" s="14">
        <v>41.28770036</v>
      </c>
      <c r="L2176" s="14">
        <v>70.04022205</v>
      </c>
      <c r="M2176" s="14">
        <v>11.08038686</v>
      </c>
      <c r="N2176" s="14">
        <v>11.53242969</v>
      </c>
      <c r="O2176" s="14">
        <v>6.986887618</v>
      </c>
      <c r="Q2176" s="14" t="s">
        <v>10683</v>
      </c>
      <c r="T2176" s="14" t="s">
        <v>10684</v>
      </c>
      <c r="U2176" s="14" t="s">
        <v>10685</v>
      </c>
    </row>
    <row r="2177" spans="1:21">
      <c r="A2177" s="14" t="s">
        <v>10686</v>
      </c>
      <c r="B2177" s="14">
        <v>48.12398477</v>
      </c>
      <c r="C2177" s="14">
        <v>23.11794425</v>
      </c>
      <c r="D2177" s="14">
        <v>73.1300253</v>
      </c>
      <c r="E2177" s="14">
        <v>3.150607484</v>
      </c>
      <c r="F2177" s="14">
        <v>1.655630029</v>
      </c>
      <c r="G2177" s="14">
        <v>0.000183364</v>
      </c>
      <c r="H2177" s="14">
        <v>0.000813516</v>
      </c>
      <c r="I2177" s="14" t="s">
        <v>164</v>
      </c>
      <c r="J2177" s="14">
        <v>1.168369351</v>
      </c>
      <c r="K2177" s="14">
        <v>1.753682199</v>
      </c>
      <c r="L2177" s="14">
        <v>1.618368936</v>
      </c>
      <c r="M2177" s="14">
        <v>0.333216875</v>
      </c>
      <c r="N2177" s="14">
        <v>0.269205922</v>
      </c>
      <c r="O2177" s="14">
        <v>0.600551747</v>
      </c>
      <c r="P2177" s="14" t="s">
        <v>10687</v>
      </c>
      <c r="Q2177" s="14" t="s">
        <v>10688</v>
      </c>
      <c r="T2177" s="14" t="s">
        <v>406</v>
      </c>
      <c r="U2177" s="14" t="s">
        <v>407</v>
      </c>
    </row>
    <row r="2178" spans="1:21">
      <c r="A2178" s="14" t="s">
        <v>10689</v>
      </c>
      <c r="B2178" s="14">
        <v>392.120045</v>
      </c>
      <c r="C2178" s="14">
        <v>595.9344372</v>
      </c>
      <c r="D2178" s="14">
        <v>188.3056528</v>
      </c>
      <c r="E2178" s="14">
        <v>0.316086107</v>
      </c>
      <c r="F2178" s="14">
        <v>-1.66161047</v>
      </c>
      <c r="G2178" s="51" t="s">
        <v>4490</v>
      </c>
      <c r="H2178" s="51" t="s">
        <v>4491</v>
      </c>
      <c r="I2178" s="14" t="s">
        <v>147</v>
      </c>
      <c r="J2178" s="14">
        <v>1.307093748</v>
      </c>
      <c r="K2178" s="14">
        <v>1.13852501</v>
      </c>
      <c r="L2178" s="14">
        <v>1.137521549</v>
      </c>
      <c r="M2178" s="14">
        <v>3.39266398</v>
      </c>
      <c r="N2178" s="14">
        <v>3.425080698</v>
      </c>
      <c r="O2178" s="14">
        <v>2.425054021</v>
      </c>
      <c r="P2178" s="14" t="s">
        <v>10690</v>
      </c>
      <c r="Q2178" s="14" t="s">
        <v>10691</v>
      </c>
      <c r="T2178" s="14" t="s">
        <v>10692</v>
      </c>
      <c r="U2178" s="14" t="s">
        <v>10693</v>
      </c>
    </row>
    <row r="2179" spans="1:15">
      <c r="A2179" s="14" t="s">
        <v>10694</v>
      </c>
      <c r="B2179" s="14">
        <v>140.6617253</v>
      </c>
      <c r="C2179" s="14">
        <v>74.7559119</v>
      </c>
      <c r="D2179" s="14">
        <v>206.5675386</v>
      </c>
      <c r="E2179" s="14">
        <v>2.757787409</v>
      </c>
      <c r="F2179" s="14">
        <v>1.463511247</v>
      </c>
      <c r="G2179" s="51" t="s">
        <v>1868</v>
      </c>
      <c r="H2179" s="14">
        <v>0.000148968</v>
      </c>
      <c r="I2179" s="14" t="s">
        <v>164</v>
      </c>
      <c r="J2179" s="14">
        <v>2.448238519</v>
      </c>
      <c r="K2179" s="14">
        <v>3.353679263</v>
      </c>
      <c r="L2179" s="14">
        <v>3.263933188</v>
      </c>
      <c r="M2179" s="14">
        <v>0.532970981</v>
      </c>
      <c r="N2179" s="14">
        <v>1.046427202</v>
      </c>
      <c r="O2179" s="14">
        <v>1.15204042</v>
      </c>
    </row>
    <row r="2180" spans="1:21">
      <c r="A2180" s="14" t="s">
        <v>10695</v>
      </c>
      <c r="B2180" s="14">
        <v>63.97464589</v>
      </c>
      <c r="C2180" s="14">
        <v>26.45425073</v>
      </c>
      <c r="D2180" s="14">
        <v>101.495041</v>
      </c>
      <c r="E2180" s="14">
        <v>3.817740529</v>
      </c>
      <c r="F2180" s="14">
        <v>1.932719054</v>
      </c>
      <c r="G2180" s="14">
        <v>0.000110548</v>
      </c>
      <c r="H2180" s="14">
        <v>0.000518347</v>
      </c>
      <c r="I2180" s="14" t="s">
        <v>164</v>
      </c>
      <c r="J2180" s="14">
        <v>2.327037497</v>
      </c>
      <c r="K2180" s="14">
        <v>2.555162999</v>
      </c>
      <c r="L2180" s="14">
        <v>3.259035265</v>
      </c>
      <c r="M2180" s="14">
        <v>0.248875119</v>
      </c>
      <c r="N2180" s="14">
        <v>0.607768332</v>
      </c>
      <c r="O2180" s="14">
        <v>0.929709116</v>
      </c>
      <c r="P2180" s="14" t="s">
        <v>10696</v>
      </c>
      <c r="Q2180" s="14" t="s">
        <v>10697</v>
      </c>
      <c r="T2180" s="14" t="s">
        <v>10698</v>
      </c>
      <c r="U2180" s="14" t="s">
        <v>10699</v>
      </c>
    </row>
    <row r="2181" spans="1:21">
      <c r="A2181" s="14" t="s">
        <v>10700</v>
      </c>
      <c r="B2181" s="14">
        <v>231.827275</v>
      </c>
      <c r="C2181" s="14">
        <v>57.08038262</v>
      </c>
      <c r="D2181" s="14">
        <v>406.5741674</v>
      </c>
      <c r="E2181" s="14">
        <v>7.099408802</v>
      </c>
      <c r="F2181" s="14">
        <v>2.82769889</v>
      </c>
      <c r="G2181" s="51" t="s">
        <v>10701</v>
      </c>
      <c r="H2181" s="51" t="s">
        <v>10702</v>
      </c>
      <c r="I2181" s="14" t="s">
        <v>164</v>
      </c>
      <c r="J2181" s="14">
        <v>5.073126705</v>
      </c>
      <c r="K2181" s="14">
        <v>4.006612602</v>
      </c>
      <c r="L2181" s="14">
        <v>4.238924259</v>
      </c>
      <c r="M2181" s="14">
        <v>0.434979521</v>
      </c>
      <c r="N2181" s="14">
        <v>0.426190172</v>
      </c>
      <c r="O2181" s="14">
        <v>0.697221356</v>
      </c>
      <c r="P2181" s="14" t="s">
        <v>10703</v>
      </c>
      <c r="Q2181" s="14" t="s">
        <v>10704</v>
      </c>
      <c r="T2181" s="14" t="s">
        <v>10705</v>
      </c>
      <c r="U2181" s="14" t="s">
        <v>10706</v>
      </c>
    </row>
    <row r="2182" spans="1:21">
      <c r="A2182" s="14" t="s">
        <v>10707</v>
      </c>
      <c r="B2182" s="14">
        <v>81.71559982</v>
      </c>
      <c r="C2182" s="14">
        <v>141.0048649</v>
      </c>
      <c r="D2182" s="14">
        <v>22.42633479</v>
      </c>
      <c r="E2182" s="14">
        <v>0.158552237</v>
      </c>
      <c r="F2182" s="14">
        <v>-2.656969862</v>
      </c>
      <c r="G2182" s="51" t="s">
        <v>10708</v>
      </c>
      <c r="H2182" s="51" t="s">
        <v>10709</v>
      </c>
      <c r="I2182" s="14" t="s">
        <v>147</v>
      </c>
      <c r="J2182" s="14">
        <v>0.21821182</v>
      </c>
      <c r="K2182" s="14">
        <v>0.274545893</v>
      </c>
      <c r="L2182" s="14">
        <v>0.122561325</v>
      </c>
      <c r="M2182" s="14">
        <v>0.871270758</v>
      </c>
      <c r="N2182" s="14">
        <v>0.77617508</v>
      </c>
      <c r="O2182" s="14">
        <v>1.605929864</v>
      </c>
      <c r="P2182" s="14" t="s">
        <v>10710</v>
      </c>
      <c r="Q2182" s="14" t="s">
        <v>10711</v>
      </c>
      <c r="T2182" s="14" t="s">
        <v>10712</v>
      </c>
      <c r="U2182" s="14" t="s">
        <v>10713</v>
      </c>
    </row>
    <row r="2183" spans="1:21">
      <c r="A2183" s="14" t="s">
        <v>10714</v>
      </c>
      <c r="B2183" s="14">
        <v>73.0916984</v>
      </c>
      <c r="C2183" s="14">
        <v>22.47139728</v>
      </c>
      <c r="D2183" s="14">
        <v>123.7119995</v>
      </c>
      <c r="E2183" s="14">
        <v>5.526331113</v>
      </c>
      <c r="F2183" s="14">
        <v>2.466322005</v>
      </c>
      <c r="G2183" s="51" t="s">
        <v>10715</v>
      </c>
      <c r="H2183" s="51" t="s">
        <v>10716</v>
      </c>
      <c r="I2183" s="14" t="s">
        <v>164</v>
      </c>
      <c r="J2183" s="14">
        <v>8.429340753</v>
      </c>
      <c r="K2183" s="14">
        <v>5.985558046</v>
      </c>
      <c r="L2183" s="14">
        <v>7.226740959</v>
      </c>
      <c r="M2183" s="14">
        <v>1.630132029</v>
      </c>
      <c r="N2183" s="14">
        <v>0.521306051</v>
      </c>
      <c r="O2183" s="14">
        <v>1.063262569</v>
      </c>
      <c r="P2183" s="14" t="s">
        <v>10717</v>
      </c>
      <c r="Q2183" s="14" t="s">
        <v>10718</v>
      </c>
      <c r="T2183" s="14" t="s">
        <v>10719</v>
      </c>
      <c r="U2183" s="14" t="s">
        <v>10720</v>
      </c>
    </row>
    <row r="2184" spans="1:21">
      <c r="A2184" s="14" t="s">
        <v>10721</v>
      </c>
      <c r="B2184" s="14">
        <v>5630.099107</v>
      </c>
      <c r="C2184" s="14">
        <v>3174.627287</v>
      </c>
      <c r="D2184" s="14">
        <v>8085.570928</v>
      </c>
      <c r="E2184" s="14">
        <v>2.54661237</v>
      </c>
      <c r="F2184" s="14">
        <v>1.348579378</v>
      </c>
      <c r="G2184" s="51" t="s">
        <v>10722</v>
      </c>
      <c r="H2184" s="51" t="s">
        <v>10723</v>
      </c>
      <c r="I2184" s="14" t="s">
        <v>164</v>
      </c>
      <c r="J2184" s="14">
        <v>472.6072598</v>
      </c>
      <c r="K2184" s="14">
        <v>505.52166</v>
      </c>
      <c r="L2184" s="14">
        <v>540.8303404</v>
      </c>
      <c r="M2184" s="14">
        <v>146.1383361</v>
      </c>
      <c r="N2184" s="14">
        <v>149.0063813</v>
      </c>
      <c r="O2184" s="14">
        <v>198.9773612</v>
      </c>
      <c r="P2184" s="14" t="s">
        <v>10724</v>
      </c>
      <c r="Q2184" s="14" t="s">
        <v>10725</v>
      </c>
      <c r="R2184" s="14" t="s">
        <v>6002</v>
      </c>
      <c r="S2184" s="14" t="s">
        <v>6003</v>
      </c>
      <c r="T2184" s="14" t="s">
        <v>6004</v>
      </c>
      <c r="U2184" s="14" t="s">
        <v>6005</v>
      </c>
    </row>
    <row r="2185" spans="1:15">
      <c r="A2185" s="14" t="s">
        <v>10726</v>
      </c>
      <c r="B2185" s="14">
        <v>4.336170082</v>
      </c>
      <c r="C2185" s="14">
        <v>8.336065171</v>
      </c>
      <c r="D2185" s="14">
        <v>0.336274994</v>
      </c>
      <c r="E2185" s="14">
        <v>0.042095649</v>
      </c>
      <c r="F2185" s="14">
        <v>-4.570185063</v>
      </c>
      <c r="G2185" s="14">
        <v>0.004275416</v>
      </c>
      <c r="H2185" s="14">
        <v>0.01291689</v>
      </c>
      <c r="I2185" s="14" t="s">
        <v>147</v>
      </c>
      <c r="J2185" s="14">
        <v>0</v>
      </c>
      <c r="K2185" s="14">
        <v>0.018708157</v>
      </c>
      <c r="L2185" s="14">
        <v>0</v>
      </c>
      <c r="M2185" s="14">
        <v>0.111319302</v>
      </c>
      <c r="N2185" s="14">
        <v>0.122054462</v>
      </c>
      <c r="O2185" s="14">
        <v>0.155589913</v>
      </c>
    </row>
    <row r="2186" spans="1:15">
      <c r="A2186" s="14" t="s">
        <v>10727</v>
      </c>
      <c r="B2186" s="14">
        <v>5.158963601</v>
      </c>
      <c r="C2186" s="14">
        <v>0</v>
      </c>
      <c r="D2186" s="14">
        <v>10.3179272</v>
      </c>
      <c r="E2186" s="14">
        <v>55.69732177</v>
      </c>
      <c r="F2186" s="14">
        <v>5.799536052</v>
      </c>
      <c r="G2186" s="14">
        <v>0.001873237</v>
      </c>
      <c r="H2186" s="14">
        <v>0.006331683</v>
      </c>
      <c r="I2186" s="14" t="s">
        <v>164</v>
      </c>
      <c r="J2186" s="14">
        <v>0.125397743</v>
      </c>
      <c r="K2186" s="14">
        <v>0.315541434</v>
      </c>
      <c r="L2186" s="14">
        <v>0.543326156</v>
      </c>
      <c r="M2186" s="14">
        <v>0</v>
      </c>
      <c r="N2186" s="14">
        <v>0</v>
      </c>
      <c r="O2186" s="14">
        <v>0</v>
      </c>
    </row>
    <row r="2187" spans="1:21">
      <c r="A2187" s="14" t="s">
        <v>10728</v>
      </c>
      <c r="B2187" s="14">
        <v>7.881877162</v>
      </c>
      <c r="C2187" s="14">
        <v>0.618177692</v>
      </c>
      <c r="D2187" s="14">
        <v>15.14557663</v>
      </c>
      <c r="E2187" s="14">
        <v>23.12102712</v>
      </c>
      <c r="F2187" s="14">
        <v>4.531133584</v>
      </c>
      <c r="G2187" s="14">
        <v>0.001423731</v>
      </c>
      <c r="H2187" s="14">
        <v>0.004993291</v>
      </c>
      <c r="I2187" s="14" t="s">
        <v>164</v>
      </c>
      <c r="J2187" s="14">
        <v>0.471814625</v>
      </c>
      <c r="K2187" s="14">
        <v>0.424906511</v>
      </c>
      <c r="L2187" s="14">
        <v>0.239098129</v>
      </c>
      <c r="M2187" s="14">
        <v>0</v>
      </c>
      <c r="N2187" s="14">
        <v>0</v>
      </c>
      <c r="O2187" s="14">
        <v>0.041574294</v>
      </c>
      <c r="P2187" s="14" t="s">
        <v>10729</v>
      </c>
      <c r="Q2187" s="14" t="s">
        <v>10730</v>
      </c>
      <c r="R2187" s="14" t="s">
        <v>6520</v>
      </c>
      <c r="S2187" s="14" t="s">
        <v>6521</v>
      </c>
      <c r="T2187" s="14" t="s">
        <v>10731</v>
      </c>
      <c r="U2187" s="14" t="s">
        <v>10732</v>
      </c>
    </row>
    <row r="2188" spans="1:21">
      <c r="A2188" s="14" t="s">
        <v>10733</v>
      </c>
      <c r="B2188" s="14">
        <v>968.6501262</v>
      </c>
      <c r="C2188" s="14">
        <v>150.5867926</v>
      </c>
      <c r="D2188" s="14">
        <v>1786.71346</v>
      </c>
      <c r="E2188" s="14">
        <v>11.86045164</v>
      </c>
      <c r="F2188" s="14">
        <v>3.568087042</v>
      </c>
      <c r="G2188" s="14">
        <v>0.004710324</v>
      </c>
      <c r="H2188" s="14">
        <v>0.014063863</v>
      </c>
      <c r="I2188" s="14" t="s">
        <v>164</v>
      </c>
      <c r="J2188" s="14">
        <v>43.60354561</v>
      </c>
      <c r="K2188" s="14">
        <v>10.00453453</v>
      </c>
      <c r="L2188" s="14">
        <v>32.95094323</v>
      </c>
      <c r="M2188" s="14">
        <v>0.327613283</v>
      </c>
      <c r="N2188" s="14">
        <v>0.419074734</v>
      </c>
      <c r="O2188" s="14">
        <v>5.662720415</v>
      </c>
      <c r="Q2188" s="14" t="s">
        <v>10734</v>
      </c>
      <c r="T2188" s="14" t="s">
        <v>2445</v>
      </c>
      <c r="U2188" s="14" t="s">
        <v>2446</v>
      </c>
    </row>
    <row r="2189" spans="1:21">
      <c r="A2189" s="14" t="s">
        <v>10735</v>
      </c>
      <c r="B2189" s="14">
        <v>18873.48039</v>
      </c>
      <c r="C2189" s="14">
        <v>28206.60958</v>
      </c>
      <c r="D2189" s="14">
        <v>9540.351197</v>
      </c>
      <c r="E2189" s="14">
        <v>0.338233082</v>
      </c>
      <c r="F2189" s="14">
        <v>-1.56391032</v>
      </c>
      <c r="G2189" s="51" t="s">
        <v>10736</v>
      </c>
      <c r="H2189" s="51" t="s">
        <v>10737</v>
      </c>
      <c r="I2189" s="14" t="s">
        <v>147</v>
      </c>
      <c r="J2189" s="14">
        <v>62.49080211</v>
      </c>
      <c r="K2189" s="14">
        <v>70.89378519</v>
      </c>
      <c r="L2189" s="14">
        <v>61.66501009</v>
      </c>
      <c r="M2189" s="14">
        <v>170.5655617</v>
      </c>
      <c r="N2189" s="14">
        <v>162.4121362</v>
      </c>
      <c r="O2189" s="14">
        <v>138.9306512</v>
      </c>
      <c r="P2189" s="14" t="s">
        <v>10738</v>
      </c>
      <c r="Q2189" s="14" t="s">
        <v>10739</v>
      </c>
      <c r="R2189" s="14" t="s">
        <v>10740</v>
      </c>
      <c r="S2189" s="14" t="s">
        <v>10741</v>
      </c>
      <c r="T2189" s="14" t="s">
        <v>10742</v>
      </c>
      <c r="U2189" s="14" t="s">
        <v>10743</v>
      </c>
    </row>
    <row r="2190" spans="1:21">
      <c r="A2190" s="14" t="s">
        <v>10744</v>
      </c>
      <c r="B2190" s="14">
        <v>67.68414209</v>
      </c>
      <c r="C2190" s="14">
        <v>24.87033868</v>
      </c>
      <c r="D2190" s="14">
        <v>110.4979455</v>
      </c>
      <c r="E2190" s="14">
        <v>4.45167341</v>
      </c>
      <c r="F2190" s="14">
        <v>2.154347755</v>
      </c>
      <c r="G2190" s="14">
        <v>0.000397216</v>
      </c>
      <c r="H2190" s="14">
        <v>0.001622103</v>
      </c>
      <c r="I2190" s="14" t="s">
        <v>164</v>
      </c>
      <c r="J2190" s="14">
        <v>4.510844509</v>
      </c>
      <c r="K2190" s="14">
        <v>1.90789191</v>
      </c>
      <c r="L2190" s="14">
        <v>1.594070333</v>
      </c>
      <c r="M2190" s="14">
        <v>0.513225354</v>
      </c>
      <c r="N2190" s="14">
        <v>0.649940012</v>
      </c>
      <c r="O2190" s="14">
        <v>0.30127865</v>
      </c>
      <c r="P2190" s="14" t="s">
        <v>10745</v>
      </c>
      <c r="Q2190" s="14" t="s">
        <v>10746</v>
      </c>
      <c r="R2190" s="14" t="s">
        <v>480</v>
      </c>
      <c r="S2190" s="14" t="s">
        <v>481</v>
      </c>
      <c r="T2190" s="14" t="s">
        <v>10747</v>
      </c>
      <c r="U2190" s="14" t="s">
        <v>10748</v>
      </c>
    </row>
    <row r="2191" spans="1:21">
      <c r="A2191" s="14" t="s">
        <v>10749</v>
      </c>
      <c r="B2191" s="14">
        <v>49.31479308</v>
      </c>
      <c r="C2191" s="14">
        <v>9.058686154</v>
      </c>
      <c r="D2191" s="14">
        <v>89.57090001</v>
      </c>
      <c r="E2191" s="14">
        <v>9.930996216</v>
      </c>
      <c r="F2191" s="14">
        <v>3.311938447</v>
      </c>
      <c r="G2191" s="14">
        <v>0.002454065</v>
      </c>
      <c r="H2191" s="14">
        <v>0.007990178</v>
      </c>
      <c r="I2191" s="14" t="s">
        <v>164</v>
      </c>
      <c r="J2191" s="14">
        <v>11.82652468</v>
      </c>
      <c r="K2191" s="14">
        <v>2.546573456</v>
      </c>
      <c r="L2191" s="14">
        <v>1.52961886</v>
      </c>
      <c r="M2191" s="14">
        <v>0.6041022</v>
      </c>
      <c r="N2191" s="14">
        <v>0.62786137</v>
      </c>
      <c r="O2191" s="14">
        <v>0.049253622</v>
      </c>
      <c r="P2191" s="14" t="s">
        <v>10745</v>
      </c>
      <c r="Q2191" s="14" t="s">
        <v>10746</v>
      </c>
      <c r="R2191" s="14" t="s">
        <v>480</v>
      </c>
      <c r="S2191" s="14" t="s">
        <v>481</v>
      </c>
      <c r="T2191" s="14" t="s">
        <v>10747</v>
      </c>
      <c r="U2191" s="14" t="s">
        <v>10748</v>
      </c>
    </row>
    <row r="2192" spans="1:21">
      <c r="A2192" s="14" t="s">
        <v>10750</v>
      </c>
      <c r="B2192" s="14">
        <v>177.1023415</v>
      </c>
      <c r="C2192" s="14">
        <v>94.78873848</v>
      </c>
      <c r="D2192" s="14">
        <v>259.4159446</v>
      </c>
      <c r="E2192" s="14">
        <v>2.741388093</v>
      </c>
      <c r="F2192" s="14">
        <v>1.454906582</v>
      </c>
      <c r="G2192" s="51" t="s">
        <v>7663</v>
      </c>
      <c r="H2192" s="51" t="s">
        <v>10751</v>
      </c>
      <c r="I2192" s="14" t="s">
        <v>164</v>
      </c>
      <c r="J2192" s="14">
        <v>2.348411768</v>
      </c>
      <c r="K2192" s="14">
        <v>2.000093269</v>
      </c>
      <c r="L2192" s="14">
        <v>2.103043386</v>
      </c>
      <c r="M2192" s="14">
        <v>0.63931912</v>
      </c>
      <c r="N2192" s="14">
        <v>0.775113644</v>
      </c>
      <c r="O2192" s="14">
        <v>0.508647629</v>
      </c>
      <c r="P2192" s="14" t="s">
        <v>10752</v>
      </c>
      <c r="Q2192" s="14" t="s">
        <v>10753</v>
      </c>
      <c r="R2192" s="14" t="s">
        <v>5536</v>
      </c>
      <c r="S2192" s="14" t="s">
        <v>5537</v>
      </c>
      <c r="T2192" s="14" t="s">
        <v>10754</v>
      </c>
      <c r="U2192" s="14" t="s">
        <v>10755</v>
      </c>
    </row>
    <row r="2193" spans="1:17">
      <c r="A2193" s="14" t="s">
        <v>10756</v>
      </c>
      <c r="B2193" s="14">
        <v>166.5773601</v>
      </c>
      <c r="C2193" s="14">
        <v>85.35183175</v>
      </c>
      <c r="D2193" s="14">
        <v>247.8028885</v>
      </c>
      <c r="E2193" s="14">
        <v>2.906507413</v>
      </c>
      <c r="F2193" s="14">
        <v>1.539286588</v>
      </c>
      <c r="G2193" s="14">
        <v>0.000242061</v>
      </c>
      <c r="H2193" s="14">
        <v>0.001039496</v>
      </c>
      <c r="I2193" s="14" t="s">
        <v>164</v>
      </c>
      <c r="J2193" s="14">
        <v>1.302743214</v>
      </c>
      <c r="K2193" s="14">
        <v>2.547997077</v>
      </c>
      <c r="L2193" s="14">
        <v>1.696217306</v>
      </c>
      <c r="M2193" s="14">
        <v>0.544643957</v>
      </c>
      <c r="N2193" s="14">
        <v>0.656189435</v>
      </c>
      <c r="O2193" s="14">
        <v>0.353181622</v>
      </c>
      <c r="P2193" s="14" t="s">
        <v>10757</v>
      </c>
      <c r="Q2193" s="14" t="s">
        <v>10758</v>
      </c>
    </row>
    <row r="2194" spans="1:21">
      <c r="A2194" s="14" t="s">
        <v>10759</v>
      </c>
      <c r="B2194" s="14">
        <v>1181.083526</v>
      </c>
      <c r="C2194" s="14">
        <v>671.9007366</v>
      </c>
      <c r="D2194" s="14">
        <v>1690.266316</v>
      </c>
      <c r="E2194" s="14">
        <v>2.516604839</v>
      </c>
      <c r="F2194" s="14">
        <v>1.3314787</v>
      </c>
      <c r="G2194" s="51" t="s">
        <v>7445</v>
      </c>
      <c r="H2194" s="51" t="s">
        <v>10760</v>
      </c>
      <c r="I2194" s="14" t="s">
        <v>164</v>
      </c>
      <c r="J2194" s="14">
        <v>12.23303209</v>
      </c>
      <c r="K2194" s="14">
        <v>9.652266821</v>
      </c>
      <c r="L2194" s="14">
        <v>11.7154122</v>
      </c>
      <c r="M2194" s="14">
        <v>3.619787529</v>
      </c>
      <c r="N2194" s="14">
        <v>4.097314135</v>
      </c>
      <c r="O2194" s="14">
        <v>3.206603154</v>
      </c>
      <c r="P2194" s="14" t="s">
        <v>10761</v>
      </c>
      <c r="Q2194" s="14" t="s">
        <v>10762</v>
      </c>
      <c r="T2194" s="14" t="s">
        <v>10763</v>
      </c>
      <c r="U2194" s="14" t="s">
        <v>10764</v>
      </c>
    </row>
    <row r="2195" spans="1:15">
      <c r="A2195" s="14" t="s">
        <v>10765</v>
      </c>
      <c r="B2195" s="14">
        <v>302.1407887</v>
      </c>
      <c r="C2195" s="14">
        <v>164.1491169</v>
      </c>
      <c r="D2195" s="14">
        <v>440.1324605</v>
      </c>
      <c r="E2195" s="14">
        <v>2.684783635</v>
      </c>
      <c r="F2195" s="14">
        <v>1.424805827</v>
      </c>
      <c r="G2195" s="51" t="s">
        <v>10766</v>
      </c>
      <c r="H2195" s="51" t="s">
        <v>10767</v>
      </c>
      <c r="I2195" s="14" t="s">
        <v>164</v>
      </c>
      <c r="J2195" s="14">
        <v>5.64043843</v>
      </c>
      <c r="K2195" s="14">
        <v>5.868792111</v>
      </c>
      <c r="L2195" s="14">
        <v>6.621763474</v>
      </c>
      <c r="M2195" s="14">
        <v>2.023401654</v>
      </c>
      <c r="N2195" s="14">
        <v>2.23128008</v>
      </c>
      <c r="O2195" s="14">
        <v>1.228755886</v>
      </c>
    </row>
    <row r="2196" spans="1:15">
      <c r="A2196" s="14" t="s">
        <v>10768</v>
      </c>
      <c r="B2196" s="14">
        <v>1469.96214</v>
      </c>
      <c r="C2196" s="14">
        <v>2249.019155</v>
      </c>
      <c r="D2196" s="14">
        <v>690.9051256</v>
      </c>
      <c r="E2196" s="14">
        <v>0.307133553</v>
      </c>
      <c r="F2196" s="14">
        <v>-1.703061964</v>
      </c>
      <c r="G2196" s="51" t="s">
        <v>10769</v>
      </c>
      <c r="H2196" s="51" t="s">
        <v>10770</v>
      </c>
      <c r="I2196" s="14" t="s">
        <v>147</v>
      </c>
      <c r="J2196" s="14">
        <v>18.42880043</v>
      </c>
      <c r="K2196" s="14">
        <v>21.35536171</v>
      </c>
      <c r="L2196" s="14">
        <v>18.52264824</v>
      </c>
      <c r="M2196" s="14">
        <v>48.73400015</v>
      </c>
      <c r="N2196" s="14">
        <v>43.82518039</v>
      </c>
      <c r="O2196" s="14">
        <v>64.9743477</v>
      </c>
    </row>
    <row r="2197" spans="1:15">
      <c r="A2197" s="14" t="s">
        <v>10771</v>
      </c>
      <c r="B2197" s="14">
        <v>858.7463866</v>
      </c>
      <c r="C2197" s="14">
        <v>1358.674926</v>
      </c>
      <c r="D2197" s="14">
        <v>358.8178476</v>
      </c>
      <c r="E2197" s="14">
        <v>0.264094749</v>
      </c>
      <c r="F2197" s="14">
        <v>-1.920872478</v>
      </c>
      <c r="G2197" s="51" t="s">
        <v>10772</v>
      </c>
      <c r="H2197" s="51" t="s">
        <v>10773</v>
      </c>
      <c r="I2197" s="14" t="s">
        <v>147</v>
      </c>
      <c r="J2197" s="14">
        <v>7.805640658</v>
      </c>
      <c r="K2197" s="14">
        <v>6.601869243</v>
      </c>
      <c r="L2197" s="14">
        <v>6.42616348</v>
      </c>
      <c r="M2197" s="14">
        <v>22.41469999</v>
      </c>
      <c r="N2197" s="14">
        <v>21.37830365</v>
      </c>
      <c r="O2197" s="14">
        <v>20.98296335</v>
      </c>
    </row>
    <row r="2198" spans="1:21">
      <c r="A2198" s="14" t="s">
        <v>10774</v>
      </c>
      <c r="B2198" s="14">
        <v>11804.30553</v>
      </c>
      <c r="C2198" s="14">
        <v>2103.005055</v>
      </c>
      <c r="D2198" s="14">
        <v>21505.606</v>
      </c>
      <c r="E2198" s="14">
        <v>10.22596223</v>
      </c>
      <c r="F2198" s="14">
        <v>3.354164698</v>
      </c>
      <c r="G2198" s="51" t="s">
        <v>10775</v>
      </c>
      <c r="H2198" s="51" t="s">
        <v>10776</v>
      </c>
      <c r="I2198" s="14" t="s">
        <v>164</v>
      </c>
      <c r="J2198" s="14">
        <v>238.2553619</v>
      </c>
      <c r="K2198" s="14">
        <v>121.2175822</v>
      </c>
      <c r="L2198" s="14">
        <v>142.7221386</v>
      </c>
      <c r="M2198" s="14">
        <v>9.245512629</v>
      </c>
      <c r="N2198" s="14">
        <v>18.16413201</v>
      </c>
      <c r="O2198" s="14">
        <v>13.02290171</v>
      </c>
      <c r="P2198" s="14" t="s">
        <v>10777</v>
      </c>
      <c r="Q2198" s="14" t="s">
        <v>10778</v>
      </c>
      <c r="T2198" s="14" t="s">
        <v>10779</v>
      </c>
      <c r="U2198" s="14" t="s">
        <v>10780</v>
      </c>
    </row>
    <row r="2199" spans="1:21">
      <c r="A2199" s="14" t="s">
        <v>10781</v>
      </c>
      <c r="B2199" s="14">
        <v>5632.406548</v>
      </c>
      <c r="C2199" s="14">
        <v>7624.741615</v>
      </c>
      <c r="D2199" s="14">
        <v>3640.07148</v>
      </c>
      <c r="E2199" s="14">
        <v>0.477412608</v>
      </c>
      <c r="F2199" s="14">
        <v>-1.066691429</v>
      </c>
      <c r="G2199" s="51" t="s">
        <v>10782</v>
      </c>
      <c r="H2199" s="51" t="s">
        <v>10783</v>
      </c>
      <c r="I2199" s="14" t="s">
        <v>147</v>
      </c>
      <c r="J2199" s="14">
        <v>69.12426507</v>
      </c>
      <c r="K2199" s="14">
        <v>73.9720545</v>
      </c>
      <c r="L2199" s="14">
        <v>61.63478313</v>
      </c>
      <c r="M2199" s="14">
        <v>126.2201857</v>
      </c>
      <c r="N2199" s="14">
        <v>130.1863409</v>
      </c>
      <c r="O2199" s="14">
        <v>93.6184507</v>
      </c>
      <c r="P2199" s="14" t="s">
        <v>10784</v>
      </c>
      <c r="Q2199" s="14" t="s">
        <v>10785</v>
      </c>
      <c r="T2199" s="14" t="s">
        <v>10786</v>
      </c>
      <c r="U2199" s="14" t="s">
        <v>10787</v>
      </c>
    </row>
    <row r="2200" spans="1:21">
      <c r="A2200" s="14" t="s">
        <v>10788</v>
      </c>
      <c r="B2200" s="14">
        <v>222.2708394</v>
      </c>
      <c r="C2200" s="14">
        <v>118.4957746</v>
      </c>
      <c r="D2200" s="14">
        <v>326.0459042</v>
      </c>
      <c r="E2200" s="14">
        <v>2.748906726</v>
      </c>
      <c r="F2200" s="14">
        <v>1.458857955</v>
      </c>
      <c r="G2200" s="51" t="s">
        <v>10789</v>
      </c>
      <c r="H2200" s="51" t="s">
        <v>9049</v>
      </c>
      <c r="I2200" s="14" t="s">
        <v>164</v>
      </c>
      <c r="J2200" s="14">
        <v>2.763394697</v>
      </c>
      <c r="K2200" s="14">
        <v>2.990047252</v>
      </c>
      <c r="L2200" s="14">
        <v>4.010104779</v>
      </c>
      <c r="M2200" s="14">
        <v>0.759968312</v>
      </c>
      <c r="N2200" s="14">
        <v>1.004536913</v>
      </c>
      <c r="O2200" s="14">
        <v>1.173141296</v>
      </c>
      <c r="P2200" s="14" t="s">
        <v>10790</v>
      </c>
      <c r="Q2200" s="14" t="s">
        <v>10791</v>
      </c>
      <c r="T2200" s="14" t="s">
        <v>10792</v>
      </c>
      <c r="U2200" s="14" t="s">
        <v>10793</v>
      </c>
    </row>
    <row r="2201" spans="1:15">
      <c r="A2201" s="14" t="s">
        <v>10794</v>
      </c>
      <c r="B2201" s="14">
        <v>92.38092651</v>
      </c>
      <c r="C2201" s="14">
        <v>124.8770461</v>
      </c>
      <c r="D2201" s="14">
        <v>59.88480692</v>
      </c>
      <c r="E2201" s="14">
        <v>0.480352262</v>
      </c>
      <c r="F2201" s="14">
        <v>-1.057835314</v>
      </c>
      <c r="G2201" s="14">
        <v>0.003009899</v>
      </c>
      <c r="H2201" s="14">
        <v>0.009526533</v>
      </c>
      <c r="I2201" s="14" t="s">
        <v>147</v>
      </c>
      <c r="J2201" s="14">
        <v>0.662030415</v>
      </c>
      <c r="K2201" s="14">
        <v>1.007278377</v>
      </c>
      <c r="L2201" s="14">
        <v>1.126630385</v>
      </c>
      <c r="M2201" s="14">
        <v>1.896880907</v>
      </c>
      <c r="N2201" s="14">
        <v>1.49125125</v>
      </c>
      <c r="O2201" s="14">
        <v>1.3661313</v>
      </c>
    </row>
    <row r="2202" spans="1:21">
      <c r="A2202" s="14" t="s">
        <v>10795</v>
      </c>
      <c r="B2202" s="14">
        <v>50.09939668</v>
      </c>
      <c r="C2202" s="14">
        <v>93.62272469</v>
      </c>
      <c r="D2202" s="14">
        <v>6.576068677</v>
      </c>
      <c r="E2202" s="14">
        <v>0.069993998</v>
      </c>
      <c r="F2202" s="14">
        <v>-3.836624975</v>
      </c>
      <c r="G2202" s="51" t="s">
        <v>10796</v>
      </c>
      <c r="H2202" s="51" t="s">
        <v>10797</v>
      </c>
      <c r="I2202" s="14" t="s">
        <v>147</v>
      </c>
      <c r="J2202" s="14">
        <v>0.248732097</v>
      </c>
      <c r="K2202" s="14">
        <v>0.083452095</v>
      </c>
      <c r="L2202" s="14">
        <v>0.07983052</v>
      </c>
      <c r="M2202" s="14">
        <v>1.135007274</v>
      </c>
      <c r="N2202" s="14">
        <v>1.225017824</v>
      </c>
      <c r="O2202" s="14">
        <v>2.585317838</v>
      </c>
      <c r="P2202" s="14" t="s">
        <v>10798</v>
      </c>
      <c r="Q2202" s="14" t="s">
        <v>10799</v>
      </c>
      <c r="R2202" s="14" t="s">
        <v>556</v>
      </c>
      <c r="S2202" s="14" t="s">
        <v>557</v>
      </c>
      <c r="T2202" s="14" t="s">
        <v>4520</v>
      </c>
      <c r="U2202" s="14" t="s">
        <v>4521</v>
      </c>
    </row>
    <row r="2203" spans="1:15">
      <c r="A2203" s="14" t="s">
        <v>10800</v>
      </c>
      <c r="B2203" s="14">
        <v>543.0022629</v>
      </c>
      <c r="C2203" s="14">
        <v>283.4008677</v>
      </c>
      <c r="D2203" s="14">
        <v>802.6036581</v>
      </c>
      <c r="E2203" s="14">
        <v>2.835072605</v>
      </c>
      <c r="F2203" s="14">
        <v>1.503385683</v>
      </c>
      <c r="G2203" s="51" t="s">
        <v>10801</v>
      </c>
      <c r="H2203" s="51" t="s">
        <v>10802</v>
      </c>
      <c r="I2203" s="14" t="s">
        <v>164</v>
      </c>
      <c r="J2203" s="14">
        <v>6.338969003</v>
      </c>
      <c r="K2203" s="14">
        <v>7.701366097</v>
      </c>
      <c r="L2203" s="14">
        <v>7.668024903</v>
      </c>
      <c r="M2203" s="14">
        <v>2.268740453</v>
      </c>
      <c r="N2203" s="14">
        <v>2.132615664</v>
      </c>
      <c r="O2203" s="14">
        <v>1.868432349</v>
      </c>
    </row>
    <row r="2204" spans="1:15">
      <c r="A2204" s="14" t="s">
        <v>10803</v>
      </c>
      <c r="B2204" s="14">
        <v>365.0846217</v>
      </c>
      <c r="C2204" s="14">
        <v>133.5307889</v>
      </c>
      <c r="D2204" s="14">
        <v>596.6384545</v>
      </c>
      <c r="E2204" s="14">
        <v>4.472649305</v>
      </c>
      <c r="F2204" s="14">
        <v>2.161129643</v>
      </c>
      <c r="G2204" s="51" t="s">
        <v>10804</v>
      </c>
      <c r="H2204" s="51" t="s">
        <v>10805</v>
      </c>
      <c r="I2204" s="14" t="s">
        <v>164</v>
      </c>
      <c r="J2204" s="14">
        <v>27.94384195</v>
      </c>
      <c r="K2204" s="14">
        <v>27.94035251</v>
      </c>
      <c r="L2204" s="14">
        <v>27.57279627</v>
      </c>
      <c r="M2204" s="14">
        <v>4.62364721</v>
      </c>
      <c r="N2204" s="14">
        <v>6.672717457</v>
      </c>
      <c r="O2204" s="14">
        <v>3.943737527</v>
      </c>
    </row>
    <row r="2205" spans="1:21">
      <c r="A2205" s="14" t="s">
        <v>10806</v>
      </c>
      <c r="B2205" s="14">
        <v>12429.34297</v>
      </c>
      <c r="C2205" s="14">
        <v>16989.64944</v>
      </c>
      <c r="D2205" s="14">
        <v>7869.036498</v>
      </c>
      <c r="E2205" s="14">
        <v>0.463173727</v>
      </c>
      <c r="F2205" s="14">
        <v>-1.110374675</v>
      </c>
      <c r="G2205" s="51" t="s">
        <v>9884</v>
      </c>
      <c r="H2205" s="51" t="s">
        <v>9885</v>
      </c>
      <c r="I2205" s="14" t="s">
        <v>147</v>
      </c>
      <c r="J2205" s="14">
        <v>253.279759</v>
      </c>
      <c r="K2205" s="14">
        <v>306.337542</v>
      </c>
      <c r="L2205" s="14">
        <v>277.2498269</v>
      </c>
      <c r="M2205" s="14">
        <v>515.9323733</v>
      </c>
      <c r="N2205" s="14">
        <v>510.4871037</v>
      </c>
      <c r="O2205" s="14">
        <v>454.1781375</v>
      </c>
      <c r="P2205" s="14" t="s">
        <v>10807</v>
      </c>
      <c r="Q2205" s="14" t="s">
        <v>10808</v>
      </c>
      <c r="T2205" s="14" t="s">
        <v>10809</v>
      </c>
      <c r="U2205" s="14" t="s">
        <v>10810</v>
      </c>
    </row>
    <row r="2206" spans="1:15">
      <c r="A2206" s="14" t="s">
        <v>10811</v>
      </c>
      <c r="B2206" s="14">
        <v>305.4438622</v>
      </c>
      <c r="C2206" s="14">
        <v>412.3516925</v>
      </c>
      <c r="D2206" s="14">
        <v>198.5360319</v>
      </c>
      <c r="E2206" s="14">
        <v>0.481205722</v>
      </c>
      <c r="F2206" s="14">
        <v>-1.055274298</v>
      </c>
      <c r="G2206" s="51" t="s">
        <v>10812</v>
      </c>
      <c r="H2206" s="14">
        <v>0.000200522</v>
      </c>
      <c r="I2206" s="14" t="s">
        <v>147</v>
      </c>
      <c r="J2206" s="14">
        <v>14.68370133</v>
      </c>
      <c r="K2206" s="14">
        <v>14.71019627</v>
      </c>
      <c r="L2206" s="14">
        <v>12.0141457</v>
      </c>
      <c r="M2206" s="14">
        <v>23.71101133</v>
      </c>
      <c r="N2206" s="14">
        <v>17.20239236</v>
      </c>
      <c r="O2206" s="14">
        <v>30.58502911</v>
      </c>
    </row>
    <row r="2207" spans="1:15">
      <c r="A2207" s="14" t="s">
        <v>10813</v>
      </c>
      <c r="B2207" s="14">
        <v>30.87349157</v>
      </c>
      <c r="C2207" s="14">
        <v>50.66676238</v>
      </c>
      <c r="D2207" s="14">
        <v>11.08022076</v>
      </c>
      <c r="E2207" s="14">
        <v>0.219097288</v>
      </c>
      <c r="F2207" s="14">
        <v>-2.190356468</v>
      </c>
      <c r="G2207" s="14">
        <v>0.000239012</v>
      </c>
      <c r="H2207" s="14">
        <v>0.001027641</v>
      </c>
      <c r="I2207" s="14" t="s">
        <v>147</v>
      </c>
      <c r="J2207" s="14">
        <v>0.74497046</v>
      </c>
      <c r="K2207" s="14">
        <v>2.249505059</v>
      </c>
      <c r="L2207" s="14">
        <v>2.008424286</v>
      </c>
      <c r="M2207" s="14">
        <v>8.031149</v>
      </c>
      <c r="N2207" s="14">
        <v>5.258923215</v>
      </c>
      <c r="O2207" s="14">
        <v>5.363083923</v>
      </c>
    </row>
    <row r="2208" spans="1:15">
      <c r="A2208" s="14" t="s">
        <v>10814</v>
      </c>
      <c r="B2208" s="14">
        <v>14.17817526</v>
      </c>
      <c r="C2208" s="14">
        <v>1.598251628</v>
      </c>
      <c r="D2208" s="14">
        <v>26.75809889</v>
      </c>
      <c r="E2208" s="14">
        <v>16.27949928</v>
      </c>
      <c r="F2208" s="14">
        <v>4.024984422</v>
      </c>
      <c r="G2208" s="51" t="s">
        <v>10815</v>
      </c>
      <c r="H2208" s="14">
        <v>0.00035425</v>
      </c>
      <c r="I2208" s="14" t="s">
        <v>164</v>
      </c>
      <c r="J2208" s="14">
        <v>0.569328482</v>
      </c>
      <c r="K2208" s="14">
        <v>0.337085955</v>
      </c>
      <c r="L2208" s="14">
        <v>0.451440383</v>
      </c>
      <c r="M2208" s="14">
        <v>0.014326895</v>
      </c>
      <c r="N2208" s="14">
        <v>0</v>
      </c>
      <c r="O2208" s="14">
        <v>0.056068776</v>
      </c>
    </row>
    <row r="2209" spans="1:21">
      <c r="A2209" s="14" t="s">
        <v>10816</v>
      </c>
      <c r="B2209" s="14">
        <v>87.50584651</v>
      </c>
      <c r="C2209" s="14">
        <v>50.62406354</v>
      </c>
      <c r="D2209" s="14">
        <v>124.3876295</v>
      </c>
      <c r="E2209" s="14">
        <v>2.46314954</v>
      </c>
      <c r="F2209" s="14">
        <v>1.300504218</v>
      </c>
      <c r="G2209" s="14">
        <v>0.000225422</v>
      </c>
      <c r="H2209" s="14">
        <v>0.000975568</v>
      </c>
      <c r="I2209" s="14" t="s">
        <v>164</v>
      </c>
      <c r="J2209" s="14">
        <v>1.734314541</v>
      </c>
      <c r="K2209" s="14">
        <v>1.454699491</v>
      </c>
      <c r="L2209" s="14">
        <v>1.345184156</v>
      </c>
      <c r="M2209" s="14">
        <v>0.535842064</v>
      </c>
      <c r="N2209" s="14">
        <v>0.603051684</v>
      </c>
      <c r="O2209" s="14">
        <v>0.362948465</v>
      </c>
      <c r="P2209" s="14" t="s">
        <v>5247</v>
      </c>
      <c r="Q2209" s="14" t="s">
        <v>5248</v>
      </c>
      <c r="T2209" s="14" t="s">
        <v>2621</v>
      </c>
      <c r="U2209" s="14" t="s">
        <v>2622</v>
      </c>
    </row>
    <row r="2210" spans="1:21">
      <c r="A2210" s="14" t="s">
        <v>10817</v>
      </c>
      <c r="B2210" s="14">
        <v>182.4702534</v>
      </c>
      <c r="C2210" s="14">
        <v>111.6029767</v>
      </c>
      <c r="D2210" s="14">
        <v>253.3375301</v>
      </c>
      <c r="E2210" s="14">
        <v>2.272325053</v>
      </c>
      <c r="F2210" s="14">
        <v>1.184169225</v>
      </c>
      <c r="G2210" s="14">
        <v>0.00827613</v>
      </c>
      <c r="H2210" s="14">
        <v>0.022920197</v>
      </c>
      <c r="I2210" s="14" t="s">
        <v>164</v>
      </c>
      <c r="J2210" s="14">
        <v>7.132190123</v>
      </c>
      <c r="K2210" s="14">
        <v>6.225126062</v>
      </c>
      <c r="L2210" s="14">
        <v>6.841884931</v>
      </c>
      <c r="M2210" s="14">
        <v>2.386863439</v>
      </c>
      <c r="N2210" s="14">
        <v>3.564485821</v>
      </c>
      <c r="O2210" s="14">
        <v>1.233726057</v>
      </c>
      <c r="P2210" s="14" t="s">
        <v>3548</v>
      </c>
      <c r="Q2210" s="14" t="s">
        <v>3549</v>
      </c>
      <c r="T2210" s="14" t="s">
        <v>3550</v>
      </c>
      <c r="U2210" s="14" t="s">
        <v>3551</v>
      </c>
    </row>
    <row r="2211" spans="1:21">
      <c r="A2211" s="14" t="s">
        <v>10818</v>
      </c>
      <c r="B2211" s="14">
        <v>137.6786627</v>
      </c>
      <c r="C2211" s="14">
        <v>34.64270876</v>
      </c>
      <c r="D2211" s="14">
        <v>240.7146167</v>
      </c>
      <c r="E2211" s="14">
        <v>6.984837807</v>
      </c>
      <c r="F2211" s="14">
        <v>2.804226616</v>
      </c>
      <c r="G2211" s="51" t="s">
        <v>9555</v>
      </c>
      <c r="H2211" s="51" t="s">
        <v>10819</v>
      </c>
      <c r="I2211" s="14" t="s">
        <v>164</v>
      </c>
      <c r="J2211" s="14">
        <v>5.35016211</v>
      </c>
      <c r="K2211" s="14">
        <v>6.566040509</v>
      </c>
      <c r="L2211" s="14">
        <v>5.173994439</v>
      </c>
      <c r="M2211" s="14">
        <v>0.983776084</v>
      </c>
      <c r="N2211" s="14">
        <v>0.539323634</v>
      </c>
      <c r="O2211" s="14">
        <v>0.471433484</v>
      </c>
      <c r="P2211" s="14" t="s">
        <v>10820</v>
      </c>
      <c r="Q2211" s="14" t="s">
        <v>10821</v>
      </c>
      <c r="T2211" s="14" t="s">
        <v>2514</v>
      </c>
      <c r="U2211" s="14" t="s">
        <v>2515</v>
      </c>
    </row>
    <row r="2212" spans="1:21">
      <c r="A2212" s="14" t="s">
        <v>10822</v>
      </c>
      <c r="B2212" s="14">
        <v>61.45222847</v>
      </c>
      <c r="C2212" s="14">
        <v>110.2163229</v>
      </c>
      <c r="D2212" s="14">
        <v>12.68813404</v>
      </c>
      <c r="E2212" s="14">
        <v>0.115199042</v>
      </c>
      <c r="F2212" s="14">
        <v>-3.117799376</v>
      </c>
      <c r="G2212" s="14">
        <v>0.004248366</v>
      </c>
      <c r="H2212" s="14">
        <v>0.012848243</v>
      </c>
      <c r="I2212" s="14" t="s">
        <v>147</v>
      </c>
      <c r="J2212" s="14">
        <v>0.527625497</v>
      </c>
      <c r="K2212" s="14">
        <v>0.101156347</v>
      </c>
      <c r="L2212" s="14">
        <v>0.338682609</v>
      </c>
      <c r="M2212" s="14">
        <v>2.493633105</v>
      </c>
      <c r="N2212" s="14">
        <v>4.000990645</v>
      </c>
      <c r="O2212" s="14">
        <v>0.168257161</v>
      </c>
      <c r="P2212" s="14" t="s">
        <v>10823</v>
      </c>
      <c r="Q2212" s="14" t="s">
        <v>10824</v>
      </c>
      <c r="R2212" s="14" t="s">
        <v>341</v>
      </c>
      <c r="S2212" s="14" t="s">
        <v>342</v>
      </c>
      <c r="T2212" s="14" t="s">
        <v>10825</v>
      </c>
      <c r="U2212" s="14" t="s">
        <v>10826</v>
      </c>
    </row>
    <row r="2213" spans="1:15">
      <c r="A2213" s="14" t="s">
        <v>10827</v>
      </c>
      <c r="B2213" s="14">
        <v>45.23492528</v>
      </c>
      <c r="C2213" s="14">
        <v>27.92510233</v>
      </c>
      <c r="D2213" s="14">
        <v>62.54474824</v>
      </c>
      <c r="E2213" s="14">
        <v>2.25079233</v>
      </c>
      <c r="F2213" s="14">
        <v>1.170432952</v>
      </c>
      <c r="G2213" s="14">
        <v>0.003121722</v>
      </c>
      <c r="H2213" s="14">
        <v>0.009831546</v>
      </c>
      <c r="I2213" s="14" t="s">
        <v>164</v>
      </c>
      <c r="J2213" s="14">
        <v>2.07766848</v>
      </c>
      <c r="K2213" s="14">
        <v>1.737334011</v>
      </c>
      <c r="L2213" s="14">
        <v>2.246695086</v>
      </c>
      <c r="M2213" s="14">
        <v>0.902495241</v>
      </c>
      <c r="N2213" s="14">
        <v>0.73464961</v>
      </c>
      <c r="O2213" s="14">
        <v>0.561900319</v>
      </c>
    </row>
    <row r="2214" spans="1:21">
      <c r="A2214" s="14" t="s">
        <v>10828</v>
      </c>
      <c r="B2214" s="14">
        <v>2.809187782</v>
      </c>
      <c r="C2214" s="14">
        <v>0</v>
      </c>
      <c r="D2214" s="14">
        <v>5.618375563</v>
      </c>
      <c r="E2214" s="14">
        <v>30.27718373</v>
      </c>
      <c r="F2214" s="14">
        <v>4.920159112</v>
      </c>
      <c r="G2214" s="14">
        <v>0.017742077</v>
      </c>
      <c r="H2214" s="14">
        <v>0.043955441</v>
      </c>
      <c r="I2214" s="14" t="s">
        <v>164</v>
      </c>
      <c r="J2214" s="14">
        <v>0.267757499</v>
      </c>
      <c r="K2214" s="14">
        <v>0.359341227</v>
      </c>
      <c r="L2214" s="14">
        <v>0.128905078</v>
      </c>
      <c r="M2214" s="14">
        <v>0</v>
      </c>
      <c r="N2214" s="14">
        <v>0</v>
      </c>
      <c r="O2214" s="14">
        <v>0</v>
      </c>
      <c r="P2214" s="14" t="s">
        <v>10829</v>
      </c>
      <c r="Q2214" s="14" t="s">
        <v>10830</v>
      </c>
      <c r="T2214" s="14" t="s">
        <v>10831</v>
      </c>
      <c r="U2214" s="14" t="s">
        <v>10832</v>
      </c>
    </row>
    <row r="2215" spans="1:15">
      <c r="A2215" s="14" t="s">
        <v>10833</v>
      </c>
      <c r="B2215" s="14">
        <v>4.682734372</v>
      </c>
      <c r="C2215" s="14">
        <v>9.02919375</v>
      </c>
      <c r="D2215" s="14">
        <v>0.336274994</v>
      </c>
      <c r="E2215" s="14">
        <v>0.038775021</v>
      </c>
      <c r="F2215" s="14">
        <v>-4.688728637</v>
      </c>
      <c r="G2215" s="14">
        <v>0.010140022</v>
      </c>
      <c r="H2215" s="14">
        <v>0.027338309</v>
      </c>
      <c r="I2215" s="14" t="s">
        <v>147</v>
      </c>
      <c r="J2215" s="14">
        <v>0</v>
      </c>
      <c r="K2215" s="14">
        <v>0.04580273</v>
      </c>
      <c r="L2215" s="14">
        <v>0</v>
      </c>
      <c r="M2215" s="14">
        <v>0.077868674</v>
      </c>
      <c r="N2215" s="14">
        <v>0.336175868</v>
      </c>
      <c r="O2215" s="14">
        <v>0.647575949</v>
      </c>
    </row>
    <row r="2216" spans="1:15">
      <c r="A2216" s="14" t="s">
        <v>10834</v>
      </c>
      <c r="B2216" s="14">
        <v>31.03233416</v>
      </c>
      <c r="C2216" s="14">
        <v>42.91045545</v>
      </c>
      <c r="D2216" s="14">
        <v>19.15421286</v>
      </c>
      <c r="E2216" s="14">
        <v>0.447245188</v>
      </c>
      <c r="F2216" s="14">
        <v>-1.160862135</v>
      </c>
      <c r="G2216" s="14">
        <v>0.009046303</v>
      </c>
      <c r="H2216" s="14">
        <v>0.024779609</v>
      </c>
      <c r="I2216" s="14" t="s">
        <v>147</v>
      </c>
      <c r="J2216" s="14">
        <v>0.343954446</v>
      </c>
      <c r="K2216" s="14">
        <v>0.214314548</v>
      </c>
      <c r="L2216" s="14">
        <v>0.394257554</v>
      </c>
      <c r="M2216" s="14">
        <v>0.602584803</v>
      </c>
      <c r="N2216" s="14">
        <v>0.483997881</v>
      </c>
      <c r="O2216" s="14">
        <v>0.6718229</v>
      </c>
    </row>
    <row r="2217" spans="1:21">
      <c r="A2217" s="14" t="s">
        <v>10835</v>
      </c>
      <c r="B2217" s="14">
        <v>4952.423957</v>
      </c>
      <c r="C2217" s="14">
        <v>769.2863686</v>
      </c>
      <c r="D2217" s="14">
        <v>9135.561546</v>
      </c>
      <c r="E2217" s="14">
        <v>11.87259038</v>
      </c>
      <c r="F2217" s="14">
        <v>3.569562834</v>
      </c>
      <c r="G2217" s="51" t="s">
        <v>10836</v>
      </c>
      <c r="H2217" s="51" t="s">
        <v>10837</v>
      </c>
      <c r="I2217" s="14" t="s">
        <v>164</v>
      </c>
      <c r="J2217" s="14">
        <v>1061.896211</v>
      </c>
      <c r="K2217" s="14">
        <v>454.9045839</v>
      </c>
      <c r="L2217" s="14">
        <v>876.0618026</v>
      </c>
      <c r="M2217" s="14">
        <v>27.47818136</v>
      </c>
      <c r="N2217" s="14">
        <v>44.92887497</v>
      </c>
      <c r="O2217" s="14">
        <v>98.14175484</v>
      </c>
      <c r="P2217" s="14" t="s">
        <v>10838</v>
      </c>
      <c r="Q2217" s="14" t="s">
        <v>10839</v>
      </c>
      <c r="T2217" s="14" t="s">
        <v>10840</v>
      </c>
      <c r="U2217" s="14" t="s">
        <v>10841</v>
      </c>
    </row>
    <row r="2218" spans="1:21">
      <c r="A2218" s="14" t="s">
        <v>10842</v>
      </c>
      <c r="B2218" s="14">
        <v>29.04224307</v>
      </c>
      <c r="C2218" s="14">
        <v>49.51894259</v>
      </c>
      <c r="D2218" s="14">
        <v>8.565543552</v>
      </c>
      <c r="E2218" s="14">
        <v>0.172911929</v>
      </c>
      <c r="F2218" s="14">
        <v>-2.531890691</v>
      </c>
      <c r="G2218" s="14">
        <v>0.008689929</v>
      </c>
      <c r="H2218" s="14">
        <v>0.023950752</v>
      </c>
      <c r="I2218" s="14" t="s">
        <v>147</v>
      </c>
      <c r="J2218" s="14">
        <v>0.257150403</v>
      </c>
      <c r="K2218" s="14">
        <v>0.15927973</v>
      </c>
      <c r="L2218" s="14">
        <v>0.095229662</v>
      </c>
      <c r="M2218" s="14">
        <v>0.947763479</v>
      </c>
      <c r="N2218" s="14">
        <v>1.282715298</v>
      </c>
      <c r="O2218" s="14">
        <v>0.132467986</v>
      </c>
      <c r="P2218" s="14" t="s">
        <v>5192</v>
      </c>
      <c r="Q2218" s="14" t="s">
        <v>5193</v>
      </c>
      <c r="T2218" s="14" t="s">
        <v>2960</v>
      </c>
      <c r="U2218" s="14" t="s">
        <v>2961</v>
      </c>
    </row>
    <row r="2219" spans="1:21">
      <c r="A2219" s="14" t="s">
        <v>10843</v>
      </c>
      <c r="B2219" s="14">
        <v>284.7307273</v>
      </c>
      <c r="C2219" s="14">
        <v>536.8920884</v>
      </c>
      <c r="D2219" s="14">
        <v>32.5693662</v>
      </c>
      <c r="E2219" s="14">
        <v>0.06067922</v>
      </c>
      <c r="F2219" s="14">
        <v>-4.042653638</v>
      </c>
      <c r="G2219" s="51" t="s">
        <v>10844</v>
      </c>
      <c r="H2219" s="51" t="s">
        <v>8081</v>
      </c>
      <c r="I2219" s="14" t="s">
        <v>147</v>
      </c>
      <c r="J2219" s="14">
        <v>0.577833634</v>
      </c>
      <c r="K2219" s="14">
        <v>0.814249538</v>
      </c>
      <c r="L2219" s="14">
        <v>0.890186863</v>
      </c>
      <c r="M2219" s="14">
        <v>13.98138867</v>
      </c>
      <c r="N2219" s="14">
        <v>14.95024648</v>
      </c>
      <c r="O2219" s="14">
        <v>0.870667658</v>
      </c>
      <c r="P2219" s="14" t="s">
        <v>10845</v>
      </c>
      <c r="Q2219" s="14" t="s">
        <v>10846</v>
      </c>
      <c r="T2219" s="14" t="s">
        <v>10847</v>
      </c>
      <c r="U2219" s="14" t="s">
        <v>10848</v>
      </c>
    </row>
    <row r="2220" spans="1:21">
      <c r="A2220" s="14" t="s">
        <v>10849</v>
      </c>
      <c r="B2220" s="14">
        <v>235.3025041</v>
      </c>
      <c r="C2220" s="14">
        <v>467.9901509</v>
      </c>
      <c r="D2220" s="14">
        <v>2.614857398</v>
      </c>
      <c r="E2220" s="14">
        <v>0.005586429</v>
      </c>
      <c r="F2220" s="14">
        <v>-7.483857831</v>
      </c>
      <c r="G2220" s="51" t="s">
        <v>10850</v>
      </c>
      <c r="H2220" s="51" t="s">
        <v>10851</v>
      </c>
      <c r="I2220" s="14" t="s">
        <v>147</v>
      </c>
      <c r="J2220" s="14">
        <v>0.013698913</v>
      </c>
      <c r="K2220" s="14">
        <v>0.055153461</v>
      </c>
      <c r="L2220" s="14">
        <v>0.039569972</v>
      </c>
      <c r="M2220" s="14">
        <v>5.344647142</v>
      </c>
      <c r="N2220" s="14">
        <v>10.01897147</v>
      </c>
      <c r="O2220" s="14">
        <v>0.03440206</v>
      </c>
      <c r="P2220" s="14" t="s">
        <v>10852</v>
      </c>
      <c r="Q2220" s="14" t="s">
        <v>10853</v>
      </c>
      <c r="T2220" s="14" t="s">
        <v>1038</v>
      </c>
      <c r="U2220" s="14" t="s">
        <v>1039</v>
      </c>
    </row>
    <row r="2221" spans="1:21">
      <c r="A2221" s="14" t="s">
        <v>10854</v>
      </c>
      <c r="B2221" s="14">
        <v>3940.285473</v>
      </c>
      <c r="C2221" s="14">
        <v>2374.313214</v>
      </c>
      <c r="D2221" s="14">
        <v>5506.257732</v>
      </c>
      <c r="E2221" s="14">
        <v>2.318927898</v>
      </c>
      <c r="F2221" s="14">
        <v>1.213457963</v>
      </c>
      <c r="G2221" s="14">
        <v>0.003239488</v>
      </c>
      <c r="H2221" s="14">
        <v>0.010150397</v>
      </c>
      <c r="I2221" s="14" t="s">
        <v>164</v>
      </c>
      <c r="J2221" s="14">
        <v>71.94145603</v>
      </c>
      <c r="K2221" s="14">
        <v>40.32695054</v>
      </c>
      <c r="L2221" s="14">
        <v>78.95981359</v>
      </c>
      <c r="M2221" s="14">
        <v>15.69643507</v>
      </c>
      <c r="N2221" s="14">
        <v>14.90865285</v>
      </c>
      <c r="O2221" s="14">
        <v>38.89068446</v>
      </c>
      <c r="P2221" s="14" t="s">
        <v>10855</v>
      </c>
      <c r="Q2221" s="14" t="s">
        <v>10856</v>
      </c>
      <c r="R2221" s="14" t="s">
        <v>10129</v>
      </c>
      <c r="S2221" s="14" t="s">
        <v>10130</v>
      </c>
      <c r="T2221" s="14" t="s">
        <v>10857</v>
      </c>
      <c r="U2221" s="14" t="s">
        <v>10858</v>
      </c>
    </row>
    <row r="2222" spans="1:21">
      <c r="A2222" s="14" t="s">
        <v>10859</v>
      </c>
      <c r="B2222" s="14">
        <v>151.6857018</v>
      </c>
      <c r="C2222" s="14">
        <v>223.2738836</v>
      </c>
      <c r="D2222" s="14">
        <v>80.09752004</v>
      </c>
      <c r="E2222" s="14">
        <v>0.359240484</v>
      </c>
      <c r="F2222" s="14">
        <v>-1.476978152</v>
      </c>
      <c r="G2222" s="51" t="s">
        <v>10860</v>
      </c>
      <c r="H2222" s="51" t="s">
        <v>10861</v>
      </c>
      <c r="I2222" s="14" t="s">
        <v>147</v>
      </c>
      <c r="J2222" s="14">
        <v>1.716728387</v>
      </c>
      <c r="K2222" s="14">
        <v>1.378236581</v>
      </c>
      <c r="L2222" s="14">
        <v>1.869408825</v>
      </c>
      <c r="M2222" s="14">
        <v>4.161667181</v>
      </c>
      <c r="N2222" s="14">
        <v>4.110055754</v>
      </c>
      <c r="O2222" s="14">
        <v>2.993901038</v>
      </c>
      <c r="P2222" s="14" t="s">
        <v>10862</v>
      </c>
      <c r="Q2222" s="14" t="s">
        <v>10863</v>
      </c>
      <c r="R2222" s="14" t="s">
        <v>10864</v>
      </c>
      <c r="S2222" s="14" t="s">
        <v>10865</v>
      </c>
      <c r="T2222" s="14" t="s">
        <v>10866</v>
      </c>
      <c r="U2222" s="14" t="s">
        <v>10867</v>
      </c>
    </row>
    <row r="2223" spans="1:15">
      <c r="A2223" s="14" t="s">
        <v>10868</v>
      </c>
      <c r="B2223" s="14">
        <v>91.21972001</v>
      </c>
      <c r="C2223" s="14">
        <v>149.7947313</v>
      </c>
      <c r="D2223" s="14">
        <v>32.64470875</v>
      </c>
      <c r="E2223" s="14">
        <v>0.218172338</v>
      </c>
      <c r="F2223" s="14">
        <v>-2.196459903</v>
      </c>
      <c r="G2223" s="51" t="s">
        <v>10869</v>
      </c>
      <c r="H2223" s="51" t="s">
        <v>10870</v>
      </c>
      <c r="I2223" s="14" t="s">
        <v>147</v>
      </c>
      <c r="J2223" s="14">
        <v>0.663782062</v>
      </c>
      <c r="K2223" s="14">
        <v>1.085689268</v>
      </c>
      <c r="L2223" s="14">
        <v>0.985313369</v>
      </c>
      <c r="M2223" s="14">
        <v>4.377781533</v>
      </c>
      <c r="N2223" s="14">
        <v>3.291861837</v>
      </c>
      <c r="O2223" s="14">
        <v>2.523584539</v>
      </c>
    </row>
    <row r="2224" spans="1:21">
      <c r="A2224" s="14" t="s">
        <v>10871</v>
      </c>
      <c r="B2224" s="14">
        <v>10.88607299</v>
      </c>
      <c r="C2224" s="14">
        <v>21.44046234</v>
      </c>
      <c r="D2224" s="14">
        <v>0.331683638</v>
      </c>
      <c r="E2224" s="14">
        <v>0.016401385</v>
      </c>
      <c r="F2224" s="14">
        <v>-5.930038547</v>
      </c>
      <c r="G2224" s="14">
        <v>0.000335047</v>
      </c>
      <c r="H2224" s="14">
        <v>0.001395415</v>
      </c>
      <c r="I2224" s="14" t="s">
        <v>147</v>
      </c>
      <c r="J2224" s="14">
        <v>0.009277838</v>
      </c>
      <c r="K2224" s="14">
        <v>0</v>
      </c>
      <c r="L2224" s="14">
        <v>0</v>
      </c>
      <c r="M2224" s="14">
        <v>0.198451719</v>
      </c>
      <c r="N2224" s="14">
        <v>0.243700306</v>
      </c>
      <c r="O2224" s="14">
        <v>0.038832367</v>
      </c>
      <c r="P2224" s="14" t="s">
        <v>10872</v>
      </c>
      <c r="Q2224" s="14" t="s">
        <v>10873</v>
      </c>
      <c r="T2224" s="14" t="s">
        <v>10874</v>
      </c>
      <c r="U2224" s="14" t="s">
        <v>10875</v>
      </c>
    </row>
    <row r="2225" spans="1:19">
      <c r="A2225" s="14" t="s">
        <v>10876</v>
      </c>
      <c r="B2225" s="14">
        <v>242.8306577</v>
      </c>
      <c r="C2225" s="14">
        <v>339.4014675</v>
      </c>
      <c r="D2225" s="14">
        <v>146.2598479</v>
      </c>
      <c r="E2225" s="14">
        <v>0.430683478</v>
      </c>
      <c r="F2225" s="14">
        <v>-1.215300117</v>
      </c>
      <c r="G2225" s="51" t="s">
        <v>10877</v>
      </c>
      <c r="H2225" s="51" t="s">
        <v>10878</v>
      </c>
      <c r="I2225" s="14" t="s">
        <v>147</v>
      </c>
      <c r="J2225" s="14">
        <v>4.739948878</v>
      </c>
      <c r="K2225" s="14">
        <v>4.484646118</v>
      </c>
      <c r="L2225" s="14">
        <v>4.776837108</v>
      </c>
      <c r="M2225" s="14">
        <v>8.083913784</v>
      </c>
      <c r="N2225" s="14">
        <v>8.040877001</v>
      </c>
      <c r="O2225" s="14">
        <v>10.79244021</v>
      </c>
      <c r="R2225" s="14" t="s">
        <v>10879</v>
      </c>
      <c r="S2225" s="14" t="s">
        <v>10880</v>
      </c>
    </row>
    <row r="2226" spans="1:21">
      <c r="A2226" s="14" t="s">
        <v>10881</v>
      </c>
      <c r="B2226" s="14">
        <v>571.0004641</v>
      </c>
      <c r="C2226" s="14">
        <v>348.1115989</v>
      </c>
      <c r="D2226" s="14">
        <v>793.8893292</v>
      </c>
      <c r="E2226" s="14">
        <v>2.278831028</v>
      </c>
      <c r="F2226" s="14">
        <v>1.188293955</v>
      </c>
      <c r="G2226" s="14">
        <v>0.000230975</v>
      </c>
      <c r="H2226" s="14">
        <v>0.000997179</v>
      </c>
      <c r="I2226" s="14" t="s">
        <v>164</v>
      </c>
      <c r="J2226" s="14">
        <v>12.61341179</v>
      </c>
      <c r="K2226" s="14">
        <v>11.32948305</v>
      </c>
      <c r="L2226" s="14">
        <v>12.74691737</v>
      </c>
      <c r="M2226" s="14">
        <v>3.131889224</v>
      </c>
      <c r="N2226" s="14">
        <v>3.267585036</v>
      </c>
      <c r="O2226" s="14">
        <v>7.137004363</v>
      </c>
      <c r="P2226" s="14" t="s">
        <v>10882</v>
      </c>
      <c r="Q2226" s="14" t="s">
        <v>10883</v>
      </c>
      <c r="T2226" s="14" t="s">
        <v>10884</v>
      </c>
      <c r="U2226" s="14" t="s">
        <v>10885</v>
      </c>
    </row>
    <row r="2227" spans="1:15">
      <c r="A2227" s="14" t="s">
        <v>10886</v>
      </c>
      <c r="B2227" s="14">
        <v>5.55834664</v>
      </c>
      <c r="C2227" s="14">
        <v>11.11669328</v>
      </c>
      <c r="D2227" s="14">
        <v>0</v>
      </c>
      <c r="E2227" s="14">
        <v>0.016224763</v>
      </c>
      <c r="F2227" s="14">
        <v>-5.945658788</v>
      </c>
      <c r="G2227" s="14">
        <v>0.000311649</v>
      </c>
      <c r="H2227" s="14">
        <v>0.00130775</v>
      </c>
      <c r="I2227" s="14" t="s">
        <v>147</v>
      </c>
      <c r="J2227" s="14">
        <v>0</v>
      </c>
      <c r="K2227" s="14">
        <v>0</v>
      </c>
      <c r="L2227" s="14">
        <v>0</v>
      </c>
      <c r="M2227" s="14">
        <v>0.552704227</v>
      </c>
      <c r="N2227" s="14">
        <v>0.689330316</v>
      </c>
      <c r="O2227" s="14">
        <v>0.540756551</v>
      </c>
    </row>
    <row r="2228" spans="1:21">
      <c r="A2228" s="14" t="s">
        <v>10887</v>
      </c>
      <c r="B2228" s="14">
        <v>360.4012841</v>
      </c>
      <c r="C2228" s="14">
        <v>615.5615923</v>
      </c>
      <c r="D2228" s="14">
        <v>105.240976</v>
      </c>
      <c r="E2228" s="14">
        <v>0.170980327</v>
      </c>
      <c r="F2228" s="14">
        <v>-2.548097755</v>
      </c>
      <c r="G2228" s="51" t="s">
        <v>10888</v>
      </c>
      <c r="H2228" s="51" t="s">
        <v>10889</v>
      </c>
      <c r="I2228" s="14" t="s">
        <v>147</v>
      </c>
      <c r="J2228" s="14">
        <v>0.991206271</v>
      </c>
      <c r="K2228" s="14">
        <v>1.182814976</v>
      </c>
      <c r="L2228" s="14">
        <v>1.08228932</v>
      </c>
      <c r="M2228" s="14">
        <v>5.5867759</v>
      </c>
      <c r="N2228" s="14">
        <v>4.713982314</v>
      </c>
      <c r="O2228" s="14">
        <v>5.363359859</v>
      </c>
      <c r="P2228" s="14" t="s">
        <v>10890</v>
      </c>
      <c r="Q2228" s="14" t="s">
        <v>10891</v>
      </c>
      <c r="T2228" s="14" t="s">
        <v>10892</v>
      </c>
      <c r="U2228" s="14" t="s">
        <v>10893</v>
      </c>
    </row>
    <row r="2229" spans="1:21">
      <c r="A2229" s="14" t="s">
        <v>10894</v>
      </c>
      <c r="B2229" s="14">
        <v>463.845451</v>
      </c>
      <c r="C2229" s="14">
        <v>283.1710191</v>
      </c>
      <c r="D2229" s="14">
        <v>644.5198829</v>
      </c>
      <c r="E2229" s="14">
        <v>2.278721367</v>
      </c>
      <c r="F2229" s="14">
        <v>1.188224528</v>
      </c>
      <c r="G2229" s="51" t="s">
        <v>10895</v>
      </c>
      <c r="H2229" s="51" t="s">
        <v>10896</v>
      </c>
      <c r="I2229" s="14" t="s">
        <v>164</v>
      </c>
      <c r="J2229" s="14">
        <v>4.675992732</v>
      </c>
      <c r="K2229" s="14">
        <v>4.789096993</v>
      </c>
      <c r="L2229" s="14">
        <v>5.098272168</v>
      </c>
      <c r="M2229" s="14">
        <v>1.786620875</v>
      </c>
      <c r="N2229" s="14">
        <v>1.854847639</v>
      </c>
      <c r="O2229" s="14">
        <v>1.598171353</v>
      </c>
      <c r="P2229" s="14" t="s">
        <v>10897</v>
      </c>
      <c r="Q2229" s="14" t="s">
        <v>10898</v>
      </c>
      <c r="T2229" s="14" t="s">
        <v>10899</v>
      </c>
      <c r="U2229" s="14" t="s">
        <v>10900</v>
      </c>
    </row>
    <row r="2230" spans="1:21">
      <c r="A2230" s="14" t="s">
        <v>10901</v>
      </c>
      <c r="B2230" s="14">
        <v>70.55357391</v>
      </c>
      <c r="C2230" s="14">
        <v>104.0136407</v>
      </c>
      <c r="D2230" s="14">
        <v>37.09350708</v>
      </c>
      <c r="E2230" s="14">
        <v>0.355849101</v>
      </c>
      <c r="F2230" s="14">
        <v>-1.490662505</v>
      </c>
      <c r="G2230" s="51" t="s">
        <v>2894</v>
      </c>
      <c r="H2230" s="51" t="s">
        <v>10902</v>
      </c>
      <c r="I2230" s="14" t="s">
        <v>147</v>
      </c>
      <c r="J2230" s="14">
        <v>0.525756486</v>
      </c>
      <c r="K2230" s="14">
        <v>0.612745861</v>
      </c>
      <c r="L2230" s="14">
        <v>0.412972485</v>
      </c>
      <c r="M2230" s="14">
        <v>1.124586159</v>
      </c>
      <c r="N2230" s="14">
        <v>1.090263824</v>
      </c>
      <c r="O2230" s="14">
        <v>1.389822628</v>
      </c>
      <c r="P2230" s="14" t="s">
        <v>10903</v>
      </c>
      <c r="Q2230" s="14" t="s">
        <v>10904</v>
      </c>
      <c r="T2230" s="14" t="s">
        <v>10905</v>
      </c>
      <c r="U2230" s="14" t="s">
        <v>10906</v>
      </c>
    </row>
    <row r="2231" spans="1:21">
      <c r="A2231" s="14" t="s">
        <v>10907</v>
      </c>
      <c r="B2231" s="14">
        <v>2629.514755</v>
      </c>
      <c r="C2231" s="14">
        <v>3798.879585</v>
      </c>
      <c r="D2231" s="14">
        <v>1460.149924</v>
      </c>
      <c r="E2231" s="14">
        <v>0.384396879</v>
      </c>
      <c r="F2231" s="14">
        <v>-1.379331473</v>
      </c>
      <c r="G2231" s="51" t="s">
        <v>3328</v>
      </c>
      <c r="H2231" s="51" t="s">
        <v>3329</v>
      </c>
      <c r="I2231" s="14" t="s">
        <v>147</v>
      </c>
      <c r="J2231" s="14">
        <v>19.66573679</v>
      </c>
      <c r="K2231" s="14">
        <v>24.48427</v>
      </c>
      <c r="L2231" s="14">
        <v>23.64310214</v>
      </c>
      <c r="M2231" s="14">
        <v>51.21211242</v>
      </c>
      <c r="N2231" s="14">
        <v>51.56023004</v>
      </c>
      <c r="O2231" s="14">
        <v>41.36715834</v>
      </c>
      <c r="Q2231" s="14" t="s">
        <v>10908</v>
      </c>
      <c r="R2231" s="14" t="s">
        <v>480</v>
      </c>
      <c r="S2231" s="14" t="s">
        <v>481</v>
      </c>
      <c r="T2231" s="14" t="s">
        <v>10909</v>
      </c>
      <c r="U2231" s="14" t="s">
        <v>10910</v>
      </c>
    </row>
    <row r="2232" spans="1:21">
      <c r="A2232" s="14" t="s">
        <v>13</v>
      </c>
      <c r="B2232" s="14">
        <v>2934.249911</v>
      </c>
      <c r="C2232" s="14">
        <v>1067.177211</v>
      </c>
      <c r="D2232" s="14">
        <v>4801.322611</v>
      </c>
      <c r="E2232" s="14">
        <v>4.498291712</v>
      </c>
      <c r="F2232" s="14">
        <v>2.169377222</v>
      </c>
      <c r="G2232" s="51" t="s">
        <v>7654</v>
      </c>
      <c r="H2232" s="51" t="s">
        <v>10911</v>
      </c>
      <c r="I2232" s="14" t="s">
        <v>164</v>
      </c>
      <c r="J2232" s="14">
        <v>54.12103486</v>
      </c>
      <c r="K2232" s="14">
        <v>26.7155022</v>
      </c>
      <c r="L2232" s="14">
        <v>49.36549049</v>
      </c>
      <c r="M2232" s="14">
        <v>4.962414174</v>
      </c>
      <c r="N2232" s="14">
        <v>5.670469856</v>
      </c>
      <c r="O2232" s="14">
        <v>13.80237065</v>
      </c>
      <c r="P2232" s="14" t="s">
        <v>14</v>
      </c>
      <c r="Q2232" s="14" t="s">
        <v>10912</v>
      </c>
      <c r="R2232" s="14" t="s">
        <v>4929</v>
      </c>
      <c r="S2232" s="14" t="s">
        <v>4930</v>
      </c>
      <c r="T2232" s="14" t="s">
        <v>10913</v>
      </c>
      <c r="U2232" s="14" t="s">
        <v>10914</v>
      </c>
    </row>
    <row r="2233" spans="1:21">
      <c r="A2233" s="14" t="s">
        <v>10915</v>
      </c>
      <c r="B2233" s="14">
        <v>1167.976616</v>
      </c>
      <c r="C2233" s="14">
        <v>1593.541295</v>
      </c>
      <c r="D2233" s="14">
        <v>742.4119357</v>
      </c>
      <c r="E2233" s="14">
        <v>0.465935128</v>
      </c>
      <c r="F2233" s="14">
        <v>-1.10179899</v>
      </c>
      <c r="G2233" s="14">
        <v>0.000360989</v>
      </c>
      <c r="H2233" s="14">
        <v>0.001491602</v>
      </c>
      <c r="I2233" s="14" t="s">
        <v>147</v>
      </c>
      <c r="J2233" s="14">
        <v>29.79136869</v>
      </c>
      <c r="K2233" s="14">
        <v>27.56354068</v>
      </c>
      <c r="L2233" s="14">
        <v>24.57677087</v>
      </c>
      <c r="M2233" s="14">
        <v>53.63056379</v>
      </c>
      <c r="N2233" s="14">
        <v>57.5282429</v>
      </c>
      <c r="O2233" s="14">
        <v>31.59263421</v>
      </c>
      <c r="P2233" s="14" t="s">
        <v>10916</v>
      </c>
      <c r="Q2233" s="14" t="s">
        <v>10917</v>
      </c>
      <c r="T2233" s="14" t="s">
        <v>10918</v>
      </c>
      <c r="U2233" s="14" t="s">
        <v>10919</v>
      </c>
    </row>
    <row r="2234" spans="1:21">
      <c r="A2234" s="14" t="s">
        <v>10920</v>
      </c>
      <c r="B2234" s="14">
        <v>190.4264311</v>
      </c>
      <c r="C2234" s="14">
        <v>102.8833068</v>
      </c>
      <c r="D2234" s="14">
        <v>277.9695554</v>
      </c>
      <c r="E2234" s="14">
        <v>2.699374125</v>
      </c>
      <c r="F2234" s="14">
        <v>1.432624944</v>
      </c>
      <c r="G2234" s="51" t="s">
        <v>10921</v>
      </c>
      <c r="H2234" s="51" t="s">
        <v>1814</v>
      </c>
      <c r="I2234" s="14" t="s">
        <v>164</v>
      </c>
      <c r="J2234" s="14">
        <v>8.360753059</v>
      </c>
      <c r="K2234" s="14">
        <v>5.374287463</v>
      </c>
      <c r="L2234" s="14">
        <v>8.225694741</v>
      </c>
      <c r="M2234" s="14">
        <v>1.938776303</v>
      </c>
      <c r="N2234" s="14">
        <v>1.988303326</v>
      </c>
      <c r="O2234" s="14">
        <v>2.812594764</v>
      </c>
      <c r="P2234" s="14" t="s">
        <v>10922</v>
      </c>
      <c r="Q2234" s="14" t="s">
        <v>10923</v>
      </c>
      <c r="R2234" s="14" t="s">
        <v>3312</v>
      </c>
      <c r="S2234" s="14" t="s">
        <v>3313</v>
      </c>
      <c r="T2234" s="14" t="s">
        <v>10924</v>
      </c>
      <c r="U2234" s="14" t="s">
        <v>10925</v>
      </c>
    </row>
    <row r="2235" spans="1:15">
      <c r="A2235" s="14" t="s">
        <v>10926</v>
      </c>
      <c r="B2235" s="14">
        <v>1351.590617</v>
      </c>
      <c r="C2235" s="14">
        <v>883.0655265</v>
      </c>
      <c r="D2235" s="14">
        <v>1820.115707</v>
      </c>
      <c r="E2235" s="14">
        <v>2.061505783</v>
      </c>
      <c r="F2235" s="14">
        <v>1.043698508</v>
      </c>
      <c r="G2235" s="51" t="s">
        <v>10927</v>
      </c>
      <c r="H2235" s="51" t="s">
        <v>10928</v>
      </c>
      <c r="I2235" s="14" t="s">
        <v>164</v>
      </c>
      <c r="J2235" s="14">
        <v>20.55816114</v>
      </c>
      <c r="K2235" s="14">
        <v>18.88941776</v>
      </c>
      <c r="L2235" s="14">
        <v>17.9393143</v>
      </c>
      <c r="M2235" s="14">
        <v>7.369036592</v>
      </c>
      <c r="N2235" s="14">
        <v>7.839092328</v>
      </c>
      <c r="O2235" s="14">
        <v>7.697946894</v>
      </c>
    </row>
    <row r="2236" spans="1:21">
      <c r="A2236" s="14" t="s">
        <v>10929</v>
      </c>
      <c r="B2236" s="14">
        <v>248.3050798</v>
      </c>
      <c r="C2236" s="14">
        <v>38.90750166</v>
      </c>
      <c r="D2236" s="14">
        <v>457.702658</v>
      </c>
      <c r="E2236" s="14">
        <v>11.73224558</v>
      </c>
      <c r="F2236" s="14">
        <v>3.552407271</v>
      </c>
      <c r="G2236" s="51" t="s">
        <v>10930</v>
      </c>
      <c r="H2236" s="51" t="s">
        <v>10931</v>
      </c>
      <c r="I2236" s="14" t="s">
        <v>164</v>
      </c>
      <c r="J2236" s="14">
        <v>11.99346557</v>
      </c>
      <c r="K2236" s="14">
        <v>2.816748978</v>
      </c>
      <c r="L2236" s="14">
        <v>7.390657006</v>
      </c>
      <c r="M2236" s="14">
        <v>0.150502669</v>
      </c>
      <c r="N2236" s="14">
        <v>0.406915703</v>
      </c>
      <c r="O2236" s="14">
        <v>1.057517615</v>
      </c>
      <c r="P2236" s="14" t="s">
        <v>10932</v>
      </c>
      <c r="Q2236" s="14" t="s">
        <v>10933</v>
      </c>
      <c r="T2236" s="14" t="s">
        <v>8130</v>
      </c>
      <c r="U2236" s="14" t="s">
        <v>8131</v>
      </c>
    </row>
    <row r="2237" spans="1:21">
      <c r="A2237" s="14" t="s">
        <v>10934</v>
      </c>
      <c r="B2237" s="14">
        <v>197.6471558</v>
      </c>
      <c r="C2237" s="14">
        <v>108.3944669</v>
      </c>
      <c r="D2237" s="14">
        <v>286.8998448</v>
      </c>
      <c r="E2237" s="14">
        <v>2.647168308</v>
      </c>
      <c r="F2237" s="14">
        <v>1.404449925</v>
      </c>
      <c r="G2237" s="51" t="s">
        <v>6275</v>
      </c>
      <c r="H2237" s="51" t="s">
        <v>10935</v>
      </c>
      <c r="I2237" s="14" t="s">
        <v>164</v>
      </c>
      <c r="J2237" s="14">
        <v>4.409354749</v>
      </c>
      <c r="K2237" s="14">
        <v>7.375471777</v>
      </c>
      <c r="L2237" s="14">
        <v>6.727239973</v>
      </c>
      <c r="M2237" s="14">
        <v>1.694945468</v>
      </c>
      <c r="N2237" s="14">
        <v>2.133162069</v>
      </c>
      <c r="O2237" s="14">
        <v>1.925774983</v>
      </c>
      <c r="P2237" s="14" t="s">
        <v>10936</v>
      </c>
      <c r="Q2237" s="14" t="s">
        <v>10937</v>
      </c>
      <c r="T2237" s="14" t="s">
        <v>399</v>
      </c>
      <c r="U2237" s="14" t="s">
        <v>400</v>
      </c>
    </row>
    <row r="2238" spans="1:15">
      <c r="A2238" s="14" t="s">
        <v>10938</v>
      </c>
      <c r="B2238" s="14">
        <v>2773.007889</v>
      </c>
      <c r="C2238" s="14">
        <v>1655.256098</v>
      </c>
      <c r="D2238" s="14">
        <v>3890.759679</v>
      </c>
      <c r="E2238" s="14">
        <v>2.350139126</v>
      </c>
      <c r="F2238" s="14">
        <v>1.232746166</v>
      </c>
      <c r="G2238" s="51" t="s">
        <v>10939</v>
      </c>
      <c r="H2238" s="51" t="s">
        <v>10940</v>
      </c>
      <c r="I2238" s="14" t="s">
        <v>164</v>
      </c>
      <c r="J2238" s="14">
        <v>71.63849787</v>
      </c>
      <c r="K2238" s="14">
        <v>90.4483521</v>
      </c>
      <c r="L2238" s="14">
        <v>92.76731392</v>
      </c>
      <c r="M2238" s="14">
        <v>25.37559091</v>
      </c>
      <c r="N2238" s="14">
        <v>27.30812695</v>
      </c>
      <c r="O2238" s="14">
        <v>37.29486576</v>
      </c>
    </row>
    <row r="2239" spans="1:21">
      <c r="A2239" s="14" t="s">
        <v>10941</v>
      </c>
      <c r="B2239" s="14">
        <v>8817.583161</v>
      </c>
      <c r="C2239" s="14">
        <v>12513.01285</v>
      </c>
      <c r="D2239" s="14">
        <v>5122.153472</v>
      </c>
      <c r="E2239" s="14">
        <v>0.409350853</v>
      </c>
      <c r="F2239" s="14">
        <v>-1.288590194</v>
      </c>
      <c r="G2239" s="51" t="s">
        <v>10942</v>
      </c>
      <c r="H2239" s="51" t="s">
        <v>10943</v>
      </c>
      <c r="I2239" s="14" t="s">
        <v>147</v>
      </c>
      <c r="J2239" s="14">
        <v>65.07116595</v>
      </c>
      <c r="K2239" s="14">
        <v>69.15113006</v>
      </c>
      <c r="L2239" s="14">
        <v>63.36529155</v>
      </c>
      <c r="M2239" s="14">
        <v>134.9183799</v>
      </c>
      <c r="N2239" s="14">
        <v>131.4880938</v>
      </c>
      <c r="O2239" s="14">
        <v>130.1780027</v>
      </c>
      <c r="P2239" s="14" t="s">
        <v>10944</v>
      </c>
      <c r="Q2239" s="14" t="s">
        <v>10945</v>
      </c>
      <c r="T2239" s="14" t="s">
        <v>10946</v>
      </c>
      <c r="U2239" s="14" t="s">
        <v>10947</v>
      </c>
    </row>
    <row r="2240" spans="1:21">
      <c r="A2240" s="14" t="s">
        <v>10948</v>
      </c>
      <c r="B2240" s="14">
        <v>581.9768516</v>
      </c>
      <c r="C2240" s="14">
        <v>359.3229001</v>
      </c>
      <c r="D2240" s="14">
        <v>804.630803</v>
      </c>
      <c r="E2240" s="14">
        <v>2.239952516</v>
      </c>
      <c r="F2240" s="14">
        <v>1.163468149</v>
      </c>
      <c r="G2240" s="51" t="s">
        <v>10949</v>
      </c>
      <c r="H2240" s="51" t="s">
        <v>10950</v>
      </c>
      <c r="I2240" s="14" t="s">
        <v>164</v>
      </c>
      <c r="J2240" s="14">
        <v>8.083393412</v>
      </c>
      <c r="K2240" s="14">
        <v>9.234448732</v>
      </c>
      <c r="L2240" s="14">
        <v>9.830708349</v>
      </c>
      <c r="M2240" s="14">
        <v>2.886475064</v>
      </c>
      <c r="N2240" s="14">
        <v>4.039603048</v>
      </c>
      <c r="O2240" s="14">
        <v>3.010486662</v>
      </c>
      <c r="P2240" s="14" t="s">
        <v>3469</v>
      </c>
      <c r="Q2240" s="14" t="s">
        <v>3470</v>
      </c>
      <c r="T2240" s="14" t="s">
        <v>3471</v>
      </c>
      <c r="U2240" s="14" t="s">
        <v>3472</v>
      </c>
    </row>
    <row r="2241" spans="1:21">
      <c r="A2241" s="14" t="s">
        <v>10951</v>
      </c>
      <c r="B2241" s="14">
        <v>231.9962366</v>
      </c>
      <c r="C2241" s="14">
        <v>314.8028262</v>
      </c>
      <c r="D2241" s="14">
        <v>149.1896469</v>
      </c>
      <c r="E2241" s="14">
        <v>0.474073067</v>
      </c>
      <c r="F2241" s="14">
        <v>-1.076818661</v>
      </c>
      <c r="G2241" s="14">
        <v>0.009031684</v>
      </c>
      <c r="H2241" s="14">
        <v>0.024754791</v>
      </c>
      <c r="I2241" s="14" t="s">
        <v>147</v>
      </c>
      <c r="J2241" s="14">
        <v>2.019563643</v>
      </c>
      <c r="K2241" s="14">
        <v>1.524563348</v>
      </c>
      <c r="L2241" s="14">
        <v>1.523219645</v>
      </c>
      <c r="M2241" s="14">
        <v>3.033473515</v>
      </c>
      <c r="N2241" s="14">
        <v>3.950951126</v>
      </c>
      <c r="O2241" s="14">
        <v>1.671791569</v>
      </c>
      <c r="P2241" s="14" t="s">
        <v>10952</v>
      </c>
      <c r="Q2241" s="14" t="s">
        <v>10953</v>
      </c>
      <c r="T2241" s="14" t="s">
        <v>10954</v>
      </c>
      <c r="U2241" s="14" t="s">
        <v>10955</v>
      </c>
    </row>
    <row r="2242" spans="1:21">
      <c r="A2242" s="14" t="s">
        <v>10956</v>
      </c>
      <c r="B2242" s="14">
        <v>7134.546655</v>
      </c>
      <c r="C2242" s="14">
        <v>9750.448613</v>
      </c>
      <c r="D2242" s="14">
        <v>4518.644697</v>
      </c>
      <c r="E2242" s="14">
        <v>0.463429657</v>
      </c>
      <c r="F2242" s="14">
        <v>-1.109577722</v>
      </c>
      <c r="G2242" s="51" t="s">
        <v>10957</v>
      </c>
      <c r="H2242" s="51" t="s">
        <v>10958</v>
      </c>
      <c r="I2242" s="14" t="s">
        <v>147</v>
      </c>
      <c r="J2242" s="14">
        <v>68.87866683</v>
      </c>
      <c r="K2242" s="14">
        <v>76.18906197</v>
      </c>
      <c r="L2242" s="14">
        <v>59.25315913</v>
      </c>
      <c r="M2242" s="14">
        <v>129.5153246</v>
      </c>
      <c r="N2242" s="14">
        <v>119.8129707</v>
      </c>
      <c r="O2242" s="14">
        <v>112.3510986</v>
      </c>
      <c r="P2242" s="14" t="s">
        <v>10959</v>
      </c>
      <c r="Q2242" s="14" t="s">
        <v>10960</v>
      </c>
      <c r="T2242" s="14" t="s">
        <v>10961</v>
      </c>
      <c r="U2242" s="14" t="s">
        <v>10962</v>
      </c>
    </row>
    <row r="2243" spans="1:21">
      <c r="A2243" s="14" t="s">
        <v>10963</v>
      </c>
      <c r="B2243" s="14">
        <v>1755.1093</v>
      </c>
      <c r="C2243" s="14">
        <v>658.3343247</v>
      </c>
      <c r="D2243" s="14">
        <v>2851.884274</v>
      </c>
      <c r="E2243" s="14">
        <v>4.330399913</v>
      </c>
      <c r="F2243" s="14">
        <v>2.114500264</v>
      </c>
      <c r="G2243" s="51" t="s">
        <v>10964</v>
      </c>
      <c r="H2243" s="51" t="s">
        <v>10965</v>
      </c>
      <c r="I2243" s="14" t="s">
        <v>164</v>
      </c>
      <c r="J2243" s="14">
        <v>30.18549469</v>
      </c>
      <c r="K2243" s="14">
        <v>21.59026758</v>
      </c>
      <c r="L2243" s="14">
        <v>26.2054664</v>
      </c>
      <c r="M2243" s="14">
        <v>3.181027896</v>
      </c>
      <c r="N2243" s="14">
        <v>3.333297033</v>
      </c>
      <c r="O2243" s="14">
        <v>8.71736186</v>
      </c>
      <c r="P2243" s="14" t="s">
        <v>10966</v>
      </c>
      <c r="Q2243" s="14" t="s">
        <v>10967</v>
      </c>
      <c r="T2243" s="14" t="s">
        <v>10968</v>
      </c>
      <c r="U2243" s="14" t="s">
        <v>10969</v>
      </c>
    </row>
    <row r="2244" spans="1:21">
      <c r="A2244" s="14" t="s">
        <v>10970</v>
      </c>
      <c r="B2244" s="14">
        <v>147.1525441</v>
      </c>
      <c r="C2244" s="14">
        <v>235.8655614</v>
      </c>
      <c r="D2244" s="14">
        <v>58.43952676</v>
      </c>
      <c r="E2244" s="14">
        <v>0.247726635</v>
      </c>
      <c r="F2244" s="14">
        <v>-2.013179103</v>
      </c>
      <c r="G2244" s="14">
        <v>0.000368371</v>
      </c>
      <c r="H2244" s="14">
        <v>0.001518935</v>
      </c>
      <c r="I2244" s="14" t="s">
        <v>147</v>
      </c>
      <c r="J2244" s="14">
        <v>0.47253693</v>
      </c>
      <c r="K2244" s="14">
        <v>0.895289476</v>
      </c>
      <c r="L2244" s="14">
        <v>1.097309329</v>
      </c>
      <c r="M2244" s="14">
        <v>1.736112164</v>
      </c>
      <c r="N2244" s="14">
        <v>1.551511764</v>
      </c>
      <c r="O2244" s="14">
        <v>5.153919772</v>
      </c>
      <c r="P2244" s="14" t="s">
        <v>10971</v>
      </c>
      <c r="Q2244" s="14" t="s">
        <v>10972</v>
      </c>
      <c r="T2244" s="14" t="s">
        <v>3353</v>
      </c>
      <c r="U2244" s="14" t="s">
        <v>3354</v>
      </c>
    </row>
    <row r="2245" spans="1:21">
      <c r="A2245" s="14" t="s">
        <v>10973</v>
      </c>
      <c r="B2245" s="14">
        <v>1413.017437</v>
      </c>
      <c r="C2245" s="14">
        <v>760.8280357</v>
      </c>
      <c r="D2245" s="14">
        <v>2065.206838</v>
      </c>
      <c r="E2245" s="14">
        <v>2.713772446</v>
      </c>
      <c r="F2245" s="14">
        <v>1.440299754</v>
      </c>
      <c r="G2245" s="51" t="s">
        <v>5026</v>
      </c>
      <c r="H2245" s="51" t="s">
        <v>1435</v>
      </c>
      <c r="I2245" s="14" t="s">
        <v>164</v>
      </c>
      <c r="J2245" s="14">
        <v>57.93459795</v>
      </c>
      <c r="K2245" s="14">
        <v>32.59349929</v>
      </c>
      <c r="L2245" s="14">
        <v>55.02183071</v>
      </c>
      <c r="M2245" s="14">
        <v>10.93131285</v>
      </c>
      <c r="N2245" s="14">
        <v>13.11865506</v>
      </c>
      <c r="O2245" s="14">
        <v>20.67054381</v>
      </c>
      <c r="P2245" s="14" t="s">
        <v>10974</v>
      </c>
      <c r="Q2245" s="14" t="s">
        <v>10975</v>
      </c>
      <c r="T2245" s="14" t="s">
        <v>8541</v>
      </c>
      <c r="U2245" s="14" t="s">
        <v>8542</v>
      </c>
    </row>
    <row r="2246" spans="1:21">
      <c r="A2246" s="14" t="s">
        <v>10976</v>
      </c>
      <c r="B2246" s="14">
        <v>216.1694597</v>
      </c>
      <c r="C2246" s="14">
        <v>54.66440039</v>
      </c>
      <c r="D2246" s="14">
        <v>377.674519</v>
      </c>
      <c r="E2246" s="14">
        <v>6.890429568</v>
      </c>
      <c r="F2246" s="14">
        <v>2.784593927</v>
      </c>
      <c r="G2246" s="51" t="s">
        <v>10977</v>
      </c>
      <c r="H2246" s="51" t="s">
        <v>10978</v>
      </c>
      <c r="I2246" s="14" t="s">
        <v>164</v>
      </c>
      <c r="J2246" s="14">
        <v>8.549466424</v>
      </c>
      <c r="K2246" s="14">
        <v>6.625097986</v>
      </c>
      <c r="L2246" s="14">
        <v>12.69856242</v>
      </c>
      <c r="M2246" s="14">
        <v>0.602646213</v>
      </c>
      <c r="N2246" s="14">
        <v>0.598104306</v>
      </c>
      <c r="O2246" s="14">
        <v>2.236485683</v>
      </c>
      <c r="P2246" s="14" t="s">
        <v>10979</v>
      </c>
      <c r="Q2246" s="14" t="s">
        <v>10980</v>
      </c>
      <c r="T2246" s="14" t="s">
        <v>10981</v>
      </c>
      <c r="U2246" s="14" t="s">
        <v>10982</v>
      </c>
    </row>
    <row r="2247" spans="1:21">
      <c r="A2247" s="14" t="s">
        <v>10983</v>
      </c>
      <c r="B2247" s="14">
        <v>157.1083943</v>
      </c>
      <c r="C2247" s="14">
        <v>48.05002738</v>
      </c>
      <c r="D2247" s="14">
        <v>266.1667611</v>
      </c>
      <c r="E2247" s="14">
        <v>5.545468034</v>
      </c>
      <c r="F2247" s="14">
        <v>2.471309228</v>
      </c>
      <c r="G2247" s="51" t="s">
        <v>10984</v>
      </c>
      <c r="H2247" s="51" t="s">
        <v>10985</v>
      </c>
      <c r="I2247" s="14" t="s">
        <v>164</v>
      </c>
      <c r="J2247" s="14">
        <v>4.537784977</v>
      </c>
      <c r="K2247" s="14">
        <v>2.346447293</v>
      </c>
      <c r="L2247" s="14">
        <v>3.168873021</v>
      </c>
      <c r="M2247" s="14">
        <v>0.405316433</v>
      </c>
      <c r="N2247" s="14">
        <v>0.736774103</v>
      </c>
      <c r="O2247" s="14">
        <v>0.333940888</v>
      </c>
      <c r="P2247" s="14" t="s">
        <v>3175</v>
      </c>
      <c r="Q2247" s="14" t="s">
        <v>3176</v>
      </c>
      <c r="T2247" s="14" t="s">
        <v>3177</v>
      </c>
      <c r="U2247" s="14" t="s">
        <v>3178</v>
      </c>
    </row>
    <row r="2248" spans="1:21">
      <c r="A2248" s="14" t="s">
        <v>10986</v>
      </c>
      <c r="B2248" s="14">
        <v>3681.105394</v>
      </c>
      <c r="C2248" s="14">
        <v>1987.774777</v>
      </c>
      <c r="D2248" s="14">
        <v>5374.436012</v>
      </c>
      <c r="E2248" s="14">
        <v>2.70336763</v>
      </c>
      <c r="F2248" s="14">
        <v>1.434757717</v>
      </c>
      <c r="G2248" s="51" t="s">
        <v>6450</v>
      </c>
      <c r="H2248" s="51" t="s">
        <v>6451</v>
      </c>
      <c r="I2248" s="14" t="s">
        <v>164</v>
      </c>
      <c r="J2248" s="14">
        <v>41.42713566</v>
      </c>
      <c r="K2248" s="14">
        <v>35.43023508</v>
      </c>
      <c r="L2248" s="14">
        <v>48.4593344</v>
      </c>
      <c r="M2248" s="14">
        <v>10.20132554</v>
      </c>
      <c r="N2248" s="14">
        <v>10.44321087</v>
      </c>
      <c r="O2248" s="14">
        <v>18.01821828</v>
      </c>
      <c r="P2248" s="14" t="s">
        <v>10987</v>
      </c>
      <c r="Q2248" s="14" t="s">
        <v>10988</v>
      </c>
      <c r="T2248" s="14" t="s">
        <v>10989</v>
      </c>
      <c r="U2248" s="14" t="s">
        <v>10990</v>
      </c>
    </row>
    <row r="2249" spans="1:21">
      <c r="A2249" s="14" t="s">
        <v>10991</v>
      </c>
      <c r="B2249" s="14">
        <v>21.51238778</v>
      </c>
      <c r="C2249" s="14">
        <v>41.05366611</v>
      </c>
      <c r="D2249" s="14">
        <v>1.971109451</v>
      </c>
      <c r="E2249" s="14">
        <v>0.047895096</v>
      </c>
      <c r="F2249" s="14">
        <v>-4.383978241</v>
      </c>
      <c r="G2249" s="14">
        <v>0.005178441</v>
      </c>
      <c r="H2249" s="14">
        <v>0.015277172</v>
      </c>
      <c r="I2249" s="14" t="s">
        <v>147</v>
      </c>
      <c r="J2249" s="14">
        <v>0.106506153</v>
      </c>
      <c r="K2249" s="14">
        <v>0</v>
      </c>
      <c r="L2249" s="14">
        <v>0.020509878</v>
      </c>
      <c r="M2249" s="14">
        <v>0.0911261</v>
      </c>
      <c r="N2249" s="14">
        <v>0.17484935</v>
      </c>
      <c r="O2249" s="14">
        <v>2.068424981</v>
      </c>
      <c r="P2249" s="14" t="s">
        <v>10992</v>
      </c>
      <c r="Q2249" s="14" t="s">
        <v>10993</v>
      </c>
      <c r="R2249" s="14" t="s">
        <v>4179</v>
      </c>
      <c r="S2249" s="14" t="s">
        <v>4180</v>
      </c>
      <c r="T2249" s="14" t="s">
        <v>10994</v>
      </c>
      <c r="U2249" s="14" t="s">
        <v>10995</v>
      </c>
    </row>
    <row r="2250" spans="1:21">
      <c r="A2250" s="14" t="s">
        <v>10996</v>
      </c>
      <c r="B2250" s="14">
        <v>108.8110114</v>
      </c>
      <c r="C2250" s="14">
        <v>209.5676501</v>
      </c>
      <c r="D2250" s="14">
        <v>8.054372769</v>
      </c>
      <c r="E2250" s="14">
        <v>0.0384652</v>
      </c>
      <c r="F2250" s="14">
        <v>-4.700302376</v>
      </c>
      <c r="G2250" s="14">
        <v>0.000922922</v>
      </c>
      <c r="H2250" s="14">
        <v>0.003411497</v>
      </c>
      <c r="I2250" s="14" t="s">
        <v>147</v>
      </c>
      <c r="J2250" s="14">
        <v>0.094939709</v>
      </c>
      <c r="K2250" s="14">
        <v>0.019111931</v>
      </c>
      <c r="L2250" s="14">
        <v>0.118836439</v>
      </c>
      <c r="M2250" s="14">
        <v>0.097475894</v>
      </c>
      <c r="N2250" s="14">
        <v>0.077930457</v>
      </c>
      <c r="O2250" s="14">
        <v>5.18965118</v>
      </c>
      <c r="P2250" s="14" t="s">
        <v>10992</v>
      </c>
      <c r="Q2250" s="14" t="s">
        <v>10993</v>
      </c>
      <c r="R2250" s="14" t="s">
        <v>4179</v>
      </c>
      <c r="S2250" s="14" t="s">
        <v>4180</v>
      </c>
      <c r="T2250" s="14" t="s">
        <v>10994</v>
      </c>
      <c r="U2250" s="14" t="s">
        <v>10995</v>
      </c>
    </row>
    <row r="2251" spans="1:21">
      <c r="A2251" s="14" t="s">
        <v>10997</v>
      </c>
      <c r="B2251" s="14">
        <v>23.20797137</v>
      </c>
      <c r="C2251" s="14">
        <v>38.86903384</v>
      </c>
      <c r="D2251" s="14">
        <v>7.546908906</v>
      </c>
      <c r="E2251" s="14">
        <v>0.193353044</v>
      </c>
      <c r="F2251" s="14">
        <v>-2.370690616</v>
      </c>
      <c r="G2251" s="51" t="s">
        <v>6246</v>
      </c>
      <c r="H2251" s="14">
        <v>0.000358739</v>
      </c>
      <c r="I2251" s="14" t="s">
        <v>147</v>
      </c>
      <c r="J2251" s="14">
        <v>0.086629888</v>
      </c>
      <c r="K2251" s="14">
        <v>0.061036899</v>
      </c>
      <c r="L2251" s="14">
        <v>0.050046923</v>
      </c>
      <c r="M2251" s="14">
        <v>0.185300182</v>
      </c>
      <c r="N2251" s="14">
        <v>0.255993878</v>
      </c>
      <c r="O2251" s="14">
        <v>0.413351671</v>
      </c>
      <c r="P2251" s="14" t="s">
        <v>10998</v>
      </c>
      <c r="Q2251" s="14" t="s">
        <v>10999</v>
      </c>
      <c r="T2251" s="14" t="s">
        <v>11000</v>
      </c>
      <c r="U2251" s="14" t="s">
        <v>11001</v>
      </c>
    </row>
    <row r="2252" spans="1:21">
      <c r="A2252" s="14" t="s">
        <v>11002</v>
      </c>
      <c r="B2252" s="14">
        <v>986.7181046</v>
      </c>
      <c r="C2252" s="14">
        <v>600.2033047</v>
      </c>
      <c r="D2252" s="14">
        <v>1373.232905</v>
      </c>
      <c r="E2252" s="14">
        <v>2.28693139</v>
      </c>
      <c r="F2252" s="14">
        <v>1.193413084</v>
      </c>
      <c r="G2252" s="51" t="s">
        <v>11003</v>
      </c>
      <c r="H2252" s="51" t="s">
        <v>10284</v>
      </c>
      <c r="I2252" s="14" t="s">
        <v>164</v>
      </c>
      <c r="J2252" s="14">
        <v>4.233404483</v>
      </c>
      <c r="K2252" s="14">
        <v>3.184544921</v>
      </c>
      <c r="L2252" s="14">
        <v>3.511899442</v>
      </c>
      <c r="M2252" s="14">
        <v>1.137660889</v>
      </c>
      <c r="N2252" s="14">
        <v>1.123805814</v>
      </c>
      <c r="O2252" s="14">
        <v>1.711397573</v>
      </c>
      <c r="P2252" s="14" t="s">
        <v>11004</v>
      </c>
      <c r="Q2252" s="14" t="s">
        <v>11005</v>
      </c>
      <c r="R2252" s="14" t="s">
        <v>11006</v>
      </c>
      <c r="S2252" s="14" t="s">
        <v>11007</v>
      </c>
      <c r="T2252" s="14" t="s">
        <v>11008</v>
      </c>
      <c r="U2252" s="14" t="s">
        <v>11009</v>
      </c>
    </row>
    <row r="2253" spans="1:15">
      <c r="A2253" s="14" t="s">
        <v>11010</v>
      </c>
      <c r="B2253" s="14">
        <v>3995.079903</v>
      </c>
      <c r="C2253" s="14">
        <v>5586.683626</v>
      </c>
      <c r="D2253" s="14">
        <v>2403.47618</v>
      </c>
      <c r="E2253" s="14">
        <v>0.430224776</v>
      </c>
      <c r="F2253" s="14">
        <v>-1.216837485</v>
      </c>
      <c r="G2253" s="14">
        <v>0.018142022</v>
      </c>
      <c r="H2253" s="14">
        <v>0.044796761</v>
      </c>
      <c r="I2253" s="14" t="s">
        <v>147</v>
      </c>
      <c r="J2253" s="14">
        <v>18.16112896</v>
      </c>
      <c r="K2253" s="14">
        <v>30.5320708</v>
      </c>
      <c r="L2253" s="14">
        <v>22.69455413</v>
      </c>
      <c r="M2253" s="14">
        <v>58.63498764</v>
      </c>
      <c r="N2253" s="14">
        <v>58.22753398</v>
      </c>
      <c r="O2253" s="14">
        <v>16.23809746</v>
      </c>
    </row>
    <row r="2254" spans="1:21">
      <c r="A2254" s="14" t="s">
        <v>11011</v>
      </c>
      <c r="B2254" s="14">
        <v>2599.859104</v>
      </c>
      <c r="C2254" s="14">
        <v>3550.693591</v>
      </c>
      <c r="D2254" s="14">
        <v>1649.024616</v>
      </c>
      <c r="E2254" s="14">
        <v>0.464441957</v>
      </c>
      <c r="F2254" s="14">
        <v>-1.106429786</v>
      </c>
      <c r="G2254" s="14">
        <v>0.014624075</v>
      </c>
      <c r="H2254" s="14">
        <v>0.03732607</v>
      </c>
      <c r="I2254" s="14" t="s">
        <v>147</v>
      </c>
      <c r="J2254" s="14">
        <v>16.63724766</v>
      </c>
      <c r="K2254" s="14">
        <v>23.88681127</v>
      </c>
      <c r="L2254" s="14">
        <v>18.7767493</v>
      </c>
      <c r="M2254" s="14">
        <v>44.08702622</v>
      </c>
      <c r="N2254" s="14">
        <v>43.54486598</v>
      </c>
      <c r="O2254" s="14">
        <v>15.07103812</v>
      </c>
      <c r="P2254" s="14" t="s">
        <v>11012</v>
      </c>
      <c r="Q2254" s="14" t="s">
        <v>1620</v>
      </c>
      <c r="T2254" s="14" t="s">
        <v>11013</v>
      </c>
      <c r="U2254" s="14" t="s">
        <v>11014</v>
      </c>
    </row>
    <row r="2255" spans="1:21">
      <c r="A2255" s="14" t="s">
        <v>11015</v>
      </c>
      <c r="B2255" s="14">
        <v>574.3984088</v>
      </c>
      <c r="C2255" s="14">
        <v>37.15858338</v>
      </c>
      <c r="D2255" s="14">
        <v>1111.638234</v>
      </c>
      <c r="E2255" s="14">
        <v>29.83576643</v>
      </c>
      <c r="F2255" s="14">
        <v>4.898970932</v>
      </c>
      <c r="G2255" s="51" t="s">
        <v>11016</v>
      </c>
      <c r="H2255" s="51" t="s">
        <v>11017</v>
      </c>
      <c r="I2255" s="14" t="s">
        <v>164</v>
      </c>
      <c r="J2255" s="14">
        <v>101.0335958</v>
      </c>
      <c r="K2255" s="14">
        <v>41.4270108</v>
      </c>
      <c r="L2255" s="14">
        <v>19.74474856</v>
      </c>
      <c r="M2255" s="14">
        <v>0.537946156</v>
      </c>
      <c r="N2255" s="14">
        <v>1.230689202</v>
      </c>
      <c r="O2255" s="14">
        <v>2.874503279</v>
      </c>
      <c r="P2255" s="14" t="s">
        <v>7017</v>
      </c>
      <c r="Q2255" s="14" t="s">
        <v>11018</v>
      </c>
      <c r="R2255" s="14" t="s">
        <v>480</v>
      </c>
      <c r="S2255" s="14" t="s">
        <v>481</v>
      </c>
      <c r="T2255" s="14" t="s">
        <v>11019</v>
      </c>
      <c r="U2255" s="14" t="s">
        <v>11020</v>
      </c>
    </row>
    <row r="2256" spans="1:21">
      <c r="A2256" s="14" t="s">
        <v>11021</v>
      </c>
      <c r="B2256" s="14">
        <v>34061.1761</v>
      </c>
      <c r="C2256" s="14">
        <v>46949.75112</v>
      </c>
      <c r="D2256" s="14">
        <v>21172.60107</v>
      </c>
      <c r="E2256" s="14">
        <v>0.450964184</v>
      </c>
      <c r="F2256" s="14">
        <v>-1.148915238</v>
      </c>
      <c r="G2256" s="51" t="s">
        <v>11022</v>
      </c>
      <c r="H2256" s="51" t="s">
        <v>8610</v>
      </c>
      <c r="I2256" s="14" t="s">
        <v>147</v>
      </c>
      <c r="J2256" s="14">
        <v>309.4582471</v>
      </c>
      <c r="K2256" s="14">
        <v>363.4146136</v>
      </c>
      <c r="L2256" s="14">
        <v>280.9279423</v>
      </c>
      <c r="M2256" s="14">
        <v>631.202156</v>
      </c>
      <c r="N2256" s="14">
        <v>629.0692892</v>
      </c>
      <c r="O2256" s="14">
        <v>466.8362057</v>
      </c>
      <c r="P2256" s="14" t="s">
        <v>11023</v>
      </c>
      <c r="Q2256" s="14" t="s">
        <v>11024</v>
      </c>
      <c r="R2256" s="14" t="s">
        <v>3922</v>
      </c>
      <c r="S2256" s="14" t="s">
        <v>3923</v>
      </c>
      <c r="T2256" s="14" t="s">
        <v>11025</v>
      </c>
      <c r="U2256" s="14" t="s">
        <v>11026</v>
      </c>
    </row>
    <row r="2257" spans="1:21">
      <c r="A2257" s="14" t="s">
        <v>11027</v>
      </c>
      <c r="B2257" s="14">
        <v>38.21365537</v>
      </c>
      <c r="C2257" s="14">
        <v>57.40692894</v>
      </c>
      <c r="D2257" s="14">
        <v>19.02038179</v>
      </c>
      <c r="E2257" s="14">
        <v>0.331190178</v>
      </c>
      <c r="F2257" s="14">
        <v>-1.594268206</v>
      </c>
      <c r="G2257" s="14">
        <v>0.000185306</v>
      </c>
      <c r="H2257" s="14">
        <v>0.000820904</v>
      </c>
      <c r="I2257" s="14" t="s">
        <v>147</v>
      </c>
      <c r="J2257" s="14">
        <v>0.172725838</v>
      </c>
      <c r="K2257" s="14">
        <v>0.222146414</v>
      </c>
      <c r="L2257" s="14">
        <v>0.157069588</v>
      </c>
      <c r="M2257" s="14">
        <v>0.435139751</v>
      </c>
      <c r="N2257" s="14">
        <v>0.543492081</v>
      </c>
      <c r="O2257" s="14">
        <v>0.385569906</v>
      </c>
      <c r="P2257" s="14" t="s">
        <v>2718</v>
      </c>
      <c r="Q2257" s="14" t="s">
        <v>2719</v>
      </c>
      <c r="T2257" s="14" t="s">
        <v>2720</v>
      </c>
      <c r="U2257" s="14" t="s">
        <v>2721</v>
      </c>
    </row>
    <row r="2258" spans="1:21">
      <c r="A2258" s="14" t="s">
        <v>11028</v>
      </c>
      <c r="B2258" s="14">
        <v>51.62645684</v>
      </c>
      <c r="C2258" s="14">
        <v>78.52044835</v>
      </c>
      <c r="D2258" s="14">
        <v>24.73246533</v>
      </c>
      <c r="E2258" s="14">
        <v>0.314741808</v>
      </c>
      <c r="F2258" s="14">
        <v>-1.667759267</v>
      </c>
      <c r="G2258" s="14">
        <v>0.004634405</v>
      </c>
      <c r="H2258" s="14">
        <v>0.013858092</v>
      </c>
      <c r="I2258" s="14" t="s">
        <v>147</v>
      </c>
      <c r="J2258" s="14">
        <v>0.147989073</v>
      </c>
      <c r="K2258" s="14">
        <v>0.305750603</v>
      </c>
      <c r="L2258" s="14">
        <v>0.127492122</v>
      </c>
      <c r="M2258" s="14">
        <v>0.479818105</v>
      </c>
      <c r="N2258" s="14">
        <v>0.709673116</v>
      </c>
      <c r="O2258" s="14">
        <v>0.312963994</v>
      </c>
      <c r="P2258" s="14" t="s">
        <v>11029</v>
      </c>
      <c r="Q2258" s="14" t="s">
        <v>11030</v>
      </c>
      <c r="T2258" s="14" t="s">
        <v>4108</v>
      </c>
      <c r="U2258" s="14" t="s">
        <v>4109</v>
      </c>
    </row>
    <row r="2259" spans="1:21">
      <c r="A2259" s="14" t="s">
        <v>11031</v>
      </c>
      <c r="B2259" s="14">
        <v>5056.51001</v>
      </c>
      <c r="C2259" s="14">
        <v>6837.898098</v>
      </c>
      <c r="D2259" s="14">
        <v>3275.121922</v>
      </c>
      <c r="E2259" s="14">
        <v>0.478984117</v>
      </c>
      <c r="F2259" s="14">
        <v>-1.061950276</v>
      </c>
      <c r="G2259" s="51" t="s">
        <v>5916</v>
      </c>
      <c r="H2259" s="51" t="s">
        <v>5917</v>
      </c>
      <c r="I2259" s="14" t="s">
        <v>147</v>
      </c>
      <c r="J2259" s="14">
        <v>122.8892787</v>
      </c>
      <c r="K2259" s="14">
        <v>131.0898312</v>
      </c>
      <c r="L2259" s="14">
        <v>117.8183695</v>
      </c>
      <c r="M2259" s="14">
        <v>231.9443855</v>
      </c>
      <c r="N2259" s="14">
        <v>227.1096202</v>
      </c>
      <c r="O2259" s="14">
        <v>174.7575166</v>
      </c>
      <c r="P2259" s="14" t="s">
        <v>11032</v>
      </c>
      <c r="Q2259" s="14" t="s">
        <v>11033</v>
      </c>
      <c r="R2259" s="14" t="s">
        <v>11034</v>
      </c>
      <c r="S2259" s="14" t="s">
        <v>11035</v>
      </c>
      <c r="T2259" s="14" t="s">
        <v>11036</v>
      </c>
      <c r="U2259" s="14" t="s">
        <v>11037</v>
      </c>
    </row>
    <row r="2260" spans="1:21">
      <c r="A2260" s="14" t="s">
        <v>11038</v>
      </c>
      <c r="B2260" s="14">
        <v>366.6183739</v>
      </c>
      <c r="C2260" s="14">
        <v>212.6435522</v>
      </c>
      <c r="D2260" s="14">
        <v>520.5931956</v>
      </c>
      <c r="E2260" s="14">
        <v>2.44571762</v>
      </c>
      <c r="F2260" s="14">
        <v>1.290257841</v>
      </c>
      <c r="G2260" s="14">
        <v>0.001292122</v>
      </c>
      <c r="H2260" s="14">
        <v>0.004584062</v>
      </c>
      <c r="I2260" s="14" t="s">
        <v>164</v>
      </c>
      <c r="J2260" s="14">
        <v>22.7844782</v>
      </c>
      <c r="K2260" s="14">
        <v>15.87393557</v>
      </c>
      <c r="L2260" s="14">
        <v>21.17146883</v>
      </c>
      <c r="M2260" s="14">
        <v>3.859932077</v>
      </c>
      <c r="N2260" s="14">
        <v>5.352447158</v>
      </c>
      <c r="O2260" s="14">
        <v>11.42468423</v>
      </c>
      <c r="P2260" s="14" t="s">
        <v>11039</v>
      </c>
      <c r="Q2260" s="14" t="s">
        <v>11040</v>
      </c>
      <c r="R2260" s="14" t="s">
        <v>11041</v>
      </c>
      <c r="S2260" s="14" t="s">
        <v>11042</v>
      </c>
      <c r="T2260" s="14" t="s">
        <v>11043</v>
      </c>
      <c r="U2260" s="14" t="s">
        <v>11044</v>
      </c>
    </row>
    <row r="2261" spans="1:21">
      <c r="A2261" s="14" t="s">
        <v>11045</v>
      </c>
      <c r="B2261" s="14">
        <v>514.5026158</v>
      </c>
      <c r="C2261" s="14">
        <v>806.7111695</v>
      </c>
      <c r="D2261" s="14">
        <v>222.2940621</v>
      </c>
      <c r="E2261" s="14">
        <v>0.275522695</v>
      </c>
      <c r="F2261" s="14">
        <v>-1.859756935</v>
      </c>
      <c r="G2261" s="51" t="s">
        <v>11046</v>
      </c>
      <c r="H2261" s="51" t="s">
        <v>11047</v>
      </c>
      <c r="I2261" s="14" t="s">
        <v>147</v>
      </c>
      <c r="J2261" s="14">
        <v>2.621630123</v>
      </c>
      <c r="K2261" s="14">
        <v>2.545250045</v>
      </c>
      <c r="L2261" s="14">
        <v>1.768952149</v>
      </c>
      <c r="M2261" s="14">
        <v>7.868346777</v>
      </c>
      <c r="N2261" s="14">
        <v>7.159022665</v>
      </c>
      <c r="O2261" s="14">
        <v>5.529613358</v>
      </c>
      <c r="P2261" s="14" t="s">
        <v>1775</v>
      </c>
      <c r="Q2261" s="14" t="s">
        <v>1776</v>
      </c>
      <c r="T2261" s="14" t="s">
        <v>1777</v>
      </c>
      <c r="U2261" s="14" t="s">
        <v>1778</v>
      </c>
    </row>
    <row r="2262" spans="1:21">
      <c r="A2262" s="14" t="s">
        <v>11048</v>
      </c>
      <c r="B2262" s="14">
        <v>92.82444944</v>
      </c>
      <c r="C2262" s="14">
        <v>30.1446879</v>
      </c>
      <c r="D2262" s="14">
        <v>155.504211</v>
      </c>
      <c r="E2262" s="14">
        <v>5.139527623</v>
      </c>
      <c r="F2262" s="14">
        <v>2.361635767</v>
      </c>
      <c r="G2262" s="14">
        <v>0.00385793</v>
      </c>
      <c r="H2262" s="14">
        <v>0.011840334</v>
      </c>
      <c r="I2262" s="14" t="s">
        <v>164</v>
      </c>
      <c r="J2262" s="14">
        <v>2.298616797</v>
      </c>
      <c r="K2262" s="14">
        <v>1.205692665</v>
      </c>
      <c r="L2262" s="14">
        <v>1.579388391</v>
      </c>
      <c r="M2262" s="14">
        <v>0.073866079</v>
      </c>
      <c r="N2262" s="14">
        <v>0.1062986</v>
      </c>
      <c r="O2262" s="14">
        <v>0.677525001</v>
      </c>
      <c r="P2262" s="14" t="s">
        <v>11049</v>
      </c>
      <c r="Q2262" s="14" t="s">
        <v>11050</v>
      </c>
      <c r="T2262" s="14" t="s">
        <v>11051</v>
      </c>
      <c r="U2262" s="14" t="s">
        <v>11052</v>
      </c>
    </row>
    <row r="2263" spans="1:21">
      <c r="A2263" s="14" t="s">
        <v>11053</v>
      </c>
      <c r="B2263" s="14">
        <v>65.18324682</v>
      </c>
      <c r="C2263" s="14">
        <v>13.08734633</v>
      </c>
      <c r="D2263" s="14">
        <v>117.2791473</v>
      </c>
      <c r="E2263" s="14">
        <v>8.92191473</v>
      </c>
      <c r="F2263" s="14">
        <v>3.15735336</v>
      </c>
      <c r="G2263" s="14">
        <v>0.016067565</v>
      </c>
      <c r="H2263" s="14">
        <v>0.040453928</v>
      </c>
      <c r="I2263" s="14" t="s">
        <v>164</v>
      </c>
      <c r="J2263" s="14">
        <v>1.169470251</v>
      </c>
      <c r="K2263" s="14">
        <v>1.426796048</v>
      </c>
      <c r="L2263" s="14">
        <v>1.603730829</v>
      </c>
      <c r="M2263" s="14">
        <v>0.020213991</v>
      </c>
      <c r="N2263" s="14">
        <v>0</v>
      </c>
      <c r="O2263" s="14">
        <v>0.395540597</v>
      </c>
      <c r="P2263" s="14" t="s">
        <v>11054</v>
      </c>
      <c r="Q2263" s="14" t="s">
        <v>11055</v>
      </c>
      <c r="R2263" s="14" t="s">
        <v>341</v>
      </c>
      <c r="S2263" s="14" t="s">
        <v>342</v>
      </c>
      <c r="T2263" s="14" t="s">
        <v>11056</v>
      </c>
      <c r="U2263" s="14" t="s">
        <v>11057</v>
      </c>
    </row>
    <row r="2264" spans="1:21">
      <c r="A2264" s="14" t="s">
        <v>11058</v>
      </c>
      <c r="B2264" s="14">
        <v>169.8273557</v>
      </c>
      <c r="C2264" s="14">
        <v>5.741821901</v>
      </c>
      <c r="D2264" s="14">
        <v>333.9128895</v>
      </c>
      <c r="E2264" s="14">
        <v>58.3138231</v>
      </c>
      <c r="F2264" s="14">
        <v>5.865766005</v>
      </c>
      <c r="G2264" s="51" t="s">
        <v>2716</v>
      </c>
      <c r="H2264" s="51" t="s">
        <v>2717</v>
      </c>
      <c r="I2264" s="14" t="s">
        <v>164</v>
      </c>
      <c r="J2264" s="14">
        <v>25.18562396</v>
      </c>
      <c r="K2264" s="14">
        <v>44.56000714</v>
      </c>
      <c r="L2264" s="14">
        <v>18.04063055</v>
      </c>
      <c r="M2264" s="14">
        <v>0.223688786</v>
      </c>
      <c r="N2264" s="14">
        <v>0.786877059</v>
      </c>
      <c r="O2264" s="14">
        <v>0.218853359</v>
      </c>
      <c r="P2264" s="14" t="s">
        <v>11059</v>
      </c>
      <c r="Q2264" s="14" t="s">
        <v>11060</v>
      </c>
      <c r="T2264" s="14" t="s">
        <v>11061</v>
      </c>
      <c r="U2264" s="14" t="s">
        <v>11062</v>
      </c>
    </row>
    <row r="2265" spans="1:21">
      <c r="A2265" s="14" t="s">
        <v>11063</v>
      </c>
      <c r="B2265" s="14">
        <v>96.48079025</v>
      </c>
      <c r="C2265" s="14">
        <v>23.35871462</v>
      </c>
      <c r="D2265" s="14">
        <v>169.6028659</v>
      </c>
      <c r="E2265" s="14">
        <v>7.22234778</v>
      </c>
      <c r="F2265" s="14">
        <v>2.852467892</v>
      </c>
      <c r="G2265" s="51" t="s">
        <v>7184</v>
      </c>
      <c r="H2265" s="14">
        <v>0.000247383</v>
      </c>
      <c r="I2265" s="14" t="s">
        <v>164</v>
      </c>
      <c r="J2265" s="14">
        <v>3.092490851</v>
      </c>
      <c r="K2265" s="14">
        <v>1.759343364</v>
      </c>
      <c r="L2265" s="14">
        <v>2.833757516</v>
      </c>
      <c r="M2265" s="14">
        <v>0.076693298</v>
      </c>
      <c r="N2265" s="14">
        <v>0.196208306</v>
      </c>
      <c r="O2265" s="14">
        <v>0.637801217</v>
      </c>
      <c r="P2265" s="14" t="s">
        <v>6027</v>
      </c>
      <c r="Q2265" s="14" t="s">
        <v>6028</v>
      </c>
      <c r="T2265" s="14" t="s">
        <v>6029</v>
      </c>
      <c r="U2265" s="14" t="s">
        <v>6030</v>
      </c>
    </row>
    <row r="2266" spans="1:21">
      <c r="A2266" s="14" t="s">
        <v>11064</v>
      </c>
      <c r="B2266" s="14">
        <v>122.8951763</v>
      </c>
      <c r="C2266" s="14">
        <v>38.48887688</v>
      </c>
      <c r="D2266" s="14">
        <v>207.3014757</v>
      </c>
      <c r="E2266" s="14">
        <v>5.38230817</v>
      </c>
      <c r="F2266" s="14">
        <v>2.428224997</v>
      </c>
      <c r="G2266" s="51" t="s">
        <v>11065</v>
      </c>
      <c r="H2266" s="51" t="s">
        <v>11066</v>
      </c>
      <c r="I2266" s="14" t="s">
        <v>164</v>
      </c>
      <c r="J2266" s="14">
        <v>4.537693156</v>
      </c>
      <c r="K2266" s="14">
        <v>3.018542653</v>
      </c>
      <c r="L2266" s="14">
        <v>2.28282495</v>
      </c>
      <c r="M2266" s="14">
        <v>0.376152021</v>
      </c>
      <c r="N2266" s="14">
        <v>0.631528114</v>
      </c>
      <c r="O2266" s="14">
        <v>0.499456844</v>
      </c>
      <c r="P2266" s="14" t="s">
        <v>11067</v>
      </c>
      <c r="Q2266" s="14" t="s">
        <v>11068</v>
      </c>
      <c r="R2266" s="14" t="s">
        <v>11069</v>
      </c>
      <c r="S2266" s="14" t="s">
        <v>11070</v>
      </c>
      <c r="T2266" s="14" t="s">
        <v>11071</v>
      </c>
      <c r="U2266" s="14" t="s">
        <v>11072</v>
      </c>
    </row>
    <row r="2267" spans="1:15">
      <c r="A2267" s="14" t="s">
        <v>11073</v>
      </c>
      <c r="B2267" s="14">
        <v>503.862119</v>
      </c>
      <c r="C2267" s="14">
        <v>177.7904454</v>
      </c>
      <c r="D2267" s="14">
        <v>829.9337927</v>
      </c>
      <c r="E2267" s="14">
        <v>4.664748572</v>
      </c>
      <c r="F2267" s="14">
        <v>2.221799323</v>
      </c>
      <c r="G2267" s="14">
        <v>0.005280979</v>
      </c>
      <c r="H2267" s="14">
        <v>0.015528241</v>
      </c>
      <c r="I2267" s="14" t="s">
        <v>164</v>
      </c>
      <c r="J2267" s="14">
        <v>22.27051543</v>
      </c>
      <c r="K2267" s="14">
        <v>14.21051347</v>
      </c>
      <c r="L2267" s="14">
        <v>20.82923884</v>
      </c>
      <c r="M2267" s="14">
        <v>0.954675066</v>
      </c>
      <c r="N2267" s="14">
        <v>0.934589171</v>
      </c>
      <c r="O2267" s="14">
        <v>8.825706776</v>
      </c>
    </row>
    <row r="2268" spans="1:15">
      <c r="A2268" s="14" t="s">
        <v>11074</v>
      </c>
      <c r="B2268" s="14">
        <v>26.15779605</v>
      </c>
      <c r="C2268" s="14">
        <v>47.71063288</v>
      </c>
      <c r="D2268" s="14">
        <v>4.604959226</v>
      </c>
      <c r="E2268" s="14">
        <v>0.096389407</v>
      </c>
      <c r="F2268" s="14">
        <v>-3.374981586</v>
      </c>
      <c r="G2268" s="51" t="s">
        <v>11075</v>
      </c>
      <c r="H2268" s="14">
        <v>0.000347142</v>
      </c>
      <c r="I2268" s="14" t="s">
        <v>147</v>
      </c>
      <c r="J2268" s="14">
        <v>0.252591547</v>
      </c>
      <c r="K2268" s="14">
        <v>0.145280535</v>
      </c>
      <c r="L2268" s="14">
        <v>0.104231841</v>
      </c>
      <c r="M2268" s="14">
        <v>1.481938208</v>
      </c>
      <c r="N2268" s="14">
        <v>2.191854988</v>
      </c>
      <c r="O2268" s="14">
        <v>0.51350749</v>
      </c>
    </row>
    <row r="2269" spans="1:21">
      <c r="A2269" s="14" t="s">
        <v>11076</v>
      </c>
      <c r="B2269" s="14">
        <v>90.2393866</v>
      </c>
      <c r="C2269" s="14">
        <v>180.4787732</v>
      </c>
      <c r="D2269" s="14">
        <v>0</v>
      </c>
      <c r="E2269" s="14">
        <v>0.00099944</v>
      </c>
      <c r="F2269" s="14">
        <v>-9.966592023</v>
      </c>
      <c r="G2269" s="51" t="s">
        <v>11077</v>
      </c>
      <c r="H2269" s="51" t="s">
        <v>11078</v>
      </c>
      <c r="I2269" s="14" t="s">
        <v>147</v>
      </c>
      <c r="J2269" s="14">
        <v>0</v>
      </c>
      <c r="K2269" s="14">
        <v>0</v>
      </c>
      <c r="L2269" s="14">
        <v>0</v>
      </c>
      <c r="M2269" s="14">
        <v>4.737215724</v>
      </c>
      <c r="N2269" s="14">
        <v>4.0663965</v>
      </c>
      <c r="O2269" s="14">
        <v>4.268906211</v>
      </c>
      <c r="P2269" s="14" t="s">
        <v>11079</v>
      </c>
      <c r="Q2269" s="14" t="s">
        <v>11080</v>
      </c>
      <c r="T2269" s="14" t="s">
        <v>11081</v>
      </c>
      <c r="U2269" s="14" t="s">
        <v>11082</v>
      </c>
    </row>
    <row r="2270" spans="1:21">
      <c r="A2270" s="14" t="s">
        <v>11083</v>
      </c>
      <c r="B2270" s="14">
        <v>21996.51723</v>
      </c>
      <c r="C2270" s="14">
        <v>31049.01962</v>
      </c>
      <c r="D2270" s="14">
        <v>12944.01484</v>
      </c>
      <c r="E2270" s="14">
        <v>0.416882603</v>
      </c>
      <c r="F2270" s="14">
        <v>-1.262286927</v>
      </c>
      <c r="G2270" s="51" t="s">
        <v>11084</v>
      </c>
      <c r="H2270" s="51" t="s">
        <v>7417</v>
      </c>
      <c r="I2270" s="14" t="s">
        <v>147</v>
      </c>
      <c r="J2270" s="14">
        <v>251.8393945</v>
      </c>
      <c r="K2270" s="14">
        <v>234.154398</v>
      </c>
      <c r="L2270" s="14">
        <v>228.1154609</v>
      </c>
      <c r="M2270" s="14">
        <v>447.3290402</v>
      </c>
      <c r="N2270" s="14">
        <v>416.1923556</v>
      </c>
      <c r="O2270" s="14">
        <v>554.2005909</v>
      </c>
      <c r="P2270" s="14" t="s">
        <v>11085</v>
      </c>
      <c r="Q2270" s="14" t="s">
        <v>11086</v>
      </c>
      <c r="R2270" s="14" t="s">
        <v>11087</v>
      </c>
      <c r="S2270" s="14" t="s">
        <v>11088</v>
      </c>
      <c r="T2270" s="14" t="s">
        <v>11089</v>
      </c>
      <c r="U2270" s="14" t="s">
        <v>11090</v>
      </c>
    </row>
    <row r="2271" spans="1:15">
      <c r="A2271" s="14" t="s">
        <v>11091</v>
      </c>
      <c r="B2271" s="14">
        <v>1183.060696</v>
      </c>
      <c r="C2271" s="14">
        <v>781.7292521</v>
      </c>
      <c r="D2271" s="14">
        <v>1584.392139</v>
      </c>
      <c r="E2271" s="14">
        <v>2.027444776</v>
      </c>
      <c r="F2271" s="14">
        <v>1.019662619</v>
      </c>
      <c r="G2271" s="51" t="s">
        <v>11092</v>
      </c>
      <c r="H2271" s="51" t="s">
        <v>11093</v>
      </c>
      <c r="I2271" s="14" t="s">
        <v>164</v>
      </c>
      <c r="J2271" s="14">
        <v>5.410493067</v>
      </c>
      <c r="K2271" s="14">
        <v>5.781849511</v>
      </c>
      <c r="L2271" s="14">
        <v>6.22972571</v>
      </c>
      <c r="M2271" s="14">
        <v>2.226109091</v>
      </c>
      <c r="N2271" s="14">
        <v>2.513975115</v>
      </c>
      <c r="O2271" s="14">
        <v>2.320756896</v>
      </c>
    </row>
    <row r="2272" spans="1:21">
      <c r="A2272" s="14" t="s">
        <v>11094</v>
      </c>
      <c r="B2272" s="14">
        <v>3047.932455</v>
      </c>
      <c r="C2272" s="14">
        <v>1911.644085</v>
      </c>
      <c r="D2272" s="14">
        <v>4184.220825</v>
      </c>
      <c r="E2272" s="14">
        <v>2.188581217</v>
      </c>
      <c r="F2272" s="14">
        <v>1.129995923</v>
      </c>
      <c r="G2272" s="14">
        <v>0.019453776</v>
      </c>
      <c r="H2272" s="14">
        <v>0.047502414</v>
      </c>
      <c r="I2272" s="14" t="s">
        <v>164</v>
      </c>
      <c r="J2272" s="14">
        <v>28.20389355</v>
      </c>
      <c r="K2272" s="14">
        <v>33.88905833</v>
      </c>
      <c r="L2272" s="14">
        <v>40.03665189</v>
      </c>
      <c r="M2272" s="14">
        <v>7.072671693</v>
      </c>
      <c r="N2272" s="14">
        <v>7.05627582</v>
      </c>
      <c r="O2272" s="14">
        <v>25.67798895</v>
      </c>
      <c r="P2272" s="14" t="s">
        <v>11095</v>
      </c>
      <c r="Q2272" s="14" t="s">
        <v>11096</v>
      </c>
      <c r="T2272" s="14" t="s">
        <v>11097</v>
      </c>
      <c r="U2272" s="14" t="s">
        <v>11098</v>
      </c>
    </row>
    <row r="2273" spans="1:21">
      <c r="A2273" s="14" t="s">
        <v>11099</v>
      </c>
      <c r="B2273" s="14">
        <v>11.24532785</v>
      </c>
      <c r="C2273" s="14">
        <v>19.87057999</v>
      </c>
      <c r="D2273" s="14">
        <v>2.620075707</v>
      </c>
      <c r="E2273" s="14">
        <v>0.131749577</v>
      </c>
      <c r="F2273" s="14">
        <v>-2.924129763</v>
      </c>
      <c r="G2273" s="14">
        <v>0.006122587</v>
      </c>
      <c r="H2273" s="14">
        <v>0.017661803</v>
      </c>
      <c r="I2273" s="14" t="s">
        <v>147</v>
      </c>
      <c r="J2273" s="14">
        <v>0.109537159</v>
      </c>
      <c r="K2273" s="14">
        <v>0.022050484</v>
      </c>
      <c r="L2273" s="14">
        <v>0.042187117</v>
      </c>
      <c r="M2273" s="14">
        <v>0.187438825</v>
      </c>
      <c r="N2273" s="14">
        <v>0.665353609</v>
      </c>
      <c r="O2273" s="14">
        <v>0.220064405</v>
      </c>
      <c r="P2273" s="14" t="s">
        <v>11100</v>
      </c>
      <c r="Q2273" s="14" t="s">
        <v>11101</v>
      </c>
      <c r="R2273" s="14" t="s">
        <v>11102</v>
      </c>
      <c r="S2273" s="14" t="s">
        <v>11103</v>
      </c>
      <c r="T2273" s="14" t="s">
        <v>11104</v>
      </c>
      <c r="U2273" s="14" t="s">
        <v>11105</v>
      </c>
    </row>
    <row r="2274" spans="1:21">
      <c r="A2274" s="14" t="s">
        <v>11106</v>
      </c>
      <c r="B2274" s="14">
        <v>409.6719858</v>
      </c>
      <c r="C2274" s="14">
        <v>657.5273537</v>
      </c>
      <c r="D2274" s="14">
        <v>161.8166178</v>
      </c>
      <c r="E2274" s="14">
        <v>0.246102988</v>
      </c>
      <c r="F2274" s="14">
        <v>-2.022665919</v>
      </c>
      <c r="G2274" s="51" t="s">
        <v>11107</v>
      </c>
      <c r="H2274" s="51" t="s">
        <v>11108</v>
      </c>
      <c r="I2274" s="14" t="s">
        <v>147</v>
      </c>
      <c r="J2274" s="14">
        <v>2.642296127</v>
      </c>
      <c r="K2274" s="14">
        <v>4.104502325</v>
      </c>
      <c r="L2274" s="14">
        <v>3.445597907</v>
      </c>
      <c r="M2274" s="14">
        <v>11.49948447</v>
      </c>
      <c r="N2274" s="14">
        <v>11.28856019</v>
      </c>
      <c r="O2274" s="14">
        <v>11.25090285</v>
      </c>
      <c r="P2274" s="14" t="s">
        <v>11100</v>
      </c>
      <c r="Q2274" s="14" t="s">
        <v>11101</v>
      </c>
      <c r="R2274" s="14" t="s">
        <v>11102</v>
      </c>
      <c r="S2274" s="14" t="s">
        <v>11103</v>
      </c>
      <c r="T2274" s="14" t="s">
        <v>11104</v>
      </c>
      <c r="U2274" s="14" t="s">
        <v>11105</v>
      </c>
    </row>
    <row r="2275" spans="1:21">
      <c r="A2275" s="14" t="s">
        <v>11109</v>
      </c>
      <c r="B2275" s="14">
        <v>6079.314678</v>
      </c>
      <c r="C2275" s="14">
        <v>10027.03517</v>
      </c>
      <c r="D2275" s="14">
        <v>2131.59419</v>
      </c>
      <c r="E2275" s="14">
        <v>0.21258078</v>
      </c>
      <c r="F2275" s="14">
        <v>-2.233916931</v>
      </c>
      <c r="G2275" s="51" t="s">
        <v>11110</v>
      </c>
      <c r="H2275" s="51" t="s">
        <v>11111</v>
      </c>
      <c r="I2275" s="14" t="s">
        <v>147</v>
      </c>
      <c r="J2275" s="14">
        <v>17.99462075</v>
      </c>
      <c r="K2275" s="14">
        <v>70.539861</v>
      </c>
      <c r="L2275" s="14">
        <v>38.7032215</v>
      </c>
      <c r="M2275" s="14">
        <v>144.8180015</v>
      </c>
      <c r="N2275" s="14">
        <v>147.7721771</v>
      </c>
      <c r="O2275" s="14">
        <v>205.2311022</v>
      </c>
      <c r="P2275" s="14" t="s">
        <v>11100</v>
      </c>
      <c r="Q2275" s="14" t="s">
        <v>11101</v>
      </c>
      <c r="R2275" s="14" t="s">
        <v>11102</v>
      </c>
      <c r="S2275" s="14" t="s">
        <v>11103</v>
      </c>
      <c r="T2275" s="14" t="s">
        <v>11104</v>
      </c>
      <c r="U2275" s="14" t="s">
        <v>11105</v>
      </c>
    </row>
    <row r="2276" spans="1:15">
      <c r="A2276" s="14" t="s">
        <v>11112</v>
      </c>
      <c r="B2276" s="14">
        <v>14.39389694</v>
      </c>
      <c r="C2276" s="14">
        <v>0.618177692</v>
      </c>
      <c r="D2276" s="14">
        <v>28.16961619</v>
      </c>
      <c r="E2276" s="14">
        <v>42.75485084</v>
      </c>
      <c r="F2276" s="14">
        <v>5.418016208</v>
      </c>
      <c r="G2276" s="51" t="s">
        <v>713</v>
      </c>
      <c r="H2276" s="14">
        <v>0.000128538</v>
      </c>
      <c r="I2276" s="14" t="s">
        <v>164</v>
      </c>
      <c r="J2276" s="14">
        <v>1.030808911</v>
      </c>
      <c r="K2276" s="14">
        <v>0.798107661</v>
      </c>
      <c r="L2276" s="14">
        <v>1.565117883</v>
      </c>
      <c r="M2276" s="14">
        <v>0</v>
      </c>
      <c r="N2276" s="14">
        <v>0</v>
      </c>
      <c r="O2276" s="14">
        <v>0.066376126</v>
      </c>
    </row>
    <row r="2277" spans="1:15">
      <c r="A2277" s="14" t="s">
        <v>11113</v>
      </c>
      <c r="B2277" s="14">
        <v>3320.073037</v>
      </c>
      <c r="C2277" s="14">
        <v>2137.128366</v>
      </c>
      <c r="D2277" s="14">
        <v>4503.017708</v>
      </c>
      <c r="E2277" s="14">
        <v>2.107456572</v>
      </c>
      <c r="F2277" s="14">
        <v>1.075502902</v>
      </c>
      <c r="G2277" s="51" t="s">
        <v>11114</v>
      </c>
      <c r="H2277" s="51" t="s">
        <v>11115</v>
      </c>
      <c r="I2277" s="14" t="s">
        <v>164</v>
      </c>
      <c r="J2277" s="14">
        <v>75.72353743</v>
      </c>
      <c r="K2277" s="14">
        <v>81.54913508</v>
      </c>
      <c r="L2277" s="14">
        <v>75.6741157</v>
      </c>
      <c r="M2277" s="14">
        <v>31.35642374</v>
      </c>
      <c r="N2277" s="14">
        <v>29.98459377</v>
      </c>
      <c r="O2277" s="14">
        <v>29.43429256</v>
      </c>
    </row>
    <row r="2278" spans="1:21">
      <c r="A2278" s="14" t="s">
        <v>11116</v>
      </c>
      <c r="B2278" s="14">
        <v>13853.79754</v>
      </c>
      <c r="C2278" s="14">
        <v>18785.47185</v>
      </c>
      <c r="D2278" s="14">
        <v>8922.12323</v>
      </c>
      <c r="E2278" s="14">
        <v>0.474952354</v>
      </c>
      <c r="F2278" s="14">
        <v>-1.074145303</v>
      </c>
      <c r="G2278" s="51" t="s">
        <v>11117</v>
      </c>
      <c r="H2278" s="51" t="s">
        <v>10921</v>
      </c>
      <c r="I2278" s="14" t="s">
        <v>147</v>
      </c>
      <c r="J2278" s="14">
        <v>50.38357848</v>
      </c>
      <c r="K2278" s="14">
        <v>53.89218797</v>
      </c>
      <c r="L2278" s="14">
        <v>44.82675386</v>
      </c>
      <c r="M2278" s="14">
        <v>94.8015186</v>
      </c>
      <c r="N2278" s="14">
        <v>87.97245029</v>
      </c>
      <c r="O2278" s="14">
        <v>73.9826409</v>
      </c>
      <c r="P2278" s="14" t="s">
        <v>11118</v>
      </c>
      <c r="Q2278" s="14" t="s">
        <v>11119</v>
      </c>
      <c r="T2278" s="14" t="s">
        <v>11120</v>
      </c>
      <c r="U2278" s="14" t="s">
        <v>11121</v>
      </c>
    </row>
    <row r="2279" spans="1:21">
      <c r="A2279" s="14" t="s">
        <v>11122</v>
      </c>
      <c r="B2279" s="14">
        <v>5.623722614</v>
      </c>
      <c r="C2279" s="14">
        <v>0</v>
      </c>
      <c r="D2279" s="14">
        <v>11.24744523</v>
      </c>
      <c r="E2279" s="14">
        <v>60.72441414</v>
      </c>
      <c r="F2279" s="14">
        <v>5.924204761</v>
      </c>
      <c r="G2279" s="14">
        <v>0.001381426</v>
      </c>
      <c r="H2279" s="14">
        <v>0.00486352</v>
      </c>
      <c r="I2279" s="14" t="s">
        <v>164</v>
      </c>
      <c r="J2279" s="14">
        <v>0.494873234</v>
      </c>
      <c r="K2279" s="14">
        <v>0.181128979</v>
      </c>
      <c r="L2279" s="14">
        <v>0.866342572</v>
      </c>
      <c r="M2279" s="14">
        <v>0</v>
      </c>
      <c r="N2279" s="14">
        <v>0</v>
      </c>
      <c r="O2279" s="14">
        <v>0</v>
      </c>
      <c r="P2279" s="14" t="s">
        <v>1869</v>
      </c>
      <c r="Q2279" s="14" t="s">
        <v>1870</v>
      </c>
      <c r="R2279" s="14" t="s">
        <v>341</v>
      </c>
      <c r="S2279" s="14" t="s">
        <v>342</v>
      </c>
      <c r="T2279" s="14" t="s">
        <v>1871</v>
      </c>
      <c r="U2279" s="14" t="s">
        <v>1872</v>
      </c>
    </row>
    <row r="2280" spans="1:21">
      <c r="A2280" s="14" t="s">
        <v>11123</v>
      </c>
      <c r="B2280" s="14">
        <v>792.9488614</v>
      </c>
      <c r="C2280" s="14">
        <v>474.0897397</v>
      </c>
      <c r="D2280" s="14">
        <v>1111.807983</v>
      </c>
      <c r="E2280" s="14">
        <v>2.345253337</v>
      </c>
      <c r="F2280" s="14">
        <v>1.229743773</v>
      </c>
      <c r="G2280" s="51" t="s">
        <v>3142</v>
      </c>
      <c r="H2280" s="51" t="s">
        <v>11124</v>
      </c>
      <c r="I2280" s="14" t="s">
        <v>164</v>
      </c>
      <c r="J2280" s="14">
        <v>50.86132438</v>
      </c>
      <c r="K2280" s="14">
        <v>78.86852954</v>
      </c>
      <c r="L2280" s="14">
        <v>52.94814009</v>
      </c>
      <c r="M2280" s="14">
        <v>20.4565588</v>
      </c>
      <c r="N2280" s="14">
        <v>22.43567434</v>
      </c>
      <c r="O2280" s="14">
        <v>21.24250779</v>
      </c>
      <c r="P2280" s="14" t="s">
        <v>11125</v>
      </c>
      <c r="Q2280" s="14" t="s">
        <v>11126</v>
      </c>
      <c r="R2280" s="14" t="s">
        <v>341</v>
      </c>
      <c r="S2280" s="14" t="s">
        <v>342</v>
      </c>
      <c r="T2280" s="14" t="s">
        <v>1871</v>
      </c>
      <c r="U2280" s="14" t="s">
        <v>1872</v>
      </c>
    </row>
    <row r="2281" spans="1:21">
      <c r="A2281" s="14" t="s">
        <v>11127</v>
      </c>
      <c r="B2281" s="14">
        <v>2783.498618</v>
      </c>
      <c r="C2281" s="14">
        <v>3976.309259</v>
      </c>
      <c r="D2281" s="14">
        <v>1590.687977</v>
      </c>
      <c r="E2281" s="14">
        <v>0.400062656</v>
      </c>
      <c r="F2281" s="14">
        <v>-1.321702129</v>
      </c>
      <c r="G2281" s="51" t="s">
        <v>11128</v>
      </c>
      <c r="H2281" s="51" t="s">
        <v>11129</v>
      </c>
      <c r="I2281" s="14" t="s">
        <v>147</v>
      </c>
      <c r="J2281" s="14">
        <v>40.05542754</v>
      </c>
      <c r="K2281" s="14">
        <v>36.03635811</v>
      </c>
      <c r="L2281" s="14">
        <v>35.22914512</v>
      </c>
      <c r="M2281" s="14">
        <v>78.19294312</v>
      </c>
      <c r="N2281" s="14">
        <v>81.4105427</v>
      </c>
      <c r="O2281" s="14">
        <v>68.27969255</v>
      </c>
      <c r="P2281" s="14" t="s">
        <v>11130</v>
      </c>
      <c r="Q2281" s="14" t="s">
        <v>11131</v>
      </c>
      <c r="T2281" s="14" t="s">
        <v>11132</v>
      </c>
      <c r="U2281" s="14" t="s">
        <v>11133</v>
      </c>
    </row>
    <row r="2282" spans="1:21">
      <c r="A2282" s="14" t="s">
        <v>11134</v>
      </c>
      <c r="B2282" s="14">
        <v>224.1397283</v>
      </c>
      <c r="C2282" s="14">
        <v>73.73512388</v>
      </c>
      <c r="D2282" s="14">
        <v>374.5443328</v>
      </c>
      <c r="E2282" s="14">
        <v>5.074330755</v>
      </c>
      <c r="F2282" s="14">
        <v>2.34321756</v>
      </c>
      <c r="G2282" s="14">
        <v>0.004397767</v>
      </c>
      <c r="H2282" s="14">
        <v>0.013230439</v>
      </c>
      <c r="I2282" s="14" t="s">
        <v>164</v>
      </c>
      <c r="J2282" s="14">
        <v>17.20403341</v>
      </c>
      <c r="K2282" s="14">
        <v>6.340806718</v>
      </c>
      <c r="L2282" s="14">
        <v>8.486448098</v>
      </c>
      <c r="M2282" s="14">
        <v>0.193361968</v>
      </c>
      <c r="N2282" s="14">
        <v>2.202905749</v>
      </c>
      <c r="O2282" s="14">
        <v>2.955970444</v>
      </c>
      <c r="P2282" s="14" t="s">
        <v>11130</v>
      </c>
      <c r="Q2282" s="14" t="s">
        <v>11131</v>
      </c>
      <c r="T2282" s="14" t="s">
        <v>11132</v>
      </c>
      <c r="U2282" s="14" t="s">
        <v>11133</v>
      </c>
    </row>
    <row r="2283" spans="1:21">
      <c r="A2283" s="14" t="s">
        <v>11135</v>
      </c>
      <c r="B2283" s="14">
        <v>648.5950766</v>
      </c>
      <c r="C2283" s="14">
        <v>122.856887</v>
      </c>
      <c r="D2283" s="14">
        <v>1174.333266</v>
      </c>
      <c r="E2283" s="14">
        <v>9.545524167</v>
      </c>
      <c r="F2283" s="14">
        <v>3.254824422</v>
      </c>
      <c r="G2283" s="51" t="s">
        <v>11136</v>
      </c>
      <c r="H2283" s="51" t="s">
        <v>11137</v>
      </c>
      <c r="I2283" s="14" t="s">
        <v>164</v>
      </c>
      <c r="J2283" s="14">
        <v>42.17061776</v>
      </c>
      <c r="K2283" s="14">
        <v>21.09920386</v>
      </c>
      <c r="L2283" s="14">
        <v>34.051535</v>
      </c>
      <c r="M2283" s="14">
        <v>1.028880176</v>
      </c>
      <c r="N2283" s="14">
        <v>2.310684165</v>
      </c>
      <c r="O2283" s="14">
        <v>5.330611694</v>
      </c>
      <c r="P2283" s="14" t="s">
        <v>11138</v>
      </c>
      <c r="Q2283" s="14" t="s">
        <v>11139</v>
      </c>
      <c r="T2283" s="14" t="s">
        <v>3145</v>
      </c>
      <c r="U2283" s="14" t="s">
        <v>3146</v>
      </c>
    </row>
    <row r="2284" spans="1:15">
      <c r="A2284" s="14" t="s">
        <v>11140</v>
      </c>
      <c r="B2284" s="14">
        <v>1475.050974</v>
      </c>
      <c r="C2284" s="14">
        <v>1987.950516</v>
      </c>
      <c r="D2284" s="14">
        <v>962.1514314</v>
      </c>
      <c r="E2284" s="14">
        <v>0.484082518</v>
      </c>
      <c r="F2284" s="14">
        <v>-1.046675101</v>
      </c>
      <c r="G2284" s="51" t="s">
        <v>11141</v>
      </c>
      <c r="H2284" s="51" t="s">
        <v>11142</v>
      </c>
      <c r="I2284" s="14" t="s">
        <v>147</v>
      </c>
      <c r="J2284" s="14">
        <v>9.984940491</v>
      </c>
      <c r="K2284" s="14">
        <v>9.30458144</v>
      </c>
      <c r="L2284" s="14">
        <v>9.490372249</v>
      </c>
      <c r="M2284" s="14">
        <v>17.10302457</v>
      </c>
      <c r="N2284" s="14">
        <v>16.7488105</v>
      </c>
      <c r="O2284" s="14">
        <v>14.84833466</v>
      </c>
    </row>
    <row r="2285" spans="1:21">
      <c r="A2285" s="14" t="s">
        <v>11143</v>
      </c>
      <c r="B2285" s="14">
        <v>264.5785039</v>
      </c>
      <c r="C2285" s="14">
        <v>494.0812054</v>
      </c>
      <c r="D2285" s="14">
        <v>35.07580233</v>
      </c>
      <c r="E2285" s="14">
        <v>0.070947524</v>
      </c>
      <c r="F2285" s="14">
        <v>-3.817103847</v>
      </c>
      <c r="G2285" s="51" t="s">
        <v>7832</v>
      </c>
      <c r="H2285" s="51" t="s">
        <v>11144</v>
      </c>
      <c r="I2285" s="14" t="s">
        <v>147</v>
      </c>
      <c r="J2285" s="14">
        <v>0.187941993</v>
      </c>
      <c r="K2285" s="14">
        <v>1.255395795</v>
      </c>
      <c r="L2285" s="14">
        <v>0.361919684</v>
      </c>
      <c r="M2285" s="14">
        <v>8.420186515</v>
      </c>
      <c r="N2285" s="14">
        <v>9.873318061</v>
      </c>
      <c r="O2285" s="14">
        <v>2.173961355</v>
      </c>
      <c r="P2285" s="14" t="s">
        <v>11145</v>
      </c>
      <c r="Q2285" s="14" t="s">
        <v>11146</v>
      </c>
      <c r="T2285" s="14" t="s">
        <v>2771</v>
      </c>
      <c r="U2285" s="14" t="s">
        <v>2772</v>
      </c>
    </row>
    <row r="2286" spans="1:21">
      <c r="A2286" s="14" t="s">
        <v>11147</v>
      </c>
      <c r="B2286" s="14">
        <v>1920.630761</v>
      </c>
      <c r="C2286" s="14">
        <v>3054.883399</v>
      </c>
      <c r="D2286" s="14">
        <v>786.3781236</v>
      </c>
      <c r="E2286" s="14">
        <v>0.25742398</v>
      </c>
      <c r="F2286" s="14">
        <v>-1.957781641</v>
      </c>
      <c r="G2286" s="51" t="s">
        <v>11148</v>
      </c>
      <c r="H2286" s="51" t="s">
        <v>11149</v>
      </c>
      <c r="I2286" s="14" t="s">
        <v>147</v>
      </c>
      <c r="J2286" s="14">
        <v>9.203713383</v>
      </c>
      <c r="K2286" s="14">
        <v>9.571088764</v>
      </c>
      <c r="L2286" s="14">
        <v>8.132379996</v>
      </c>
      <c r="M2286" s="14">
        <v>32.00164239</v>
      </c>
      <c r="N2286" s="14">
        <v>31.11942477</v>
      </c>
      <c r="O2286" s="14">
        <v>22.08159851</v>
      </c>
      <c r="P2286" s="14" t="s">
        <v>11150</v>
      </c>
      <c r="Q2286" s="14" t="s">
        <v>11151</v>
      </c>
      <c r="T2286" s="14" t="s">
        <v>11152</v>
      </c>
      <c r="U2286" s="14" t="s">
        <v>11153</v>
      </c>
    </row>
    <row r="2287" spans="1:21">
      <c r="A2287" s="14" t="s">
        <v>11154</v>
      </c>
      <c r="B2287" s="14">
        <v>250.8768194</v>
      </c>
      <c r="C2287" s="14">
        <v>23.25774747</v>
      </c>
      <c r="D2287" s="14">
        <v>478.4958913</v>
      </c>
      <c r="E2287" s="14">
        <v>20.5208739</v>
      </c>
      <c r="F2287" s="14">
        <v>4.359020266</v>
      </c>
      <c r="G2287" s="51" t="s">
        <v>11155</v>
      </c>
      <c r="H2287" s="51" t="s">
        <v>11156</v>
      </c>
      <c r="I2287" s="14" t="s">
        <v>164</v>
      </c>
      <c r="J2287" s="14">
        <v>4.435530468</v>
      </c>
      <c r="K2287" s="14">
        <v>0.685223385</v>
      </c>
      <c r="L2287" s="14">
        <v>2.480765081</v>
      </c>
      <c r="M2287" s="14">
        <v>0.040324849</v>
      </c>
      <c r="N2287" s="14">
        <v>0.120359261</v>
      </c>
      <c r="O2287" s="14">
        <v>0.149045258</v>
      </c>
      <c r="P2287" s="14" t="s">
        <v>11157</v>
      </c>
      <c r="Q2287" s="14" t="s">
        <v>11158</v>
      </c>
      <c r="T2287" s="14" t="s">
        <v>11159</v>
      </c>
      <c r="U2287" s="14" t="s">
        <v>11160</v>
      </c>
    </row>
    <row r="2288" spans="1:15">
      <c r="A2288" s="14" t="s">
        <v>11161</v>
      </c>
      <c r="B2288" s="14">
        <v>6672.801383</v>
      </c>
      <c r="C2288" s="14">
        <v>9421.723141</v>
      </c>
      <c r="D2288" s="14">
        <v>3923.879625</v>
      </c>
      <c r="E2288" s="14">
        <v>0.41648093</v>
      </c>
      <c r="F2288" s="14">
        <v>-1.263677658</v>
      </c>
      <c r="G2288" s="51" t="s">
        <v>2631</v>
      </c>
      <c r="H2288" s="51" t="s">
        <v>1259</v>
      </c>
      <c r="I2288" s="14" t="s">
        <v>147</v>
      </c>
      <c r="J2288" s="14">
        <v>40.48733401</v>
      </c>
      <c r="K2288" s="14">
        <v>48.91983417</v>
      </c>
      <c r="L2288" s="14">
        <v>41.7259576</v>
      </c>
      <c r="M2288" s="14">
        <v>99.60514083</v>
      </c>
      <c r="N2288" s="14">
        <v>95.64087376</v>
      </c>
      <c r="O2288" s="14">
        <v>60.65795498</v>
      </c>
    </row>
    <row r="2289" spans="1:15">
      <c r="A2289" s="14" t="s">
        <v>11162</v>
      </c>
      <c r="B2289" s="14">
        <v>68.80371966</v>
      </c>
      <c r="C2289" s="14">
        <v>35.82859976</v>
      </c>
      <c r="D2289" s="14">
        <v>101.7788396</v>
      </c>
      <c r="E2289" s="14">
        <v>2.840250981</v>
      </c>
      <c r="F2289" s="14">
        <v>1.50601842</v>
      </c>
      <c r="G2289" s="14">
        <v>0.002963084</v>
      </c>
      <c r="H2289" s="14">
        <v>0.009400073</v>
      </c>
      <c r="I2289" s="14" t="s">
        <v>164</v>
      </c>
      <c r="J2289" s="14">
        <v>2.69404817</v>
      </c>
      <c r="K2289" s="14">
        <v>1.460113821</v>
      </c>
      <c r="L2289" s="14">
        <v>1.650703577</v>
      </c>
      <c r="M2289" s="14">
        <v>0.676996925</v>
      </c>
      <c r="N2289" s="14">
        <v>0.278356361</v>
      </c>
      <c r="O2289" s="14">
        <v>0.741215115</v>
      </c>
    </row>
    <row r="2290" spans="1:15">
      <c r="A2290" s="14" t="s">
        <v>11163</v>
      </c>
      <c r="B2290" s="14">
        <v>403.4654939</v>
      </c>
      <c r="C2290" s="14">
        <v>543.8230626</v>
      </c>
      <c r="D2290" s="14">
        <v>263.1079251</v>
      </c>
      <c r="E2290" s="14">
        <v>0.483994373</v>
      </c>
      <c r="F2290" s="14">
        <v>-1.046937822</v>
      </c>
      <c r="G2290" s="14">
        <v>0.006212154</v>
      </c>
      <c r="H2290" s="14">
        <v>0.017873866</v>
      </c>
      <c r="I2290" s="14" t="s">
        <v>147</v>
      </c>
      <c r="J2290" s="14">
        <v>7.420394285</v>
      </c>
      <c r="K2290" s="14">
        <v>5.919189451</v>
      </c>
      <c r="L2290" s="14">
        <v>6.780195805</v>
      </c>
      <c r="M2290" s="14">
        <v>13.734247</v>
      </c>
      <c r="N2290" s="14">
        <v>13.44570799</v>
      </c>
      <c r="O2290" s="14">
        <v>6.401759727</v>
      </c>
    </row>
    <row r="2291" spans="1:15">
      <c r="A2291" s="14" t="s">
        <v>11164</v>
      </c>
      <c r="B2291" s="14">
        <v>37.4846949</v>
      </c>
      <c r="C2291" s="14">
        <v>73.344365</v>
      </c>
      <c r="D2291" s="14">
        <v>1.625024793</v>
      </c>
      <c r="E2291" s="14">
        <v>0.022216383</v>
      </c>
      <c r="F2291" s="14">
        <v>-5.492232238</v>
      </c>
      <c r="G2291" s="51" t="s">
        <v>11165</v>
      </c>
      <c r="H2291" s="51" t="s">
        <v>11166</v>
      </c>
      <c r="I2291" s="14" t="s">
        <v>147</v>
      </c>
      <c r="J2291" s="14">
        <v>0.096560631</v>
      </c>
      <c r="K2291" s="14">
        <v>0.04859558</v>
      </c>
      <c r="L2291" s="14">
        <v>0.092973349</v>
      </c>
      <c r="M2291" s="14">
        <v>3.098128658</v>
      </c>
      <c r="N2291" s="14">
        <v>5.112333021</v>
      </c>
      <c r="O2291" s="14">
        <v>0.323323429</v>
      </c>
    </row>
    <row r="2292" spans="1:21">
      <c r="A2292" s="14" t="s">
        <v>11167</v>
      </c>
      <c r="B2292" s="14">
        <v>101.218171</v>
      </c>
      <c r="C2292" s="14">
        <v>23.03330144</v>
      </c>
      <c r="D2292" s="14">
        <v>179.4030405</v>
      </c>
      <c r="E2292" s="14">
        <v>7.739614125</v>
      </c>
      <c r="F2292" s="14">
        <v>2.952261639</v>
      </c>
      <c r="G2292" s="51" t="s">
        <v>11168</v>
      </c>
      <c r="H2292" s="51" t="s">
        <v>11169</v>
      </c>
      <c r="I2292" s="14" t="s">
        <v>164</v>
      </c>
      <c r="J2292" s="14">
        <v>4.892567661</v>
      </c>
      <c r="K2292" s="14">
        <v>7.105372349</v>
      </c>
      <c r="L2292" s="14">
        <v>6.998911799</v>
      </c>
      <c r="M2292" s="14">
        <v>0.418605496</v>
      </c>
      <c r="N2292" s="14">
        <v>0.631089293</v>
      </c>
      <c r="O2292" s="14">
        <v>0.994637459</v>
      </c>
      <c r="P2292" s="14" t="s">
        <v>11170</v>
      </c>
      <c r="Q2292" s="14" t="s">
        <v>11171</v>
      </c>
      <c r="T2292" s="14" t="s">
        <v>11172</v>
      </c>
      <c r="U2292" s="14" t="s">
        <v>11173</v>
      </c>
    </row>
    <row r="2293" spans="1:21">
      <c r="A2293" s="14" t="s">
        <v>11174</v>
      </c>
      <c r="B2293" s="14">
        <v>7980.605344</v>
      </c>
      <c r="C2293" s="14">
        <v>10902.49007</v>
      </c>
      <c r="D2293" s="14">
        <v>5058.720621</v>
      </c>
      <c r="E2293" s="14">
        <v>0.464006871</v>
      </c>
      <c r="F2293" s="14">
        <v>-1.107781926</v>
      </c>
      <c r="G2293" s="51" t="s">
        <v>2072</v>
      </c>
      <c r="H2293" s="51" t="s">
        <v>11175</v>
      </c>
      <c r="I2293" s="14" t="s">
        <v>147</v>
      </c>
      <c r="J2293" s="14">
        <v>57.7561804</v>
      </c>
      <c r="K2293" s="14">
        <v>56.55857837</v>
      </c>
      <c r="L2293" s="14">
        <v>53.2508253</v>
      </c>
      <c r="M2293" s="14">
        <v>108.4921521</v>
      </c>
      <c r="N2293" s="14">
        <v>113.9011532</v>
      </c>
      <c r="O2293" s="14">
        <v>71.37211525</v>
      </c>
      <c r="P2293" s="14" t="s">
        <v>11176</v>
      </c>
      <c r="Q2293" s="14" t="s">
        <v>11177</v>
      </c>
      <c r="T2293" s="14" t="s">
        <v>11178</v>
      </c>
      <c r="U2293" s="14" t="s">
        <v>11179</v>
      </c>
    </row>
    <row r="2294" spans="1:15">
      <c r="A2294" s="14" t="s">
        <v>11180</v>
      </c>
      <c r="B2294" s="14">
        <v>225.0146388</v>
      </c>
      <c r="C2294" s="14">
        <v>0</v>
      </c>
      <c r="D2294" s="14">
        <v>450.0292776</v>
      </c>
      <c r="E2294" s="14">
        <v>2427.288375</v>
      </c>
      <c r="F2294" s="14">
        <v>11.2451298</v>
      </c>
      <c r="G2294" s="51" t="s">
        <v>11181</v>
      </c>
      <c r="H2294" s="51" t="s">
        <v>11182</v>
      </c>
      <c r="I2294" s="14" t="s">
        <v>164</v>
      </c>
      <c r="J2294" s="14">
        <v>11.64066679</v>
      </c>
      <c r="K2294" s="14">
        <v>17.30801618</v>
      </c>
      <c r="L2294" s="14">
        <v>13.55201735</v>
      </c>
      <c r="M2294" s="14">
        <v>0</v>
      </c>
      <c r="N2294" s="14">
        <v>0</v>
      </c>
      <c r="O2294" s="14">
        <v>0</v>
      </c>
    </row>
    <row r="2295" spans="1:21">
      <c r="A2295" s="14" t="s">
        <v>11183</v>
      </c>
      <c r="B2295" s="14">
        <v>581.936403</v>
      </c>
      <c r="C2295" s="14">
        <v>812.3180877</v>
      </c>
      <c r="D2295" s="14">
        <v>351.5547183</v>
      </c>
      <c r="E2295" s="14">
        <v>0.432701909</v>
      </c>
      <c r="F2295" s="14">
        <v>-1.208554609</v>
      </c>
      <c r="G2295" s="51" t="s">
        <v>2744</v>
      </c>
      <c r="H2295" s="51" t="s">
        <v>4240</v>
      </c>
      <c r="I2295" s="14" t="s">
        <v>147</v>
      </c>
      <c r="J2295" s="14">
        <v>8.990118158</v>
      </c>
      <c r="K2295" s="14">
        <v>10.86392549</v>
      </c>
      <c r="L2295" s="14">
        <v>8.34971852</v>
      </c>
      <c r="M2295" s="14">
        <v>17.33513173</v>
      </c>
      <c r="N2295" s="14">
        <v>18.80783346</v>
      </c>
      <c r="O2295" s="14">
        <v>17.44879086</v>
      </c>
      <c r="P2295" s="14" t="s">
        <v>11184</v>
      </c>
      <c r="Q2295" s="14" t="s">
        <v>11185</v>
      </c>
      <c r="T2295" s="14" t="s">
        <v>11186</v>
      </c>
      <c r="U2295" s="14" t="s">
        <v>11187</v>
      </c>
    </row>
    <row r="2296" spans="1:21">
      <c r="A2296" s="14" t="s">
        <v>11188</v>
      </c>
      <c r="B2296" s="14">
        <v>24139.46788</v>
      </c>
      <c r="C2296" s="14">
        <v>11687.64855</v>
      </c>
      <c r="D2296" s="14">
        <v>36591.2872</v>
      </c>
      <c r="E2296" s="14">
        <v>3.13071557</v>
      </c>
      <c r="F2296" s="14">
        <v>1.646492443</v>
      </c>
      <c r="G2296" s="51" t="s">
        <v>11189</v>
      </c>
      <c r="H2296" s="51" t="s">
        <v>11190</v>
      </c>
      <c r="I2296" s="14" t="s">
        <v>164</v>
      </c>
      <c r="J2296" s="14">
        <v>235.8161246</v>
      </c>
      <c r="K2296" s="14">
        <v>261.6653787</v>
      </c>
      <c r="L2296" s="14">
        <v>315.5860129</v>
      </c>
      <c r="M2296" s="14">
        <v>59.97970529</v>
      </c>
      <c r="N2296" s="14">
        <v>72.85703802</v>
      </c>
      <c r="O2296" s="14">
        <v>81.74664824</v>
      </c>
      <c r="P2296" s="14" t="s">
        <v>11184</v>
      </c>
      <c r="Q2296" s="14" t="s">
        <v>11185</v>
      </c>
      <c r="T2296" s="14" t="s">
        <v>11186</v>
      </c>
      <c r="U2296" s="14" t="s">
        <v>11187</v>
      </c>
    </row>
    <row r="2297" spans="1:21">
      <c r="A2297" s="14" t="s">
        <v>11191</v>
      </c>
      <c r="B2297" s="14">
        <v>1267.673031</v>
      </c>
      <c r="C2297" s="14">
        <v>759.6923673</v>
      </c>
      <c r="D2297" s="14">
        <v>1775.653695</v>
      </c>
      <c r="E2297" s="14">
        <v>2.337377366</v>
      </c>
      <c r="F2297" s="14">
        <v>1.224890674</v>
      </c>
      <c r="G2297" s="51" t="s">
        <v>8179</v>
      </c>
      <c r="H2297" s="51" t="s">
        <v>8180</v>
      </c>
      <c r="I2297" s="14" t="s">
        <v>164</v>
      </c>
      <c r="J2297" s="14">
        <v>23.36464256</v>
      </c>
      <c r="K2297" s="14">
        <v>25.28246032</v>
      </c>
      <c r="L2297" s="14">
        <v>29.37680667</v>
      </c>
      <c r="M2297" s="14">
        <v>8.668408432</v>
      </c>
      <c r="N2297" s="14">
        <v>8.66133447</v>
      </c>
      <c r="O2297" s="14">
        <v>10.20392339</v>
      </c>
      <c r="P2297" s="14" t="s">
        <v>11192</v>
      </c>
      <c r="Q2297" s="14" t="s">
        <v>11193</v>
      </c>
      <c r="T2297" s="14" t="s">
        <v>11194</v>
      </c>
      <c r="U2297" s="14" t="s">
        <v>11195</v>
      </c>
    </row>
    <row r="2298" spans="1:21">
      <c r="A2298" s="14" t="s">
        <v>11196</v>
      </c>
      <c r="B2298" s="14">
        <v>17.85061117</v>
      </c>
      <c r="C2298" s="14">
        <v>29.17232114</v>
      </c>
      <c r="D2298" s="14">
        <v>6.528901213</v>
      </c>
      <c r="E2298" s="14">
        <v>0.224044058</v>
      </c>
      <c r="F2298" s="14">
        <v>-2.158145633</v>
      </c>
      <c r="G2298" s="14">
        <v>0.010882213</v>
      </c>
      <c r="H2298" s="14">
        <v>0.029027517</v>
      </c>
      <c r="I2298" s="14" t="s">
        <v>147</v>
      </c>
      <c r="J2298" s="14">
        <v>0.065130202</v>
      </c>
      <c r="K2298" s="14">
        <v>0.010925916</v>
      </c>
      <c r="L2298" s="14">
        <v>0.031355289</v>
      </c>
      <c r="M2298" s="14">
        <v>0.185750187</v>
      </c>
      <c r="N2298" s="14">
        <v>0.071282101</v>
      </c>
      <c r="O2298" s="14">
        <v>0.136301152</v>
      </c>
      <c r="P2298" s="14" t="s">
        <v>11197</v>
      </c>
      <c r="Q2298" s="14" t="s">
        <v>11198</v>
      </c>
      <c r="R2298" s="14" t="s">
        <v>6798</v>
      </c>
      <c r="S2298" s="14" t="s">
        <v>6799</v>
      </c>
      <c r="T2298" s="14" t="s">
        <v>11199</v>
      </c>
      <c r="U2298" s="14" t="s">
        <v>11200</v>
      </c>
    </row>
    <row r="2299" spans="1:15">
      <c r="A2299" s="14" t="s">
        <v>11201</v>
      </c>
      <c r="B2299" s="14">
        <v>230.3046497</v>
      </c>
      <c r="C2299" s="14">
        <v>318.6624806</v>
      </c>
      <c r="D2299" s="14">
        <v>141.9468187</v>
      </c>
      <c r="E2299" s="14">
        <v>0.445603141</v>
      </c>
      <c r="F2299" s="14">
        <v>-1.166168691</v>
      </c>
      <c r="G2299" s="14">
        <v>0.000625242</v>
      </c>
      <c r="H2299" s="14">
        <v>0.002421808</v>
      </c>
      <c r="I2299" s="14" t="s">
        <v>147</v>
      </c>
      <c r="J2299" s="14">
        <v>2.170723324</v>
      </c>
      <c r="K2299" s="14">
        <v>2.286859765</v>
      </c>
      <c r="L2299" s="14">
        <v>1.755666974</v>
      </c>
      <c r="M2299" s="14">
        <v>4.581239787</v>
      </c>
      <c r="N2299" s="14">
        <v>4.145700912</v>
      </c>
      <c r="O2299" s="14">
        <v>2.604526396</v>
      </c>
    </row>
    <row r="2300" spans="1:21">
      <c r="A2300" s="14" t="s">
        <v>11202</v>
      </c>
      <c r="B2300" s="14">
        <v>543.7668122</v>
      </c>
      <c r="C2300" s="14">
        <v>246.3663249</v>
      </c>
      <c r="D2300" s="14">
        <v>841.1672995</v>
      </c>
      <c r="E2300" s="14">
        <v>3.412678171</v>
      </c>
      <c r="F2300" s="14">
        <v>1.770904369</v>
      </c>
      <c r="G2300" s="51" t="s">
        <v>11203</v>
      </c>
      <c r="H2300" s="51" t="s">
        <v>11204</v>
      </c>
      <c r="I2300" s="14" t="s">
        <v>164</v>
      </c>
      <c r="J2300" s="14">
        <v>18.67341191</v>
      </c>
      <c r="K2300" s="14">
        <v>14.97850913</v>
      </c>
      <c r="L2300" s="14">
        <v>18.61124276</v>
      </c>
      <c r="M2300" s="14">
        <v>3.17432918</v>
      </c>
      <c r="N2300" s="14">
        <v>4.896182709</v>
      </c>
      <c r="O2300" s="14">
        <v>4.564193274</v>
      </c>
      <c r="P2300" s="14" t="s">
        <v>11205</v>
      </c>
      <c r="Q2300" s="14" t="s">
        <v>11206</v>
      </c>
      <c r="R2300" s="14" t="s">
        <v>341</v>
      </c>
      <c r="S2300" s="14" t="s">
        <v>342</v>
      </c>
      <c r="T2300" s="14" t="s">
        <v>11207</v>
      </c>
      <c r="U2300" s="14" t="s">
        <v>11208</v>
      </c>
    </row>
    <row r="2301" spans="1:21">
      <c r="A2301" s="14" t="s">
        <v>11209</v>
      </c>
      <c r="B2301" s="14">
        <v>3590.528357</v>
      </c>
      <c r="C2301" s="14">
        <v>1937.220991</v>
      </c>
      <c r="D2301" s="14">
        <v>5243.835724</v>
      </c>
      <c r="E2301" s="14">
        <v>2.70664438</v>
      </c>
      <c r="F2301" s="14">
        <v>1.436505348</v>
      </c>
      <c r="G2301" s="51" t="s">
        <v>11210</v>
      </c>
      <c r="H2301" s="51" t="s">
        <v>158</v>
      </c>
      <c r="I2301" s="14" t="s">
        <v>164</v>
      </c>
      <c r="J2301" s="14">
        <v>54.73049645</v>
      </c>
      <c r="K2301" s="14">
        <v>71.99527057</v>
      </c>
      <c r="L2301" s="14">
        <v>48.24468921</v>
      </c>
      <c r="M2301" s="14">
        <v>15.8262266</v>
      </c>
      <c r="N2301" s="14">
        <v>17.24890577</v>
      </c>
      <c r="O2301" s="14">
        <v>20.48226883</v>
      </c>
      <c r="P2301" s="14" t="s">
        <v>11211</v>
      </c>
      <c r="Q2301" s="14" t="s">
        <v>11212</v>
      </c>
      <c r="R2301" s="14" t="s">
        <v>11213</v>
      </c>
      <c r="S2301" s="14" t="s">
        <v>11214</v>
      </c>
      <c r="T2301" s="14" t="s">
        <v>11215</v>
      </c>
      <c r="U2301" s="14" t="s">
        <v>11216</v>
      </c>
    </row>
    <row r="2302" spans="1:21">
      <c r="A2302" s="14" t="s">
        <v>11217</v>
      </c>
      <c r="B2302" s="14">
        <v>2284.451867</v>
      </c>
      <c r="C2302" s="14">
        <v>908.0141087</v>
      </c>
      <c r="D2302" s="14">
        <v>3660.889626</v>
      </c>
      <c r="E2302" s="14">
        <v>4.032977264</v>
      </c>
      <c r="F2302" s="14">
        <v>2.011845273</v>
      </c>
      <c r="G2302" s="51" t="s">
        <v>11218</v>
      </c>
      <c r="H2302" s="51" t="s">
        <v>11219</v>
      </c>
      <c r="I2302" s="14" t="s">
        <v>164</v>
      </c>
      <c r="J2302" s="14">
        <v>26.73870591</v>
      </c>
      <c r="K2302" s="14">
        <v>30.39725335</v>
      </c>
      <c r="L2302" s="14">
        <v>24.61548034</v>
      </c>
      <c r="M2302" s="14">
        <v>6.0177347</v>
      </c>
      <c r="N2302" s="14">
        <v>6.130725759</v>
      </c>
      <c r="O2302" s="14">
        <v>4.398748522</v>
      </c>
      <c r="P2302" s="14" t="s">
        <v>11220</v>
      </c>
      <c r="Q2302" s="14" t="s">
        <v>11221</v>
      </c>
      <c r="R2302" s="14" t="s">
        <v>5178</v>
      </c>
      <c r="S2302" s="14" t="s">
        <v>5179</v>
      </c>
      <c r="T2302" s="14" t="s">
        <v>11222</v>
      </c>
      <c r="U2302" s="14" t="s">
        <v>11223</v>
      </c>
    </row>
    <row r="2303" spans="1:21">
      <c r="A2303" s="14" t="s">
        <v>11224</v>
      </c>
      <c r="B2303" s="14">
        <v>1803.357459</v>
      </c>
      <c r="C2303" s="14">
        <v>634.0972431</v>
      </c>
      <c r="D2303" s="14">
        <v>2972.617674</v>
      </c>
      <c r="E2303" s="14">
        <v>4.687060727</v>
      </c>
      <c r="F2303" s="14">
        <v>2.228683487</v>
      </c>
      <c r="G2303" s="51" t="s">
        <v>11225</v>
      </c>
      <c r="H2303" s="51" t="s">
        <v>5781</v>
      </c>
      <c r="I2303" s="14" t="s">
        <v>164</v>
      </c>
      <c r="J2303" s="14">
        <v>58.89557208</v>
      </c>
      <c r="K2303" s="14">
        <v>28.27347437</v>
      </c>
      <c r="L2303" s="14">
        <v>48.84927066</v>
      </c>
      <c r="M2303" s="14">
        <v>4.775761673</v>
      </c>
      <c r="N2303" s="14">
        <v>9.510281722</v>
      </c>
      <c r="O2303" s="14">
        <v>9.799674408</v>
      </c>
      <c r="P2303" s="14" t="s">
        <v>4133</v>
      </c>
      <c r="Q2303" s="14" t="s">
        <v>4134</v>
      </c>
      <c r="R2303" s="14" t="s">
        <v>8085</v>
      </c>
      <c r="S2303" s="14" t="s">
        <v>8086</v>
      </c>
      <c r="T2303" s="14" t="s">
        <v>4135</v>
      </c>
      <c r="U2303" s="14" t="s">
        <v>4136</v>
      </c>
    </row>
    <row r="2304" spans="1:21">
      <c r="A2304" s="14" t="s">
        <v>11226</v>
      </c>
      <c r="B2304" s="14">
        <v>202.0792222</v>
      </c>
      <c r="C2304" s="14">
        <v>57.04814059</v>
      </c>
      <c r="D2304" s="14">
        <v>347.1103039</v>
      </c>
      <c r="E2304" s="14">
        <v>6.086725394</v>
      </c>
      <c r="F2304" s="14">
        <v>2.605666279</v>
      </c>
      <c r="G2304" s="51" t="s">
        <v>1516</v>
      </c>
      <c r="H2304" s="51" t="s">
        <v>1517</v>
      </c>
      <c r="I2304" s="14" t="s">
        <v>164</v>
      </c>
      <c r="J2304" s="14">
        <v>5.666106718</v>
      </c>
      <c r="K2304" s="14">
        <v>2.946154107</v>
      </c>
      <c r="L2304" s="14">
        <v>5.533175546</v>
      </c>
      <c r="M2304" s="14">
        <v>0.608858334</v>
      </c>
      <c r="N2304" s="14">
        <v>0.628212366</v>
      </c>
      <c r="O2304" s="14">
        <v>0.674373722</v>
      </c>
      <c r="P2304" s="14" t="s">
        <v>11227</v>
      </c>
      <c r="Q2304" s="14" t="s">
        <v>11228</v>
      </c>
      <c r="T2304" s="14" t="s">
        <v>11229</v>
      </c>
      <c r="U2304" s="14" t="s">
        <v>11230</v>
      </c>
    </row>
    <row r="2305" spans="1:15">
      <c r="A2305" s="14" t="s">
        <v>11231</v>
      </c>
      <c r="B2305" s="14">
        <v>110.0407108</v>
      </c>
      <c r="C2305" s="14">
        <v>23.21738163</v>
      </c>
      <c r="D2305" s="14">
        <v>196.86404</v>
      </c>
      <c r="E2305" s="14">
        <v>8.445117118</v>
      </c>
      <c r="F2305" s="14">
        <v>3.078117431</v>
      </c>
      <c r="G2305" s="14">
        <v>0.001700476</v>
      </c>
      <c r="H2305" s="14">
        <v>0.005831546</v>
      </c>
      <c r="I2305" s="14" t="s">
        <v>164</v>
      </c>
      <c r="J2305" s="14">
        <v>17.7846032</v>
      </c>
      <c r="K2305" s="14">
        <v>13.90348298</v>
      </c>
      <c r="L2305" s="14">
        <v>19.86704344</v>
      </c>
      <c r="M2305" s="14">
        <v>0.147732158</v>
      </c>
      <c r="N2305" s="14">
        <v>0.566925867</v>
      </c>
      <c r="O2305" s="14">
        <v>4.625237341</v>
      </c>
    </row>
    <row r="2306" spans="1:21">
      <c r="A2306" s="14" t="s">
        <v>11232</v>
      </c>
      <c r="B2306" s="14">
        <v>17674.56594</v>
      </c>
      <c r="C2306" s="14">
        <v>29157.06634</v>
      </c>
      <c r="D2306" s="14">
        <v>6192.065548</v>
      </c>
      <c r="E2306" s="14">
        <v>0.212364245</v>
      </c>
      <c r="F2306" s="14">
        <v>-2.235387213</v>
      </c>
      <c r="G2306" s="51" t="s">
        <v>11233</v>
      </c>
      <c r="H2306" s="51" t="s">
        <v>3161</v>
      </c>
      <c r="I2306" s="14" t="s">
        <v>147</v>
      </c>
      <c r="J2306" s="14">
        <v>92.18566343</v>
      </c>
      <c r="K2306" s="14">
        <v>120.439063</v>
      </c>
      <c r="L2306" s="14">
        <v>68.9621864</v>
      </c>
      <c r="M2306" s="14">
        <v>314.6442188</v>
      </c>
      <c r="N2306" s="14">
        <v>289.0008924</v>
      </c>
      <c r="O2306" s="14">
        <v>505.0106044</v>
      </c>
      <c r="P2306" s="14" t="s">
        <v>11234</v>
      </c>
      <c r="Q2306" s="14" t="s">
        <v>11235</v>
      </c>
      <c r="T2306" s="14" t="s">
        <v>11236</v>
      </c>
      <c r="U2306" s="14" t="s">
        <v>11237</v>
      </c>
    </row>
    <row r="2307" spans="1:21">
      <c r="A2307" s="14" t="s">
        <v>11238</v>
      </c>
      <c r="B2307" s="14">
        <v>4.493614123</v>
      </c>
      <c r="C2307" s="14">
        <v>0</v>
      </c>
      <c r="D2307" s="14">
        <v>8.987228246</v>
      </c>
      <c r="E2307" s="14">
        <v>48.53178208</v>
      </c>
      <c r="F2307" s="14">
        <v>5.600857932</v>
      </c>
      <c r="G2307" s="14">
        <v>0.003175789</v>
      </c>
      <c r="H2307" s="14">
        <v>0.009978891</v>
      </c>
      <c r="I2307" s="14" t="s">
        <v>164</v>
      </c>
      <c r="J2307" s="14">
        <v>0.061974434</v>
      </c>
      <c r="K2307" s="14">
        <v>0.051982599</v>
      </c>
      <c r="L2307" s="14">
        <v>0.169070805</v>
      </c>
      <c r="M2307" s="14">
        <v>0</v>
      </c>
      <c r="N2307" s="14">
        <v>0</v>
      </c>
      <c r="O2307" s="14">
        <v>0</v>
      </c>
      <c r="P2307" s="14" t="s">
        <v>11239</v>
      </c>
      <c r="Q2307" s="14" t="s">
        <v>11240</v>
      </c>
      <c r="T2307" s="14" t="s">
        <v>11241</v>
      </c>
      <c r="U2307" s="14" t="s">
        <v>11242</v>
      </c>
    </row>
    <row r="2308" spans="1:15">
      <c r="A2308" s="14" t="s">
        <v>11243</v>
      </c>
      <c r="B2308" s="14">
        <v>3232.738576</v>
      </c>
      <c r="C2308" s="14">
        <v>4746.571636</v>
      </c>
      <c r="D2308" s="14">
        <v>1718.905517</v>
      </c>
      <c r="E2308" s="14">
        <v>0.362143978</v>
      </c>
      <c r="F2308" s="14">
        <v>-1.465364708</v>
      </c>
      <c r="G2308" s="51" t="s">
        <v>11244</v>
      </c>
      <c r="H2308" s="51" t="s">
        <v>11245</v>
      </c>
      <c r="I2308" s="14" t="s">
        <v>147</v>
      </c>
      <c r="J2308" s="14">
        <v>38.18944629</v>
      </c>
      <c r="K2308" s="14">
        <v>45.96758939</v>
      </c>
      <c r="L2308" s="14">
        <v>36.65885387</v>
      </c>
      <c r="M2308" s="14">
        <v>101.0053308</v>
      </c>
      <c r="N2308" s="14">
        <v>95.68228358</v>
      </c>
      <c r="O2308" s="14">
        <v>75.89570321</v>
      </c>
    </row>
    <row r="2309" spans="1:21">
      <c r="A2309" s="14" t="s">
        <v>11246</v>
      </c>
      <c r="B2309" s="14">
        <v>292.1146453</v>
      </c>
      <c r="C2309" s="14">
        <v>174.0411598</v>
      </c>
      <c r="D2309" s="14">
        <v>410.1881309</v>
      </c>
      <c r="E2309" s="14">
        <v>2.354928502</v>
      </c>
      <c r="F2309" s="14">
        <v>1.235683259</v>
      </c>
      <c r="G2309" s="51" t="s">
        <v>11247</v>
      </c>
      <c r="H2309" s="51" t="s">
        <v>11248</v>
      </c>
      <c r="I2309" s="14" t="s">
        <v>164</v>
      </c>
      <c r="J2309" s="14">
        <v>9.738900647</v>
      </c>
      <c r="K2309" s="14">
        <v>9.562237183</v>
      </c>
      <c r="L2309" s="14">
        <v>10.36536727</v>
      </c>
      <c r="M2309" s="14">
        <v>3.349359051</v>
      </c>
      <c r="N2309" s="14">
        <v>2.6451047</v>
      </c>
      <c r="O2309" s="14">
        <v>4.455861927</v>
      </c>
      <c r="P2309" s="14" t="s">
        <v>4184</v>
      </c>
      <c r="Q2309" s="14" t="s">
        <v>4185</v>
      </c>
      <c r="T2309" s="14" t="s">
        <v>524</v>
      </c>
      <c r="U2309" s="14" t="s">
        <v>525</v>
      </c>
    </row>
    <row r="2310" spans="1:15">
      <c r="A2310" s="14" t="s">
        <v>11249</v>
      </c>
      <c r="B2310" s="14">
        <v>208.254971</v>
      </c>
      <c r="C2310" s="14">
        <v>297.5000566</v>
      </c>
      <c r="D2310" s="14">
        <v>119.0098853</v>
      </c>
      <c r="E2310" s="14">
        <v>0.400132984</v>
      </c>
      <c r="F2310" s="14">
        <v>-1.321448536</v>
      </c>
      <c r="G2310" s="14">
        <v>0.002224311</v>
      </c>
      <c r="H2310" s="14">
        <v>0.007353686</v>
      </c>
      <c r="I2310" s="14" t="s">
        <v>147</v>
      </c>
      <c r="J2310" s="14">
        <v>0.459003446</v>
      </c>
      <c r="K2310" s="14">
        <v>0.69528815</v>
      </c>
      <c r="L2310" s="14">
        <v>0.481333</v>
      </c>
      <c r="M2310" s="14">
        <v>1.275370895</v>
      </c>
      <c r="N2310" s="14">
        <v>1.40635593</v>
      </c>
      <c r="O2310" s="14">
        <v>0.627705026</v>
      </c>
    </row>
    <row r="2311" spans="1:15">
      <c r="A2311" s="14" t="s">
        <v>11250</v>
      </c>
      <c r="B2311" s="14">
        <v>92.17358382</v>
      </c>
      <c r="C2311" s="14">
        <v>128.8571499</v>
      </c>
      <c r="D2311" s="14">
        <v>55.49001774</v>
      </c>
      <c r="E2311" s="14">
        <v>0.431240489</v>
      </c>
      <c r="F2311" s="14">
        <v>-1.213435457</v>
      </c>
      <c r="G2311" s="14">
        <v>0.000415494</v>
      </c>
      <c r="H2311" s="14">
        <v>0.00168823</v>
      </c>
      <c r="I2311" s="14" t="s">
        <v>147</v>
      </c>
      <c r="J2311" s="14">
        <v>0.843822309</v>
      </c>
      <c r="K2311" s="14">
        <v>0.789730088</v>
      </c>
      <c r="L2311" s="14">
        <v>0.855235616</v>
      </c>
      <c r="M2311" s="14">
        <v>1.747927117</v>
      </c>
      <c r="N2311" s="14">
        <v>1.798445119</v>
      </c>
      <c r="O2311" s="14">
        <v>1.152487399</v>
      </c>
    </row>
    <row r="2312" spans="1:21">
      <c r="A2312" s="14" t="s">
        <v>11251</v>
      </c>
      <c r="B2312" s="14">
        <v>627.0634748</v>
      </c>
      <c r="C2312" s="14">
        <v>851.7957991</v>
      </c>
      <c r="D2312" s="14">
        <v>402.3311505</v>
      </c>
      <c r="E2312" s="14">
        <v>0.472117763</v>
      </c>
      <c r="F2312" s="14">
        <v>-1.082781331</v>
      </c>
      <c r="G2312" s="51" t="s">
        <v>6728</v>
      </c>
      <c r="H2312" s="51" t="s">
        <v>11252</v>
      </c>
      <c r="I2312" s="14" t="s">
        <v>147</v>
      </c>
      <c r="J2312" s="14">
        <v>3.025845355</v>
      </c>
      <c r="K2312" s="14">
        <v>2.645048138</v>
      </c>
      <c r="L2312" s="14">
        <v>2.688815041</v>
      </c>
      <c r="M2312" s="14">
        <v>4.074137624</v>
      </c>
      <c r="N2312" s="14">
        <v>4.207150684</v>
      </c>
      <c r="O2312" s="14">
        <v>6.455821884</v>
      </c>
      <c r="P2312" s="14" t="s">
        <v>11253</v>
      </c>
      <c r="Q2312" s="14" t="s">
        <v>11254</v>
      </c>
      <c r="T2312" s="14" t="s">
        <v>2238</v>
      </c>
      <c r="U2312" s="14" t="s">
        <v>2239</v>
      </c>
    </row>
    <row r="2313" spans="1:21">
      <c r="A2313" s="14" t="s">
        <v>11255</v>
      </c>
      <c r="B2313" s="14">
        <v>758.4257367</v>
      </c>
      <c r="C2313" s="14">
        <v>411.3070848</v>
      </c>
      <c r="D2313" s="14">
        <v>1105.544389</v>
      </c>
      <c r="E2313" s="14">
        <v>2.68668832</v>
      </c>
      <c r="F2313" s="14">
        <v>1.425828966</v>
      </c>
      <c r="G2313" s="14">
        <v>0.004420725</v>
      </c>
      <c r="H2313" s="14">
        <v>0.013290528</v>
      </c>
      <c r="I2313" s="14" t="s">
        <v>164</v>
      </c>
      <c r="J2313" s="14">
        <v>14.35758801</v>
      </c>
      <c r="K2313" s="14">
        <v>11.86624088</v>
      </c>
      <c r="L2313" s="14">
        <v>15.77840118</v>
      </c>
      <c r="M2313" s="14">
        <v>2.5404655</v>
      </c>
      <c r="N2313" s="14">
        <v>2.149326938</v>
      </c>
      <c r="O2313" s="14">
        <v>8.641739502</v>
      </c>
      <c r="P2313" s="14" t="s">
        <v>11256</v>
      </c>
      <c r="Q2313" s="14" t="s">
        <v>11257</v>
      </c>
      <c r="R2313" s="14" t="s">
        <v>5574</v>
      </c>
      <c r="S2313" s="14" t="s">
        <v>5575</v>
      </c>
      <c r="T2313" s="14" t="s">
        <v>11258</v>
      </c>
      <c r="U2313" s="14" t="s">
        <v>11259</v>
      </c>
    </row>
    <row r="2314" spans="1:21">
      <c r="A2314" s="14" t="s">
        <v>11260</v>
      </c>
      <c r="B2314" s="14">
        <v>9.453527243</v>
      </c>
      <c r="C2314" s="14">
        <v>0</v>
      </c>
      <c r="D2314" s="14">
        <v>18.90705449</v>
      </c>
      <c r="E2314" s="14">
        <v>102.001524</v>
      </c>
      <c r="F2314" s="14">
        <v>6.672446897</v>
      </c>
      <c r="G2314" s="51" t="s">
        <v>2687</v>
      </c>
      <c r="H2314" s="51" t="s">
        <v>11261</v>
      </c>
      <c r="I2314" s="14" t="s">
        <v>164</v>
      </c>
      <c r="J2314" s="14">
        <v>0.592602917</v>
      </c>
      <c r="K2314" s="14">
        <v>0.666645776</v>
      </c>
      <c r="L2314" s="14">
        <v>0.738407204</v>
      </c>
      <c r="M2314" s="14">
        <v>0</v>
      </c>
      <c r="N2314" s="14">
        <v>0</v>
      </c>
      <c r="O2314" s="14">
        <v>0</v>
      </c>
      <c r="P2314" s="14" t="s">
        <v>1666</v>
      </c>
      <c r="Q2314" s="14" t="s">
        <v>1667</v>
      </c>
      <c r="T2314" s="14" t="s">
        <v>1668</v>
      </c>
      <c r="U2314" s="14" t="s">
        <v>1669</v>
      </c>
    </row>
    <row r="2315" spans="1:21">
      <c r="A2315" s="14" t="s">
        <v>11262</v>
      </c>
      <c r="B2315" s="14">
        <v>9.531792425</v>
      </c>
      <c r="C2315" s="14">
        <v>0</v>
      </c>
      <c r="D2315" s="14">
        <v>19.06358485</v>
      </c>
      <c r="E2315" s="14">
        <v>102.7781412</v>
      </c>
      <c r="F2315" s="14">
        <v>6.683389655</v>
      </c>
      <c r="G2315" s="51" t="s">
        <v>11263</v>
      </c>
      <c r="H2315" s="51" t="s">
        <v>11264</v>
      </c>
      <c r="I2315" s="14" t="s">
        <v>164</v>
      </c>
      <c r="J2315" s="14">
        <v>1.832257924</v>
      </c>
      <c r="K2315" s="14">
        <v>1.536851941</v>
      </c>
      <c r="L2315" s="14">
        <v>1.029109965</v>
      </c>
      <c r="M2315" s="14">
        <v>0</v>
      </c>
      <c r="N2315" s="14">
        <v>0</v>
      </c>
      <c r="O2315" s="14">
        <v>0</v>
      </c>
      <c r="P2315" s="14" t="s">
        <v>1666</v>
      </c>
      <c r="Q2315" s="14" t="s">
        <v>1667</v>
      </c>
      <c r="T2315" s="14" t="s">
        <v>1668</v>
      </c>
      <c r="U2315" s="14" t="s">
        <v>1669</v>
      </c>
    </row>
    <row r="2316" spans="1:21">
      <c r="A2316" s="14" t="s">
        <v>11265</v>
      </c>
      <c r="B2316" s="14">
        <v>3044.355713</v>
      </c>
      <c r="C2316" s="14">
        <v>4160.250399</v>
      </c>
      <c r="D2316" s="14">
        <v>1928.461027</v>
      </c>
      <c r="E2316" s="14">
        <v>0.463570667</v>
      </c>
      <c r="F2316" s="14">
        <v>-1.109138814</v>
      </c>
      <c r="G2316" s="51" t="s">
        <v>11266</v>
      </c>
      <c r="H2316" s="51" t="s">
        <v>11267</v>
      </c>
      <c r="I2316" s="14" t="s">
        <v>147</v>
      </c>
      <c r="J2316" s="14">
        <v>16.98706765</v>
      </c>
      <c r="K2316" s="14">
        <v>14.14872336</v>
      </c>
      <c r="L2316" s="14">
        <v>13.88365799</v>
      </c>
      <c r="M2316" s="14">
        <v>29.62886808</v>
      </c>
      <c r="N2316" s="14">
        <v>26.0708408</v>
      </c>
      <c r="O2316" s="14">
        <v>23.77938566</v>
      </c>
      <c r="P2316" s="14" t="s">
        <v>11268</v>
      </c>
      <c r="Q2316" s="14" t="s">
        <v>11269</v>
      </c>
      <c r="T2316" s="14" t="s">
        <v>11270</v>
      </c>
      <c r="U2316" s="14" t="s">
        <v>11271</v>
      </c>
    </row>
    <row r="2317" spans="1:21">
      <c r="A2317" s="14" t="s">
        <v>11272</v>
      </c>
      <c r="B2317" s="14">
        <v>130.6812652</v>
      </c>
      <c r="C2317" s="14">
        <v>79.81619517</v>
      </c>
      <c r="D2317" s="14">
        <v>181.5463352</v>
      </c>
      <c r="E2317" s="14">
        <v>2.277775238</v>
      </c>
      <c r="F2317" s="14">
        <v>1.187625395</v>
      </c>
      <c r="G2317" s="14">
        <v>0.016965871</v>
      </c>
      <c r="H2317" s="14">
        <v>0.04232676</v>
      </c>
      <c r="I2317" s="14" t="s">
        <v>164</v>
      </c>
      <c r="J2317" s="14">
        <v>1.71700634</v>
      </c>
      <c r="K2317" s="14">
        <v>2.044355637</v>
      </c>
      <c r="L2317" s="14">
        <v>1.995959027</v>
      </c>
      <c r="M2317" s="14">
        <v>0.734530763</v>
      </c>
      <c r="N2317" s="14">
        <v>0.9968857</v>
      </c>
      <c r="O2317" s="14">
        <v>0.306741957</v>
      </c>
      <c r="P2317" s="14" t="s">
        <v>11273</v>
      </c>
      <c r="Q2317" s="14" t="s">
        <v>11274</v>
      </c>
      <c r="R2317" s="14" t="s">
        <v>8085</v>
      </c>
      <c r="S2317" s="14" t="s">
        <v>8086</v>
      </c>
      <c r="T2317" s="14" t="s">
        <v>11275</v>
      </c>
      <c r="U2317" s="14" t="s">
        <v>11276</v>
      </c>
    </row>
    <row r="2318" spans="1:15">
      <c r="A2318" s="14" t="s">
        <v>11277</v>
      </c>
      <c r="B2318" s="14">
        <v>7.187083049</v>
      </c>
      <c r="C2318" s="14">
        <v>14.3741661</v>
      </c>
      <c r="D2318" s="14">
        <v>0</v>
      </c>
      <c r="E2318" s="14">
        <v>0.012521148</v>
      </c>
      <c r="F2318" s="14">
        <v>-6.319489365</v>
      </c>
      <c r="G2318" s="14">
        <v>0.000144153</v>
      </c>
      <c r="H2318" s="14">
        <v>0.000656054</v>
      </c>
      <c r="I2318" s="14" t="s">
        <v>147</v>
      </c>
      <c r="J2318" s="14">
        <v>0</v>
      </c>
      <c r="K2318" s="14">
        <v>0</v>
      </c>
      <c r="L2318" s="14">
        <v>0</v>
      </c>
      <c r="M2318" s="14">
        <v>0.611458745</v>
      </c>
      <c r="N2318" s="14">
        <v>0.651802304</v>
      </c>
      <c r="O2318" s="14">
        <v>1.661780519</v>
      </c>
    </row>
    <row r="2319" spans="1:21">
      <c r="A2319" s="14" t="s">
        <v>11278</v>
      </c>
      <c r="B2319" s="14">
        <v>485.7824226</v>
      </c>
      <c r="C2319" s="14">
        <v>892.9964465</v>
      </c>
      <c r="D2319" s="14">
        <v>78.56839875</v>
      </c>
      <c r="E2319" s="14">
        <v>0.087966101</v>
      </c>
      <c r="F2319" s="14">
        <v>-3.506908521</v>
      </c>
      <c r="G2319" s="51" t="s">
        <v>11279</v>
      </c>
      <c r="H2319" s="51" t="s">
        <v>11280</v>
      </c>
      <c r="I2319" s="14" t="s">
        <v>147</v>
      </c>
      <c r="J2319" s="14">
        <v>1.3325132</v>
      </c>
      <c r="K2319" s="14">
        <v>1.680762271</v>
      </c>
      <c r="L2319" s="14">
        <v>0.990678287</v>
      </c>
      <c r="M2319" s="14">
        <v>17.30340997</v>
      </c>
      <c r="N2319" s="14">
        <v>14.92528098</v>
      </c>
      <c r="O2319" s="14">
        <v>4.278230177</v>
      </c>
      <c r="P2319" s="14" t="s">
        <v>11281</v>
      </c>
      <c r="Q2319" s="14" t="s">
        <v>11282</v>
      </c>
      <c r="R2319" s="14" t="s">
        <v>1735</v>
      </c>
      <c r="S2319" s="14" t="s">
        <v>1736</v>
      </c>
      <c r="T2319" s="14" t="s">
        <v>11283</v>
      </c>
      <c r="U2319" s="14" t="s">
        <v>11284</v>
      </c>
    </row>
    <row r="2320" spans="1:21">
      <c r="A2320" s="14" t="s">
        <v>11285</v>
      </c>
      <c r="B2320" s="14">
        <v>1104.815924</v>
      </c>
      <c r="C2320" s="14">
        <v>2067.396859</v>
      </c>
      <c r="D2320" s="14">
        <v>142.2349894</v>
      </c>
      <c r="E2320" s="14">
        <v>0.068781839</v>
      </c>
      <c r="F2320" s="14">
        <v>-3.861828505</v>
      </c>
      <c r="G2320" s="51" t="s">
        <v>3397</v>
      </c>
      <c r="H2320" s="51" t="s">
        <v>11286</v>
      </c>
      <c r="I2320" s="14" t="s">
        <v>147</v>
      </c>
      <c r="J2320" s="14">
        <v>1.337575921</v>
      </c>
      <c r="K2320" s="14">
        <v>3.912713778</v>
      </c>
      <c r="L2320" s="14">
        <v>0.711019414</v>
      </c>
      <c r="M2320" s="14">
        <v>33.68894823</v>
      </c>
      <c r="N2320" s="14">
        <v>28.83230616</v>
      </c>
      <c r="O2320" s="14">
        <v>7.172976604</v>
      </c>
      <c r="P2320" s="14" t="s">
        <v>11281</v>
      </c>
      <c r="Q2320" s="14" t="s">
        <v>11282</v>
      </c>
      <c r="R2320" s="14" t="s">
        <v>1735</v>
      </c>
      <c r="S2320" s="14" t="s">
        <v>1736</v>
      </c>
      <c r="T2320" s="14" t="s">
        <v>11283</v>
      </c>
      <c r="U2320" s="14" t="s">
        <v>11284</v>
      </c>
    </row>
    <row r="2321" spans="1:21">
      <c r="A2321" s="14" t="s">
        <v>11287</v>
      </c>
      <c r="B2321" s="14">
        <v>6.383041774</v>
      </c>
      <c r="C2321" s="14">
        <v>1.348960841</v>
      </c>
      <c r="D2321" s="14">
        <v>11.41712271</v>
      </c>
      <c r="E2321" s="14">
        <v>8.496305375</v>
      </c>
      <c r="F2321" s="14">
        <v>3.086835621</v>
      </c>
      <c r="G2321" s="14">
        <v>0.003446192</v>
      </c>
      <c r="H2321" s="14">
        <v>0.010730119</v>
      </c>
      <c r="I2321" s="14" t="s">
        <v>164</v>
      </c>
      <c r="J2321" s="14">
        <v>0.382246912</v>
      </c>
      <c r="K2321" s="14">
        <v>0.461691521</v>
      </c>
      <c r="L2321" s="14">
        <v>0.478460091</v>
      </c>
      <c r="M2321" s="14">
        <v>0.032704843</v>
      </c>
      <c r="N2321" s="14">
        <v>0.062752829</v>
      </c>
      <c r="O2321" s="14">
        <v>0.03199787</v>
      </c>
      <c r="P2321" s="14" t="s">
        <v>11288</v>
      </c>
      <c r="Q2321" s="14" t="s">
        <v>11289</v>
      </c>
      <c r="T2321" s="14" t="s">
        <v>11290</v>
      </c>
      <c r="U2321" s="14" t="s">
        <v>11291</v>
      </c>
    </row>
    <row r="2322" spans="1:21">
      <c r="A2322" s="14" t="s">
        <v>11292</v>
      </c>
      <c r="B2322" s="14">
        <v>846.1502895</v>
      </c>
      <c r="C2322" s="14">
        <v>454.1073192</v>
      </c>
      <c r="D2322" s="14">
        <v>1238.19326</v>
      </c>
      <c r="E2322" s="14">
        <v>2.727239967</v>
      </c>
      <c r="F2322" s="14">
        <v>1.447441647</v>
      </c>
      <c r="G2322" s="51" t="s">
        <v>11293</v>
      </c>
      <c r="H2322" s="51" t="s">
        <v>11294</v>
      </c>
      <c r="I2322" s="14" t="s">
        <v>164</v>
      </c>
      <c r="J2322" s="14">
        <v>14.18636604</v>
      </c>
      <c r="K2322" s="14">
        <v>22.42261755</v>
      </c>
      <c r="L2322" s="14">
        <v>22.34201234</v>
      </c>
      <c r="M2322" s="14">
        <v>5.860544751</v>
      </c>
      <c r="N2322" s="14">
        <v>5.957783443</v>
      </c>
      <c r="O2322" s="14">
        <v>5.944275584</v>
      </c>
      <c r="P2322" s="14" t="s">
        <v>11295</v>
      </c>
      <c r="Q2322" s="14" t="s">
        <v>11296</v>
      </c>
      <c r="R2322" s="14" t="s">
        <v>11297</v>
      </c>
      <c r="S2322" s="14" t="s">
        <v>11298</v>
      </c>
      <c r="T2322" s="14" t="s">
        <v>11299</v>
      </c>
      <c r="U2322" s="14" t="s">
        <v>11300</v>
      </c>
    </row>
    <row r="2323" spans="1:21">
      <c r="A2323" s="14" t="s">
        <v>11301</v>
      </c>
      <c r="B2323" s="14">
        <v>166.5503024</v>
      </c>
      <c r="C2323" s="14">
        <v>301.8168537</v>
      </c>
      <c r="D2323" s="14">
        <v>31.28375116</v>
      </c>
      <c r="E2323" s="14">
        <v>0.103709065</v>
      </c>
      <c r="F2323" s="14">
        <v>-3.26938609</v>
      </c>
      <c r="G2323" s="51" t="s">
        <v>11302</v>
      </c>
      <c r="H2323" s="51" t="s">
        <v>11303</v>
      </c>
      <c r="I2323" s="14" t="s">
        <v>147</v>
      </c>
      <c r="J2323" s="14">
        <v>0.380824292</v>
      </c>
      <c r="K2323" s="14">
        <v>0.119784695</v>
      </c>
      <c r="L2323" s="14">
        <v>0.252090063</v>
      </c>
      <c r="M2323" s="14">
        <v>2.043233441</v>
      </c>
      <c r="N2323" s="14">
        <v>2.696143938</v>
      </c>
      <c r="O2323" s="14">
        <v>1.129040231</v>
      </c>
      <c r="P2323" s="14" t="s">
        <v>3772</v>
      </c>
      <c r="Q2323" s="14" t="s">
        <v>3773</v>
      </c>
      <c r="T2323" s="14" t="s">
        <v>3774</v>
      </c>
      <c r="U2323" s="14" t="s">
        <v>3775</v>
      </c>
    </row>
    <row r="2324" spans="1:15">
      <c r="A2324" s="14" t="s">
        <v>11304</v>
      </c>
      <c r="B2324" s="14">
        <v>266.5762058</v>
      </c>
      <c r="C2324" s="14">
        <v>41.46485524</v>
      </c>
      <c r="D2324" s="14">
        <v>491.6875564</v>
      </c>
      <c r="E2324" s="14">
        <v>11.81394805</v>
      </c>
      <c r="F2324" s="14">
        <v>3.562419268</v>
      </c>
      <c r="G2324" s="51" t="s">
        <v>11305</v>
      </c>
      <c r="H2324" s="51" t="s">
        <v>11306</v>
      </c>
      <c r="I2324" s="14" t="s">
        <v>164</v>
      </c>
      <c r="J2324" s="14">
        <v>23.97686154</v>
      </c>
      <c r="K2324" s="14">
        <v>16.18415244</v>
      </c>
      <c r="L2324" s="14">
        <v>30.46273374</v>
      </c>
      <c r="M2324" s="14">
        <v>0.647399627</v>
      </c>
      <c r="N2324" s="14">
        <v>0.970473567</v>
      </c>
      <c r="O2324" s="14">
        <v>3.483727187</v>
      </c>
    </row>
    <row r="2325" spans="1:15">
      <c r="A2325" s="14" t="s">
        <v>11307</v>
      </c>
      <c r="B2325" s="14">
        <v>11.70933879</v>
      </c>
      <c r="C2325" s="14">
        <v>0.338987876</v>
      </c>
      <c r="D2325" s="14">
        <v>23.07968971</v>
      </c>
      <c r="E2325" s="14">
        <v>63.90125759</v>
      </c>
      <c r="F2325" s="14">
        <v>5.997772419</v>
      </c>
      <c r="G2325" s="14">
        <v>0.001589975</v>
      </c>
      <c r="H2325" s="14">
        <v>0.005500528</v>
      </c>
      <c r="I2325" s="14" t="s">
        <v>164</v>
      </c>
      <c r="J2325" s="14">
        <v>3.776122784</v>
      </c>
      <c r="K2325" s="14">
        <v>0.193260019</v>
      </c>
      <c r="L2325" s="14">
        <v>0.492994942</v>
      </c>
      <c r="M2325" s="14">
        <v>0</v>
      </c>
      <c r="N2325" s="14">
        <v>0.052535567</v>
      </c>
      <c r="O2325" s="14">
        <v>0</v>
      </c>
    </row>
    <row r="2326" spans="1:21">
      <c r="A2326" s="14" t="s">
        <v>11308</v>
      </c>
      <c r="B2326" s="14">
        <v>91.29443674</v>
      </c>
      <c r="C2326" s="14">
        <v>3.709066152</v>
      </c>
      <c r="D2326" s="14">
        <v>178.8798073</v>
      </c>
      <c r="E2326" s="14">
        <v>47.35239984</v>
      </c>
      <c r="F2326" s="14">
        <v>5.565365639</v>
      </c>
      <c r="G2326" s="51" t="s">
        <v>594</v>
      </c>
      <c r="H2326" s="51" t="s">
        <v>11309</v>
      </c>
      <c r="I2326" s="14" t="s">
        <v>164</v>
      </c>
      <c r="J2326" s="14">
        <v>3.963148844</v>
      </c>
      <c r="K2326" s="14">
        <v>3.813041173</v>
      </c>
      <c r="L2326" s="14">
        <v>8.080762518</v>
      </c>
      <c r="M2326" s="14">
        <v>0</v>
      </c>
      <c r="N2326" s="14">
        <v>0</v>
      </c>
      <c r="O2326" s="14">
        <v>0.292724997</v>
      </c>
      <c r="P2326" s="14" t="s">
        <v>11310</v>
      </c>
      <c r="Q2326" s="14" t="s">
        <v>11311</v>
      </c>
      <c r="T2326" s="14" t="s">
        <v>11312</v>
      </c>
      <c r="U2326" s="14" t="s">
        <v>11313</v>
      </c>
    </row>
    <row r="2327" spans="1:21">
      <c r="A2327" s="14" t="s">
        <v>11314</v>
      </c>
      <c r="B2327" s="14">
        <v>465.2108328</v>
      </c>
      <c r="C2327" s="14">
        <v>86.1906978</v>
      </c>
      <c r="D2327" s="14">
        <v>844.2309678</v>
      </c>
      <c r="E2327" s="14">
        <v>9.779122521</v>
      </c>
      <c r="F2327" s="14">
        <v>3.289705018</v>
      </c>
      <c r="G2327" s="51" t="s">
        <v>4202</v>
      </c>
      <c r="H2327" s="51" t="s">
        <v>11315</v>
      </c>
      <c r="I2327" s="14" t="s">
        <v>164</v>
      </c>
      <c r="J2327" s="14">
        <v>29.49622808</v>
      </c>
      <c r="K2327" s="14">
        <v>30.29912503</v>
      </c>
      <c r="L2327" s="14">
        <v>31.42247925</v>
      </c>
      <c r="M2327" s="14">
        <v>0.671354246</v>
      </c>
      <c r="N2327" s="14">
        <v>0.936850468</v>
      </c>
      <c r="O2327" s="14">
        <v>6.508704526</v>
      </c>
      <c r="P2327" s="14" t="s">
        <v>11316</v>
      </c>
      <c r="Q2327" s="14" t="s">
        <v>11317</v>
      </c>
      <c r="T2327" s="14" t="s">
        <v>11318</v>
      </c>
      <c r="U2327" s="14" t="s">
        <v>11319</v>
      </c>
    </row>
    <row r="2328" spans="1:21">
      <c r="A2328" s="14" t="s">
        <v>11320</v>
      </c>
      <c r="B2328" s="14">
        <v>262.3517047</v>
      </c>
      <c r="C2328" s="14">
        <v>15.65282371</v>
      </c>
      <c r="D2328" s="14">
        <v>509.0505856</v>
      </c>
      <c r="E2328" s="14">
        <v>32.69352604</v>
      </c>
      <c r="F2328" s="14">
        <v>5.030933077</v>
      </c>
      <c r="G2328" s="51" t="s">
        <v>11321</v>
      </c>
      <c r="H2328" s="51" t="s">
        <v>11322</v>
      </c>
      <c r="I2328" s="14" t="s">
        <v>164</v>
      </c>
      <c r="J2328" s="14">
        <v>11.81919464</v>
      </c>
      <c r="K2328" s="14">
        <v>24.85715714</v>
      </c>
      <c r="L2328" s="14">
        <v>11.1105761</v>
      </c>
      <c r="M2328" s="14">
        <v>0.5322337</v>
      </c>
      <c r="N2328" s="14">
        <v>0.587207306</v>
      </c>
      <c r="O2328" s="14">
        <v>0.052072853</v>
      </c>
      <c r="P2328" s="14" t="s">
        <v>4301</v>
      </c>
      <c r="Q2328" s="14" t="s">
        <v>4302</v>
      </c>
      <c r="T2328" s="14" t="s">
        <v>4303</v>
      </c>
      <c r="U2328" s="14" t="s">
        <v>4304</v>
      </c>
    </row>
    <row r="2329" spans="1:21">
      <c r="A2329" s="14" t="s">
        <v>11323</v>
      </c>
      <c r="B2329" s="14">
        <v>100.6802652</v>
      </c>
      <c r="C2329" s="14">
        <v>57.23844656</v>
      </c>
      <c r="D2329" s="14">
        <v>144.1220838</v>
      </c>
      <c r="E2329" s="14">
        <v>2.511654792</v>
      </c>
      <c r="F2329" s="14">
        <v>1.32863819</v>
      </c>
      <c r="G2329" s="14">
        <v>0.003565166</v>
      </c>
      <c r="H2329" s="14">
        <v>0.011063814</v>
      </c>
      <c r="I2329" s="14" t="s">
        <v>164</v>
      </c>
      <c r="J2329" s="14">
        <v>1.379586062</v>
      </c>
      <c r="K2329" s="14">
        <v>0.98515156</v>
      </c>
      <c r="L2329" s="14">
        <v>1.714268444</v>
      </c>
      <c r="M2329" s="14">
        <v>0.263189833</v>
      </c>
      <c r="N2329" s="14">
        <v>0.359620356</v>
      </c>
      <c r="O2329" s="14">
        <v>0.741289379</v>
      </c>
      <c r="P2329" s="14" t="s">
        <v>4343</v>
      </c>
      <c r="Q2329" s="14" t="s">
        <v>4344</v>
      </c>
      <c r="T2329" s="14" t="s">
        <v>4345</v>
      </c>
      <c r="U2329" s="14" t="s">
        <v>4346</v>
      </c>
    </row>
    <row r="2330" spans="1:21">
      <c r="A2330" s="14" t="s">
        <v>11324</v>
      </c>
      <c r="B2330" s="14">
        <v>698.2190278</v>
      </c>
      <c r="C2330" s="14">
        <v>323.7682011</v>
      </c>
      <c r="D2330" s="14">
        <v>1072.669855</v>
      </c>
      <c r="E2330" s="14">
        <v>3.311000942</v>
      </c>
      <c r="F2330" s="14">
        <v>1.727267421</v>
      </c>
      <c r="G2330" s="51" t="s">
        <v>11325</v>
      </c>
      <c r="H2330" s="14">
        <v>0.000175229</v>
      </c>
      <c r="I2330" s="14" t="s">
        <v>164</v>
      </c>
      <c r="J2330" s="14">
        <v>15.60006492</v>
      </c>
      <c r="K2330" s="14">
        <v>11.40749963</v>
      </c>
      <c r="L2330" s="14">
        <v>15.96168055</v>
      </c>
      <c r="M2330" s="14">
        <v>2.384663199</v>
      </c>
      <c r="N2330" s="14">
        <v>2.179374635</v>
      </c>
      <c r="O2330" s="14">
        <v>6.413300526</v>
      </c>
      <c r="P2330" s="14" t="s">
        <v>11326</v>
      </c>
      <c r="Q2330" s="14" t="s">
        <v>11327</v>
      </c>
      <c r="R2330" s="14" t="s">
        <v>341</v>
      </c>
      <c r="S2330" s="14" t="s">
        <v>342</v>
      </c>
      <c r="T2330" s="14" t="s">
        <v>9671</v>
      </c>
      <c r="U2330" s="14" t="s">
        <v>9672</v>
      </c>
    </row>
    <row r="2331" spans="1:21">
      <c r="A2331" s="14" t="s">
        <v>11328</v>
      </c>
      <c r="B2331" s="14">
        <v>3196.038241</v>
      </c>
      <c r="C2331" s="14">
        <v>4998.426283</v>
      </c>
      <c r="D2331" s="14">
        <v>1393.650198</v>
      </c>
      <c r="E2331" s="14">
        <v>0.278836026</v>
      </c>
      <c r="F2331" s="14">
        <v>-1.842511125</v>
      </c>
      <c r="G2331" s="51" t="s">
        <v>11329</v>
      </c>
      <c r="H2331" s="51" t="s">
        <v>11330</v>
      </c>
      <c r="I2331" s="14" t="s">
        <v>147</v>
      </c>
      <c r="J2331" s="14">
        <v>10.10546462</v>
      </c>
      <c r="K2331" s="14">
        <v>10.88337789</v>
      </c>
      <c r="L2331" s="14">
        <v>10.77332155</v>
      </c>
      <c r="M2331" s="14">
        <v>32.0095434</v>
      </c>
      <c r="N2331" s="14">
        <v>34.35346786</v>
      </c>
      <c r="O2331" s="14">
        <v>26.76987189</v>
      </c>
      <c r="P2331" s="14" t="s">
        <v>11331</v>
      </c>
      <c r="Q2331" s="14" t="s">
        <v>11332</v>
      </c>
      <c r="T2331" s="14" t="s">
        <v>11333</v>
      </c>
      <c r="U2331" s="14" t="s">
        <v>11334</v>
      </c>
    </row>
    <row r="2332" spans="1:21">
      <c r="A2332" s="14" t="s">
        <v>11335</v>
      </c>
      <c r="B2332" s="14">
        <v>24.83509973</v>
      </c>
      <c r="C2332" s="14">
        <v>45.65848327</v>
      </c>
      <c r="D2332" s="14">
        <v>4.011716194</v>
      </c>
      <c r="E2332" s="14">
        <v>0.087409863</v>
      </c>
      <c r="F2332" s="14">
        <v>-3.516060119</v>
      </c>
      <c r="G2332" s="14">
        <v>0.003108909</v>
      </c>
      <c r="H2332" s="14">
        <v>0.009799858</v>
      </c>
      <c r="I2332" s="14" t="s">
        <v>147</v>
      </c>
      <c r="J2332" s="14">
        <v>0</v>
      </c>
      <c r="K2332" s="14">
        <v>0.251708359</v>
      </c>
      <c r="L2332" s="14">
        <v>0.021889542</v>
      </c>
      <c r="M2332" s="14">
        <v>0.680791958</v>
      </c>
      <c r="N2332" s="14">
        <v>0.914394685</v>
      </c>
      <c r="O2332" s="14">
        <v>1.008628524</v>
      </c>
      <c r="P2332" s="14" t="s">
        <v>3858</v>
      </c>
      <c r="Q2332" s="14" t="s">
        <v>3859</v>
      </c>
      <c r="R2332" s="14" t="s">
        <v>341</v>
      </c>
      <c r="S2332" s="14" t="s">
        <v>342</v>
      </c>
      <c r="T2332" s="14" t="s">
        <v>3860</v>
      </c>
      <c r="U2332" s="14" t="s">
        <v>3861</v>
      </c>
    </row>
    <row r="2333" spans="1:21">
      <c r="A2333" s="14" t="s">
        <v>11336</v>
      </c>
      <c r="B2333" s="14">
        <v>4.029482063</v>
      </c>
      <c r="C2333" s="14">
        <v>0</v>
      </c>
      <c r="D2333" s="14">
        <v>8.058964125</v>
      </c>
      <c r="E2333" s="14">
        <v>43.50721029</v>
      </c>
      <c r="F2333" s="14">
        <v>5.443182608</v>
      </c>
      <c r="G2333" s="14">
        <v>0.005507916</v>
      </c>
      <c r="H2333" s="14">
        <v>0.016118369</v>
      </c>
      <c r="I2333" s="14" t="s">
        <v>164</v>
      </c>
      <c r="J2333" s="14">
        <v>0.111745569</v>
      </c>
      <c r="K2333" s="14">
        <v>0.037491751</v>
      </c>
      <c r="L2333" s="14">
        <v>0.155413784</v>
      </c>
      <c r="M2333" s="14">
        <v>0</v>
      </c>
      <c r="N2333" s="14">
        <v>0</v>
      </c>
      <c r="O2333" s="14">
        <v>0</v>
      </c>
      <c r="P2333" s="14" t="s">
        <v>11337</v>
      </c>
      <c r="Q2333" s="14" t="s">
        <v>11338</v>
      </c>
      <c r="R2333" s="14" t="s">
        <v>3743</v>
      </c>
      <c r="S2333" s="14" t="s">
        <v>3744</v>
      </c>
      <c r="T2333" s="14" t="s">
        <v>11339</v>
      </c>
      <c r="U2333" s="14" t="s">
        <v>11340</v>
      </c>
    </row>
    <row r="2334" spans="1:21">
      <c r="A2334" s="14" t="s">
        <v>11341</v>
      </c>
      <c r="B2334" s="14">
        <v>232.992096</v>
      </c>
      <c r="C2334" s="14">
        <v>21.98878179</v>
      </c>
      <c r="D2334" s="14">
        <v>443.9954102</v>
      </c>
      <c r="E2334" s="14">
        <v>20.0845581</v>
      </c>
      <c r="F2334" s="14">
        <v>4.328014815</v>
      </c>
      <c r="G2334" s="51" t="s">
        <v>11342</v>
      </c>
      <c r="H2334" s="51" t="s">
        <v>10513</v>
      </c>
      <c r="I2334" s="14" t="s">
        <v>164</v>
      </c>
      <c r="J2334" s="14">
        <v>3.705565724</v>
      </c>
      <c r="K2334" s="14">
        <v>1.349063063</v>
      </c>
      <c r="L2334" s="14">
        <v>2.526811964</v>
      </c>
      <c r="M2334" s="14">
        <v>0.038546655</v>
      </c>
      <c r="N2334" s="14">
        <v>0.03698094</v>
      </c>
      <c r="O2334" s="14">
        <v>0.249851284</v>
      </c>
      <c r="P2334" s="14" t="s">
        <v>11343</v>
      </c>
      <c r="Q2334" s="14" t="s">
        <v>11344</v>
      </c>
      <c r="R2334" s="14" t="s">
        <v>3743</v>
      </c>
      <c r="S2334" s="14" t="s">
        <v>3744</v>
      </c>
      <c r="T2334" s="14" t="s">
        <v>11345</v>
      </c>
      <c r="U2334" s="14" t="s">
        <v>11346</v>
      </c>
    </row>
    <row r="2335" spans="1:21">
      <c r="A2335" s="14" t="s">
        <v>11347</v>
      </c>
      <c r="B2335" s="14">
        <v>363.8753654</v>
      </c>
      <c r="C2335" s="14">
        <v>202.0408665</v>
      </c>
      <c r="D2335" s="14">
        <v>525.7098643</v>
      </c>
      <c r="E2335" s="14">
        <v>2.602613761</v>
      </c>
      <c r="F2335" s="14">
        <v>1.379961226</v>
      </c>
      <c r="G2335" s="14">
        <v>0.002372011</v>
      </c>
      <c r="H2335" s="14">
        <v>0.007765599</v>
      </c>
      <c r="I2335" s="14" t="s">
        <v>164</v>
      </c>
      <c r="J2335" s="14">
        <v>3.511827688</v>
      </c>
      <c r="K2335" s="14">
        <v>2.629114571</v>
      </c>
      <c r="L2335" s="14">
        <v>2.536020985</v>
      </c>
      <c r="M2335" s="14">
        <v>0.662527275</v>
      </c>
      <c r="N2335" s="14">
        <v>1.499517245</v>
      </c>
      <c r="O2335" s="14">
        <v>0.547779363</v>
      </c>
      <c r="P2335" s="14" t="s">
        <v>11343</v>
      </c>
      <c r="Q2335" s="14" t="s">
        <v>11344</v>
      </c>
      <c r="R2335" s="14" t="s">
        <v>3743</v>
      </c>
      <c r="S2335" s="14" t="s">
        <v>3744</v>
      </c>
      <c r="T2335" s="14" t="s">
        <v>11345</v>
      </c>
      <c r="U2335" s="14" t="s">
        <v>11346</v>
      </c>
    </row>
    <row r="2336" spans="1:21">
      <c r="A2336" s="14" t="s">
        <v>11348</v>
      </c>
      <c r="B2336" s="14">
        <v>1634.718939</v>
      </c>
      <c r="C2336" s="14">
        <v>1077.590757</v>
      </c>
      <c r="D2336" s="14">
        <v>2191.847121</v>
      </c>
      <c r="E2336" s="14">
        <v>2.033626715</v>
      </c>
      <c r="F2336" s="14">
        <v>1.024054888</v>
      </c>
      <c r="G2336" s="51" t="s">
        <v>11349</v>
      </c>
      <c r="H2336" s="14">
        <v>0.000233636</v>
      </c>
      <c r="I2336" s="14" t="s">
        <v>164</v>
      </c>
      <c r="J2336" s="14">
        <v>11.25674568</v>
      </c>
      <c r="K2336" s="14">
        <v>7.899860768</v>
      </c>
      <c r="L2336" s="14">
        <v>12.19110077</v>
      </c>
      <c r="M2336" s="14">
        <v>3.266868375</v>
      </c>
      <c r="N2336" s="14">
        <v>3.838393811</v>
      </c>
      <c r="O2336" s="14">
        <v>5.721680772</v>
      </c>
      <c r="P2336" s="14" t="s">
        <v>11350</v>
      </c>
      <c r="Q2336" s="14" t="s">
        <v>11351</v>
      </c>
      <c r="T2336" s="14" t="s">
        <v>11352</v>
      </c>
      <c r="U2336" s="14" t="s">
        <v>11353</v>
      </c>
    </row>
    <row r="2337" spans="1:15">
      <c r="A2337" s="14" t="s">
        <v>11354</v>
      </c>
      <c r="B2337" s="14">
        <v>852.3404935</v>
      </c>
      <c r="C2337" s="14">
        <v>1524.399389</v>
      </c>
      <c r="D2337" s="14">
        <v>180.2815982</v>
      </c>
      <c r="E2337" s="14">
        <v>0.118228432</v>
      </c>
      <c r="F2337" s="14">
        <v>-3.080351075</v>
      </c>
      <c r="G2337" s="51" t="s">
        <v>11355</v>
      </c>
      <c r="H2337" s="51" t="s">
        <v>11356</v>
      </c>
      <c r="I2337" s="14" t="s">
        <v>147</v>
      </c>
      <c r="J2337" s="14">
        <v>10.94543153</v>
      </c>
      <c r="K2337" s="14">
        <v>24.84663403</v>
      </c>
      <c r="L2337" s="14">
        <v>6.353178865</v>
      </c>
      <c r="M2337" s="14">
        <v>114.2379257</v>
      </c>
      <c r="N2337" s="14">
        <v>115.9696884</v>
      </c>
      <c r="O2337" s="14">
        <v>59.91309935</v>
      </c>
    </row>
    <row r="2338" spans="1:15">
      <c r="A2338" s="14" t="s">
        <v>11357</v>
      </c>
      <c r="B2338" s="14">
        <v>2289.600995</v>
      </c>
      <c r="C2338" s="14">
        <v>3068.00888</v>
      </c>
      <c r="D2338" s="14">
        <v>1511.19311</v>
      </c>
      <c r="E2338" s="14">
        <v>0.492547582</v>
      </c>
      <c r="F2338" s="14">
        <v>-1.021664995</v>
      </c>
      <c r="G2338" s="14">
        <v>0.001216553</v>
      </c>
      <c r="H2338" s="14">
        <v>0.004346263</v>
      </c>
      <c r="I2338" s="14" t="s">
        <v>147</v>
      </c>
      <c r="J2338" s="14">
        <v>40.35819524</v>
      </c>
      <c r="K2338" s="14">
        <v>91.03730312</v>
      </c>
      <c r="L2338" s="14">
        <v>56.17339571</v>
      </c>
      <c r="M2338" s="14">
        <v>100.6751977</v>
      </c>
      <c r="N2338" s="14">
        <v>102.8879111</v>
      </c>
      <c r="O2338" s="14">
        <v>110.7339635</v>
      </c>
    </row>
    <row r="2339" spans="1:15">
      <c r="A2339" s="14" t="s">
        <v>11358</v>
      </c>
      <c r="B2339" s="14">
        <v>53.63126535</v>
      </c>
      <c r="C2339" s="14">
        <v>75.75771269</v>
      </c>
      <c r="D2339" s="14">
        <v>31.504818</v>
      </c>
      <c r="E2339" s="14">
        <v>0.415747317</v>
      </c>
      <c r="F2339" s="14">
        <v>-1.26622114</v>
      </c>
      <c r="G2339" s="14">
        <v>0.001652495</v>
      </c>
      <c r="H2339" s="14">
        <v>0.005684799</v>
      </c>
      <c r="I2339" s="14" t="s">
        <v>147</v>
      </c>
      <c r="J2339" s="14">
        <v>0.494873234</v>
      </c>
      <c r="K2339" s="14">
        <v>0.373578519</v>
      </c>
      <c r="L2339" s="14">
        <v>0.610500782</v>
      </c>
      <c r="M2339" s="14">
        <v>0.767432286</v>
      </c>
      <c r="N2339" s="14">
        <v>0.812425015</v>
      </c>
      <c r="O2339" s="14">
        <v>1.385175668</v>
      </c>
    </row>
    <row r="2340" spans="1:21">
      <c r="A2340" s="14" t="s">
        <v>11359</v>
      </c>
      <c r="B2340" s="14">
        <v>5642.292858</v>
      </c>
      <c r="C2340" s="14">
        <v>8348.506247</v>
      </c>
      <c r="D2340" s="14">
        <v>2936.07947</v>
      </c>
      <c r="E2340" s="14">
        <v>0.351692058</v>
      </c>
      <c r="F2340" s="14">
        <v>-1.507615337</v>
      </c>
      <c r="G2340" s="51" t="s">
        <v>11360</v>
      </c>
      <c r="H2340" s="51" t="s">
        <v>11361</v>
      </c>
      <c r="I2340" s="14" t="s">
        <v>147</v>
      </c>
      <c r="J2340" s="14">
        <v>80.46171617</v>
      </c>
      <c r="K2340" s="14">
        <v>105.5741369</v>
      </c>
      <c r="L2340" s="14">
        <v>84.23854901</v>
      </c>
      <c r="M2340" s="14">
        <v>228.2607787</v>
      </c>
      <c r="N2340" s="14">
        <v>213.146079</v>
      </c>
      <c r="O2340" s="14">
        <v>187.9304123</v>
      </c>
      <c r="P2340" s="14" t="s">
        <v>11362</v>
      </c>
      <c r="Q2340" s="14" t="s">
        <v>11363</v>
      </c>
      <c r="T2340" s="14" t="s">
        <v>11364</v>
      </c>
      <c r="U2340" s="14" t="s">
        <v>11365</v>
      </c>
    </row>
    <row r="2341" spans="1:21">
      <c r="A2341" s="14" t="s">
        <v>11366</v>
      </c>
      <c r="B2341" s="14">
        <v>299.3605003</v>
      </c>
      <c r="C2341" s="14">
        <v>403.1443445</v>
      </c>
      <c r="D2341" s="14">
        <v>195.5766561</v>
      </c>
      <c r="E2341" s="14">
        <v>0.48493475</v>
      </c>
      <c r="F2341" s="14">
        <v>-1.044137454</v>
      </c>
      <c r="G2341" s="51" t="s">
        <v>11367</v>
      </c>
      <c r="H2341" s="14">
        <v>0.000188142</v>
      </c>
      <c r="I2341" s="14" t="s">
        <v>147</v>
      </c>
      <c r="J2341" s="14">
        <v>3.375106661</v>
      </c>
      <c r="K2341" s="14">
        <v>2.293431674</v>
      </c>
      <c r="L2341" s="14">
        <v>2.76980316</v>
      </c>
      <c r="M2341" s="14">
        <v>4.264570383</v>
      </c>
      <c r="N2341" s="14">
        <v>3.927695037</v>
      </c>
      <c r="O2341" s="14">
        <v>6.270497368</v>
      </c>
      <c r="P2341" s="14" t="s">
        <v>11368</v>
      </c>
      <c r="Q2341" s="14" t="s">
        <v>11369</v>
      </c>
      <c r="T2341" s="14" t="s">
        <v>11370</v>
      </c>
      <c r="U2341" s="14" t="s">
        <v>11371</v>
      </c>
    </row>
    <row r="2342" spans="1:21">
      <c r="A2342" s="14" t="s">
        <v>11372</v>
      </c>
      <c r="B2342" s="14">
        <v>3246.716683</v>
      </c>
      <c r="C2342" s="14">
        <v>4377.161396</v>
      </c>
      <c r="D2342" s="14">
        <v>2116.27197</v>
      </c>
      <c r="E2342" s="14">
        <v>0.483486944</v>
      </c>
      <c r="F2342" s="14">
        <v>-1.048451163</v>
      </c>
      <c r="G2342" s="51" t="s">
        <v>11373</v>
      </c>
      <c r="H2342" s="51" t="s">
        <v>2886</v>
      </c>
      <c r="I2342" s="14" t="s">
        <v>147</v>
      </c>
      <c r="J2342" s="14">
        <v>20.38921182</v>
      </c>
      <c r="K2342" s="14">
        <v>12.49253128</v>
      </c>
      <c r="L2342" s="14">
        <v>15.88259847</v>
      </c>
      <c r="M2342" s="14">
        <v>27.20519714</v>
      </c>
      <c r="N2342" s="14">
        <v>26.21252301</v>
      </c>
      <c r="O2342" s="14">
        <v>29.67288793</v>
      </c>
      <c r="P2342" s="14" t="s">
        <v>3835</v>
      </c>
      <c r="Q2342" s="14" t="s">
        <v>3836</v>
      </c>
      <c r="T2342" s="14" t="s">
        <v>3837</v>
      </c>
      <c r="U2342" s="14" t="s">
        <v>3838</v>
      </c>
    </row>
    <row r="2343" spans="1:15">
      <c r="A2343" s="14" t="s">
        <v>11374</v>
      </c>
      <c r="B2343" s="14">
        <v>971.4338331</v>
      </c>
      <c r="C2343" s="14">
        <v>1467.090793</v>
      </c>
      <c r="D2343" s="14">
        <v>475.7768733</v>
      </c>
      <c r="E2343" s="14">
        <v>0.324303576</v>
      </c>
      <c r="F2343" s="14">
        <v>-1.624583165</v>
      </c>
      <c r="G2343" s="51" t="s">
        <v>11375</v>
      </c>
      <c r="H2343" s="51" t="s">
        <v>11376</v>
      </c>
      <c r="I2343" s="14" t="s">
        <v>147</v>
      </c>
      <c r="J2343" s="14">
        <v>7.072252899</v>
      </c>
      <c r="K2343" s="14">
        <v>12.17732072</v>
      </c>
      <c r="L2343" s="14">
        <v>9.353518819</v>
      </c>
      <c r="M2343" s="14">
        <v>23.84698846</v>
      </c>
      <c r="N2343" s="14">
        <v>27.44424115</v>
      </c>
      <c r="O2343" s="14">
        <v>20.92018473</v>
      </c>
    </row>
    <row r="2344" spans="1:21">
      <c r="A2344" s="14" t="s">
        <v>11377</v>
      </c>
      <c r="B2344" s="14">
        <v>1202.73316</v>
      </c>
      <c r="C2344" s="14">
        <v>562.5447734</v>
      </c>
      <c r="D2344" s="14">
        <v>1842.921547</v>
      </c>
      <c r="E2344" s="14">
        <v>3.274509642</v>
      </c>
      <c r="F2344" s="14">
        <v>1.711278879</v>
      </c>
      <c r="G2344" s="51" t="s">
        <v>3850</v>
      </c>
      <c r="H2344" s="51" t="s">
        <v>11378</v>
      </c>
      <c r="I2344" s="14" t="s">
        <v>164</v>
      </c>
      <c r="J2344" s="14">
        <v>21.95068484</v>
      </c>
      <c r="K2344" s="14">
        <v>24.57780912</v>
      </c>
      <c r="L2344" s="14">
        <v>25.61352923</v>
      </c>
      <c r="M2344" s="14">
        <v>4.432687899</v>
      </c>
      <c r="N2344" s="14">
        <v>4.220822549</v>
      </c>
      <c r="O2344" s="14">
        <v>9.885029753</v>
      </c>
      <c r="P2344" s="14" t="s">
        <v>3814</v>
      </c>
      <c r="Q2344" s="14" t="s">
        <v>3815</v>
      </c>
      <c r="T2344" s="14" t="s">
        <v>3816</v>
      </c>
      <c r="U2344" s="14" t="s">
        <v>3817</v>
      </c>
    </row>
    <row r="2345" spans="1:21">
      <c r="A2345" s="14" t="s">
        <v>11379</v>
      </c>
      <c r="B2345" s="14">
        <v>1735.47919</v>
      </c>
      <c r="C2345" s="14">
        <v>2372.122944</v>
      </c>
      <c r="D2345" s="14">
        <v>1098.835435</v>
      </c>
      <c r="E2345" s="14">
        <v>0.463281415</v>
      </c>
      <c r="F2345" s="14">
        <v>-1.110039286</v>
      </c>
      <c r="G2345" s="51" t="s">
        <v>11380</v>
      </c>
      <c r="H2345" s="51" t="s">
        <v>11381</v>
      </c>
      <c r="I2345" s="14" t="s">
        <v>147</v>
      </c>
      <c r="J2345" s="14">
        <v>29.17002785</v>
      </c>
      <c r="K2345" s="14">
        <v>31.43594054</v>
      </c>
      <c r="L2345" s="14">
        <v>30.89233223</v>
      </c>
      <c r="M2345" s="14">
        <v>54.10250602</v>
      </c>
      <c r="N2345" s="14">
        <v>51.70182526</v>
      </c>
      <c r="O2345" s="14">
        <v>56.82240869</v>
      </c>
      <c r="Q2345" s="14" t="s">
        <v>11382</v>
      </c>
      <c r="R2345" s="14" t="s">
        <v>11383</v>
      </c>
      <c r="S2345" s="14" t="s">
        <v>11384</v>
      </c>
      <c r="T2345" s="14" t="s">
        <v>11385</v>
      </c>
      <c r="U2345" s="14" t="s">
        <v>11386</v>
      </c>
    </row>
    <row r="2346" spans="1:21">
      <c r="A2346" s="14" t="s">
        <v>11387</v>
      </c>
      <c r="B2346" s="14">
        <v>49.68688214</v>
      </c>
      <c r="C2346" s="14">
        <v>16.74590972</v>
      </c>
      <c r="D2346" s="14">
        <v>82.62785456</v>
      </c>
      <c r="E2346" s="14">
        <v>4.930029376</v>
      </c>
      <c r="F2346" s="14">
        <v>2.301596243</v>
      </c>
      <c r="G2346" s="14">
        <v>0.000233675</v>
      </c>
      <c r="H2346" s="14">
        <v>0.001007126</v>
      </c>
      <c r="I2346" s="14" t="s">
        <v>164</v>
      </c>
      <c r="J2346" s="14">
        <v>0.266560136</v>
      </c>
      <c r="K2346" s="14">
        <v>0.673105361</v>
      </c>
      <c r="L2346" s="14">
        <v>0.225137962</v>
      </c>
      <c r="M2346" s="14">
        <v>0.048014198</v>
      </c>
      <c r="N2346" s="14">
        <v>0.084450525</v>
      </c>
      <c r="O2346" s="14">
        <v>0.062635048</v>
      </c>
      <c r="P2346" s="14" t="s">
        <v>11388</v>
      </c>
      <c r="Q2346" s="14" t="s">
        <v>11389</v>
      </c>
      <c r="T2346" s="14" t="s">
        <v>2621</v>
      </c>
      <c r="U2346" s="14" t="s">
        <v>2622</v>
      </c>
    </row>
    <row r="2347" spans="1:15">
      <c r="A2347" s="14" t="s">
        <v>11390</v>
      </c>
      <c r="B2347" s="14">
        <v>224.7608176</v>
      </c>
      <c r="C2347" s="14">
        <v>110.6575545</v>
      </c>
      <c r="D2347" s="14">
        <v>338.8640807</v>
      </c>
      <c r="E2347" s="14">
        <v>3.059100093</v>
      </c>
      <c r="F2347" s="14">
        <v>1.613107312</v>
      </c>
      <c r="G2347" s="14">
        <v>0.012298798</v>
      </c>
      <c r="H2347" s="14">
        <v>0.032193753</v>
      </c>
      <c r="I2347" s="14" t="s">
        <v>164</v>
      </c>
      <c r="J2347" s="14">
        <v>14.52105859</v>
      </c>
      <c r="K2347" s="14">
        <v>6.538018506</v>
      </c>
      <c r="L2347" s="14">
        <v>4.612235371</v>
      </c>
      <c r="M2347" s="14">
        <v>1.480597088</v>
      </c>
      <c r="N2347" s="14">
        <v>1.111662102</v>
      </c>
      <c r="O2347" s="14">
        <v>4.576708975</v>
      </c>
    </row>
    <row r="2348" spans="1:15">
      <c r="A2348" s="14" t="s">
        <v>11391</v>
      </c>
      <c r="B2348" s="14">
        <v>57.07043655</v>
      </c>
      <c r="C2348" s="14">
        <v>16.50013345</v>
      </c>
      <c r="D2348" s="14">
        <v>97.64073965</v>
      </c>
      <c r="E2348" s="14">
        <v>5.881195579</v>
      </c>
      <c r="F2348" s="14">
        <v>2.556109468</v>
      </c>
      <c r="G2348" s="14">
        <v>0.002296021</v>
      </c>
      <c r="H2348" s="14">
        <v>0.007555654</v>
      </c>
      <c r="I2348" s="14" t="s">
        <v>164</v>
      </c>
      <c r="J2348" s="14">
        <v>6.779231185</v>
      </c>
      <c r="K2348" s="14">
        <v>5.69874615</v>
      </c>
      <c r="L2348" s="14">
        <v>9.611744799</v>
      </c>
      <c r="M2348" s="14">
        <v>0.191217833</v>
      </c>
      <c r="N2348" s="14">
        <v>0.55035243</v>
      </c>
      <c r="O2348" s="14">
        <v>2.494457639</v>
      </c>
    </row>
    <row r="2349" spans="1:21">
      <c r="A2349" s="14" t="s">
        <v>11392</v>
      </c>
      <c r="B2349" s="14">
        <v>57.44654509</v>
      </c>
      <c r="C2349" s="14">
        <v>84.92355341</v>
      </c>
      <c r="D2349" s="14">
        <v>29.96953678</v>
      </c>
      <c r="E2349" s="14">
        <v>0.353457487</v>
      </c>
      <c r="F2349" s="14">
        <v>-1.500391394</v>
      </c>
      <c r="G2349" s="51" t="s">
        <v>2299</v>
      </c>
      <c r="H2349" s="51" t="s">
        <v>7734</v>
      </c>
      <c r="I2349" s="14" t="s">
        <v>147</v>
      </c>
      <c r="J2349" s="14">
        <v>0.980707688</v>
      </c>
      <c r="K2349" s="14">
        <v>0.827900036</v>
      </c>
      <c r="L2349" s="14">
        <v>1.066115631</v>
      </c>
      <c r="M2349" s="14">
        <v>2.057119705</v>
      </c>
      <c r="N2349" s="14">
        <v>2.622760208</v>
      </c>
      <c r="O2349" s="14">
        <v>1.986169182</v>
      </c>
      <c r="P2349" s="14" t="s">
        <v>11393</v>
      </c>
      <c r="Q2349" s="14" t="s">
        <v>11394</v>
      </c>
      <c r="T2349" s="14" t="s">
        <v>934</v>
      </c>
      <c r="U2349" s="14" t="s">
        <v>935</v>
      </c>
    </row>
    <row r="2350" spans="1:21">
      <c r="A2350" s="14" t="s">
        <v>11395</v>
      </c>
      <c r="B2350" s="14">
        <v>5748.513617</v>
      </c>
      <c r="C2350" s="14">
        <v>8509.433794</v>
      </c>
      <c r="D2350" s="14">
        <v>2987.593441</v>
      </c>
      <c r="E2350" s="14">
        <v>0.351090287</v>
      </c>
      <c r="F2350" s="14">
        <v>-1.510086011</v>
      </c>
      <c r="G2350" s="51" t="s">
        <v>2276</v>
      </c>
      <c r="H2350" s="51" t="s">
        <v>11396</v>
      </c>
      <c r="I2350" s="14" t="s">
        <v>147</v>
      </c>
      <c r="J2350" s="14">
        <v>32.6834938</v>
      </c>
      <c r="K2350" s="14">
        <v>35.11694981</v>
      </c>
      <c r="L2350" s="14">
        <v>27.57753817</v>
      </c>
      <c r="M2350" s="14">
        <v>79.6928355</v>
      </c>
      <c r="N2350" s="14">
        <v>76.63772849</v>
      </c>
      <c r="O2350" s="14">
        <v>66.20305772</v>
      </c>
      <c r="P2350" s="14" t="s">
        <v>11397</v>
      </c>
      <c r="Q2350" s="14" t="s">
        <v>11398</v>
      </c>
      <c r="T2350" s="14" t="s">
        <v>11399</v>
      </c>
      <c r="U2350" s="14" t="s">
        <v>11400</v>
      </c>
    </row>
    <row r="2351" spans="1:21">
      <c r="A2351" s="14" t="s">
        <v>11401</v>
      </c>
      <c r="B2351" s="14">
        <v>174.2579747</v>
      </c>
      <c r="C2351" s="14">
        <v>292.2728207</v>
      </c>
      <c r="D2351" s="14">
        <v>56.24312859</v>
      </c>
      <c r="E2351" s="14">
        <v>0.192463769</v>
      </c>
      <c r="F2351" s="14">
        <v>-2.377341209</v>
      </c>
      <c r="G2351" s="51" t="s">
        <v>11402</v>
      </c>
      <c r="H2351" s="51" t="s">
        <v>11403</v>
      </c>
      <c r="I2351" s="14" t="s">
        <v>147</v>
      </c>
      <c r="J2351" s="14">
        <v>0.638546108</v>
      </c>
      <c r="K2351" s="14">
        <v>0.599868016</v>
      </c>
      <c r="L2351" s="14">
        <v>0.57383551</v>
      </c>
      <c r="M2351" s="14">
        <v>2.576887944</v>
      </c>
      <c r="N2351" s="14">
        <v>2.82164817</v>
      </c>
      <c r="O2351" s="14">
        <v>2.316282093</v>
      </c>
      <c r="P2351" s="14" t="s">
        <v>11404</v>
      </c>
      <c r="Q2351" s="14" t="s">
        <v>11405</v>
      </c>
      <c r="T2351" s="14" t="s">
        <v>11406</v>
      </c>
      <c r="U2351" s="14" t="s">
        <v>11407</v>
      </c>
    </row>
    <row r="2352" spans="1:21">
      <c r="A2352" s="14" t="s">
        <v>11408</v>
      </c>
      <c r="B2352" s="14">
        <v>2224.012907</v>
      </c>
      <c r="C2352" s="14">
        <v>1368.609059</v>
      </c>
      <c r="D2352" s="14">
        <v>3079.416756</v>
      </c>
      <c r="E2352" s="14">
        <v>2.250345859</v>
      </c>
      <c r="F2352" s="14">
        <v>1.170146748</v>
      </c>
      <c r="G2352" s="51" t="s">
        <v>11409</v>
      </c>
      <c r="H2352" s="51" t="s">
        <v>11410</v>
      </c>
      <c r="I2352" s="14" t="s">
        <v>164</v>
      </c>
      <c r="J2352" s="14">
        <v>43.50011262</v>
      </c>
      <c r="K2352" s="14">
        <v>41.42190547</v>
      </c>
      <c r="L2352" s="14">
        <v>42.34389021</v>
      </c>
      <c r="M2352" s="14">
        <v>14.54648947</v>
      </c>
      <c r="N2352" s="14">
        <v>16.09489557</v>
      </c>
      <c r="O2352" s="14">
        <v>15.91110254</v>
      </c>
      <c r="P2352" s="14" t="s">
        <v>11411</v>
      </c>
      <c r="Q2352" s="14" t="s">
        <v>11412</v>
      </c>
      <c r="R2352" s="14" t="s">
        <v>8922</v>
      </c>
      <c r="S2352" s="14" t="s">
        <v>8923</v>
      </c>
      <c r="T2352" s="14" t="s">
        <v>11413</v>
      </c>
      <c r="U2352" s="14" t="s">
        <v>11414</v>
      </c>
    </row>
    <row r="2353" spans="1:21">
      <c r="A2353" s="14" t="s">
        <v>11415</v>
      </c>
      <c r="B2353" s="14">
        <v>190.8417943</v>
      </c>
      <c r="C2353" s="14">
        <v>93.22777316</v>
      </c>
      <c r="D2353" s="14">
        <v>288.4558154</v>
      </c>
      <c r="E2353" s="14">
        <v>3.094449288</v>
      </c>
      <c r="F2353" s="14">
        <v>1.629682679</v>
      </c>
      <c r="G2353" s="51" t="s">
        <v>11416</v>
      </c>
      <c r="H2353" s="51" t="s">
        <v>11417</v>
      </c>
      <c r="I2353" s="14" t="s">
        <v>164</v>
      </c>
      <c r="J2353" s="14">
        <v>2.739706364</v>
      </c>
      <c r="K2353" s="14">
        <v>1.552534104</v>
      </c>
      <c r="L2353" s="14">
        <v>2.128727464</v>
      </c>
      <c r="M2353" s="14">
        <v>0.559310895</v>
      </c>
      <c r="N2353" s="14">
        <v>0.524534147</v>
      </c>
      <c r="O2353" s="14">
        <v>0.627151475</v>
      </c>
      <c r="P2353" s="14" t="s">
        <v>11418</v>
      </c>
      <c r="Q2353" s="14" t="s">
        <v>11419</v>
      </c>
      <c r="R2353" s="14" t="s">
        <v>754</v>
      </c>
      <c r="S2353" s="14" t="s">
        <v>755</v>
      </c>
      <c r="T2353" s="14" t="s">
        <v>2383</v>
      </c>
      <c r="U2353" s="14" t="s">
        <v>2384</v>
      </c>
    </row>
    <row r="2354" spans="1:21">
      <c r="A2354" s="14" t="s">
        <v>11420</v>
      </c>
      <c r="B2354" s="14">
        <v>1876.54412</v>
      </c>
      <c r="C2354" s="14">
        <v>941.113816</v>
      </c>
      <c r="D2354" s="14">
        <v>2811.974425</v>
      </c>
      <c r="E2354" s="14">
        <v>2.988368754</v>
      </c>
      <c r="F2354" s="14">
        <v>1.579358183</v>
      </c>
      <c r="G2354" s="14">
        <v>0.001860348</v>
      </c>
      <c r="H2354" s="14">
        <v>0.006293308</v>
      </c>
      <c r="I2354" s="14" t="s">
        <v>164</v>
      </c>
      <c r="J2354" s="14">
        <v>71.12458982</v>
      </c>
      <c r="K2354" s="14">
        <v>83.91664885</v>
      </c>
      <c r="L2354" s="14">
        <v>65.70900163</v>
      </c>
      <c r="M2354" s="14">
        <v>24.90988269</v>
      </c>
      <c r="N2354" s="14">
        <v>27.32729985</v>
      </c>
      <c r="O2354" s="14">
        <v>7.037733855</v>
      </c>
      <c r="P2354" s="14" t="s">
        <v>11421</v>
      </c>
      <c r="Q2354" s="14" t="s">
        <v>11422</v>
      </c>
      <c r="T2354" s="14" t="s">
        <v>11423</v>
      </c>
      <c r="U2354" s="14" t="s">
        <v>11424</v>
      </c>
    </row>
    <row r="2355" spans="1:21">
      <c r="A2355" s="14" t="s">
        <v>11425</v>
      </c>
      <c r="B2355" s="14">
        <v>1593.279129</v>
      </c>
      <c r="C2355" s="14">
        <v>1013.341948</v>
      </c>
      <c r="D2355" s="14">
        <v>2173.216311</v>
      </c>
      <c r="E2355" s="14">
        <v>2.144211707</v>
      </c>
      <c r="F2355" s="14">
        <v>1.100447356</v>
      </c>
      <c r="G2355" s="14">
        <v>0.000209155</v>
      </c>
      <c r="H2355" s="14">
        <v>0.000912711</v>
      </c>
      <c r="I2355" s="14" t="s">
        <v>164</v>
      </c>
      <c r="J2355" s="14">
        <v>28.81527733</v>
      </c>
      <c r="K2355" s="14">
        <v>23.76455979</v>
      </c>
      <c r="L2355" s="14">
        <v>39.50103355</v>
      </c>
      <c r="M2355" s="14">
        <v>9.145334683</v>
      </c>
      <c r="N2355" s="14">
        <v>9.426748261</v>
      </c>
      <c r="O2355" s="14">
        <v>17.27619158</v>
      </c>
      <c r="P2355" s="14" t="s">
        <v>11426</v>
      </c>
      <c r="Q2355" s="14" t="s">
        <v>11427</v>
      </c>
      <c r="R2355" s="14" t="s">
        <v>341</v>
      </c>
      <c r="S2355" s="14" t="s">
        <v>342</v>
      </c>
      <c r="T2355" s="14" t="s">
        <v>11428</v>
      </c>
      <c r="U2355" s="14" t="s">
        <v>11429</v>
      </c>
    </row>
    <row r="2356" spans="1:21">
      <c r="A2356" s="14" t="s">
        <v>11430</v>
      </c>
      <c r="B2356" s="14">
        <v>8245.756707</v>
      </c>
      <c r="C2356" s="14">
        <v>11622.69342</v>
      </c>
      <c r="D2356" s="14">
        <v>4868.819999</v>
      </c>
      <c r="E2356" s="14">
        <v>0.418904099</v>
      </c>
      <c r="F2356" s="14">
        <v>-1.255308092</v>
      </c>
      <c r="G2356" s="51" t="s">
        <v>11431</v>
      </c>
      <c r="H2356" s="51" t="s">
        <v>11432</v>
      </c>
      <c r="I2356" s="14" t="s">
        <v>147</v>
      </c>
      <c r="J2356" s="14">
        <v>74.42515594</v>
      </c>
      <c r="K2356" s="14">
        <v>79.03754107</v>
      </c>
      <c r="L2356" s="14">
        <v>62.97327483</v>
      </c>
      <c r="M2356" s="14">
        <v>147.7726549</v>
      </c>
      <c r="N2356" s="14">
        <v>143.1332631</v>
      </c>
      <c r="O2356" s="14">
        <v>133.1635658</v>
      </c>
      <c r="P2356" s="14" t="s">
        <v>11433</v>
      </c>
      <c r="Q2356" s="14" t="s">
        <v>11434</v>
      </c>
      <c r="R2356" s="14" t="s">
        <v>11435</v>
      </c>
      <c r="S2356" s="14" t="s">
        <v>11436</v>
      </c>
      <c r="T2356" s="14" t="s">
        <v>11437</v>
      </c>
      <c r="U2356" s="14" t="s">
        <v>11438</v>
      </c>
    </row>
    <row r="2357" spans="1:21">
      <c r="A2357" s="14" t="s">
        <v>11439</v>
      </c>
      <c r="B2357" s="14">
        <v>2414.357349</v>
      </c>
      <c r="C2357" s="14">
        <v>879.4829574</v>
      </c>
      <c r="D2357" s="14">
        <v>3949.231741</v>
      </c>
      <c r="E2357" s="14">
        <v>4.488841665</v>
      </c>
      <c r="F2357" s="14">
        <v>2.166343209</v>
      </c>
      <c r="G2357" s="51" t="s">
        <v>11440</v>
      </c>
      <c r="H2357" s="51" t="s">
        <v>11441</v>
      </c>
      <c r="I2357" s="14" t="s">
        <v>164</v>
      </c>
      <c r="J2357" s="14">
        <v>76.36327444</v>
      </c>
      <c r="K2357" s="14">
        <v>61.57038511</v>
      </c>
      <c r="L2357" s="14">
        <v>71.02109364</v>
      </c>
      <c r="M2357" s="14">
        <v>10.30913536</v>
      </c>
      <c r="N2357" s="14">
        <v>10.00506269</v>
      </c>
      <c r="O2357" s="14">
        <v>18.59384756</v>
      </c>
      <c r="P2357" s="14" t="s">
        <v>11442</v>
      </c>
      <c r="Q2357" s="14" t="s">
        <v>11443</v>
      </c>
      <c r="R2357" s="14" t="s">
        <v>294</v>
      </c>
      <c r="S2357" s="14" t="s">
        <v>295</v>
      </c>
      <c r="T2357" s="14" t="s">
        <v>11444</v>
      </c>
      <c r="U2357" s="14" t="s">
        <v>11445</v>
      </c>
    </row>
    <row r="2358" spans="1:21">
      <c r="A2358" s="14" t="s">
        <v>11446</v>
      </c>
      <c r="B2358" s="14">
        <v>159.8372223</v>
      </c>
      <c r="C2358" s="14">
        <v>275.354334</v>
      </c>
      <c r="D2358" s="14">
        <v>44.32011059</v>
      </c>
      <c r="E2358" s="14">
        <v>0.160872854</v>
      </c>
      <c r="F2358" s="14">
        <v>-2.63600719</v>
      </c>
      <c r="G2358" s="14">
        <v>0.003607153</v>
      </c>
      <c r="H2358" s="14">
        <v>0.011170762</v>
      </c>
      <c r="I2358" s="14" t="s">
        <v>147</v>
      </c>
      <c r="J2358" s="14">
        <v>0.204507199</v>
      </c>
      <c r="K2358" s="14">
        <v>0.341611131</v>
      </c>
      <c r="L2358" s="14">
        <v>0.033516535</v>
      </c>
      <c r="M2358" s="14">
        <v>1.3327904</v>
      </c>
      <c r="N2358" s="14">
        <v>1.317942417</v>
      </c>
      <c r="O2358" s="14">
        <v>0.24404091</v>
      </c>
      <c r="P2358" s="14" t="s">
        <v>3772</v>
      </c>
      <c r="Q2358" s="14" t="s">
        <v>3773</v>
      </c>
      <c r="T2358" s="14" t="s">
        <v>3774</v>
      </c>
      <c r="U2358" s="14" t="s">
        <v>3775</v>
      </c>
    </row>
    <row r="2359" spans="1:21">
      <c r="A2359" s="14" t="s">
        <v>11447</v>
      </c>
      <c r="B2359" s="14">
        <v>6201.663935</v>
      </c>
      <c r="C2359" s="14">
        <v>8655.531777</v>
      </c>
      <c r="D2359" s="14">
        <v>3747.796093</v>
      </c>
      <c r="E2359" s="14">
        <v>0.433007947</v>
      </c>
      <c r="F2359" s="14">
        <v>-1.207534592</v>
      </c>
      <c r="G2359" s="51" t="s">
        <v>7141</v>
      </c>
      <c r="H2359" s="51" t="s">
        <v>7082</v>
      </c>
      <c r="I2359" s="14" t="s">
        <v>147</v>
      </c>
      <c r="J2359" s="14">
        <v>61.32576949</v>
      </c>
      <c r="K2359" s="14">
        <v>58.3460842</v>
      </c>
      <c r="L2359" s="14">
        <v>55.11691672</v>
      </c>
      <c r="M2359" s="14">
        <v>122.1664058</v>
      </c>
      <c r="N2359" s="14">
        <v>115.7879512</v>
      </c>
      <c r="O2359" s="14">
        <v>91.65904699</v>
      </c>
      <c r="P2359" s="14" t="s">
        <v>11448</v>
      </c>
      <c r="Q2359" s="14" t="s">
        <v>11449</v>
      </c>
      <c r="T2359" s="14" t="s">
        <v>11450</v>
      </c>
      <c r="U2359" s="14" t="s">
        <v>11451</v>
      </c>
    </row>
    <row r="2360" spans="1:21">
      <c r="A2360" s="14" t="s">
        <v>11452</v>
      </c>
      <c r="B2360" s="14">
        <v>16217.50575</v>
      </c>
      <c r="C2360" s="14">
        <v>22028.82552</v>
      </c>
      <c r="D2360" s="14">
        <v>10406.18597</v>
      </c>
      <c r="E2360" s="14">
        <v>0.472398051</v>
      </c>
      <c r="F2360" s="14">
        <v>-1.081925083</v>
      </c>
      <c r="G2360" s="51" t="s">
        <v>11453</v>
      </c>
      <c r="H2360" s="51" t="s">
        <v>11454</v>
      </c>
      <c r="I2360" s="14" t="s">
        <v>147</v>
      </c>
      <c r="J2360" s="14">
        <v>90.91834905</v>
      </c>
      <c r="K2360" s="14">
        <v>86.42896565</v>
      </c>
      <c r="L2360" s="14">
        <v>85.70017295</v>
      </c>
      <c r="M2360" s="14">
        <v>165.1914735</v>
      </c>
      <c r="N2360" s="14">
        <v>150.622619</v>
      </c>
      <c r="O2360" s="14">
        <v>140.3017466</v>
      </c>
      <c r="Q2360" s="14" t="s">
        <v>11455</v>
      </c>
      <c r="T2360" s="14" t="s">
        <v>11456</v>
      </c>
      <c r="U2360" s="14" t="s">
        <v>11457</v>
      </c>
    </row>
    <row r="2361" spans="1:21">
      <c r="A2361" s="14" t="s">
        <v>11458</v>
      </c>
      <c r="B2361" s="14">
        <v>13.5891274</v>
      </c>
      <c r="C2361" s="14">
        <v>21.6070467</v>
      </c>
      <c r="D2361" s="14">
        <v>5.571208099</v>
      </c>
      <c r="E2361" s="14">
        <v>0.258231224</v>
      </c>
      <c r="F2361" s="14">
        <v>-1.953264641</v>
      </c>
      <c r="G2361" s="14">
        <v>0.012119518</v>
      </c>
      <c r="H2361" s="14">
        <v>0.031785185</v>
      </c>
      <c r="I2361" s="14" t="s">
        <v>147</v>
      </c>
      <c r="J2361" s="14">
        <v>0.045430985</v>
      </c>
      <c r="K2361" s="14">
        <v>0.045727644</v>
      </c>
      <c r="L2361" s="14">
        <v>0.036452666</v>
      </c>
      <c r="M2361" s="14">
        <v>0.155482042</v>
      </c>
      <c r="N2361" s="14">
        <v>0.180242927</v>
      </c>
      <c r="O2361" s="14">
        <v>0.06338376</v>
      </c>
      <c r="P2361" s="14" t="s">
        <v>11459</v>
      </c>
      <c r="Q2361" s="14" t="s">
        <v>11460</v>
      </c>
      <c r="T2361" s="14" t="s">
        <v>11461</v>
      </c>
      <c r="U2361" s="14" t="s">
        <v>11462</v>
      </c>
    </row>
    <row r="2362" spans="1:15">
      <c r="A2362" s="14" t="s">
        <v>11463</v>
      </c>
      <c r="B2362" s="14">
        <v>5.025521916</v>
      </c>
      <c r="C2362" s="14">
        <v>0.618177692</v>
      </c>
      <c r="D2362" s="14">
        <v>9.432866141</v>
      </c>
      <c r="E2362" s="14">
        <v>14.52141416</v>
      </c>
      <c r="F2362" s="14">
        <v>3.860110052</v>
      </c>
      <c r="G2362" s="14">
        <v>0.014829098</v>
      </c>
      <c r="H2362" s="14">
        <v>0.037746603</v>
      </c>
      <c r="I2362" s="14" t="s">
        <v>164</v>
      </c>
      <c r="J2362" s="14">
        <v>0.28036398</v>
      </c>
      <c r="K2362" s="14">
        <v>0.108536431</v>
      </c>
      <c r="L2362" s="14">
        <v>0.228417793</v>
      </c>
      <c r="M2362" s="14">
        <v>0</v>
      </c>
      <c r="N2362" s="14">
        <v>0</v>
      </c>
      <c r="O2362" s="14">
        <v>0.036106546</v>
      </c>
    </row>
    <row r="2363" spans="1:21">
      <c r="A2363" s="14" t="s">
        <v>11464</v>
      </c>
      <c r="B2363" s="14">
        <v>1810.719274</v>
      </c>
      <c r="C2363" s="14">
        <v>3489.398242</v>
      </c>
      <c r="D2363" s="14">
        <v>132.0403063</v>
      </c>
      <c r="E2363" s="14">
        <v>0.037835026</v>
      </c>
      <c r="F2363" s="14">
        <v>-4.724133763</v>
      </c>
      <c r="G2363" s="51" t="s">
        <v>11465</v>
      </c>
      <c r="H2363" s="51" t="s">
        <v>11466</v>
      </c>
      <c r="I2363" s="14" t="s">
        <v>147</v>
      </c>
      <c r="J2363" s="14">
        <v>1.533486732</v>
      </c>
      <c r="K2363" s="14">
        <v>1.048897926</v>
      </c>
      <c r="L2363" s="14">
        <v>0.799440055</v>
      </c>
      <c r="M2363" s="14">
        <v>32.39514205</v>
      </c>
      <c r="N2363" s="14">
        <v>31.11406496</v>
      </c>
      <c r="O2363" s="14">
        <v>8.155984239</v>
      </c>
      <c r="P2363" s="14" t="s">
        <v>11467</v>
      </c>
      <c r="Q2363" s="14" t="s">
        <v>11468</v>
      </c>
      <c r="T2363" s="14" t="s">
        <v>11469</v>
      </c>
      <c r="U2363" s="14" t="s">
        <v>11470</v>
      </c>
    </row>
    <row r="2364" spans="1:15">
      <c r="A2364" s="14" t="s">
        <v>11471</v>
      </c>
      <c r="B2364" s="14">
        <v>351.7483431</v>
      </c>
      <c r="C2364" s="14">
        <v>95.83924075</v>
      </c>
      <c r="D2364" s="14">
        <v>607.6574454</v>
      </c>
      <c r="E2364" s="14">
        <v>6.332871124</v>
      </c>
      <c r="F2364" s="14">
        <v>2.66285972</v>
      </c>
      <c r="G2364" s="14">
        <v>0.001362142</v>
      </c>
      <c r="H2364" s="14">
        <v>0.00479902</v>
      </c>
      <c r="I2364" s="14" t="s">
        <v>164</v>
      </c>
      <c r="J2364" s="14">
        <v>16.40050475</v>
      </c>
      <c r="K2364" s="14">
        <v>7.905747193</v>
      </c>
      <c r="L2364" s="14">
        <v>21.33241181</v>
      </c>
      <c r="M2364" s="14">
        <v>0.443788982</v>
      </c>
      <c r="N2364" s="14">
        <v>0.729879158</v>
      </c>
      <c r="O2364" s="14">
        <v>5.086292501</v>
      </c>
    </row>
    <row r="2365" spans="1:21">
      <c r="A2365" s="14" t="s">
        <v>11472</v>
      </c>
      <c r="B2365" s="14">
        <v>1073.530129</v>
      </c>
      <c r="C2365" s="14">
        <v>643.0541939</v>
      </c>
      <c r="D2365" s="14">
        <v>1504.006064</v>
      </c>
      <c r="E2365" s="14">
        <v>2.337845457</v>
      </c>
      <c r="F2365" s="14">
        <v>1.225179564</v>
      </c>
      <c r="G2365" s="14">
        <v>0.00012191</v>
      </c>
      <c r="H2365" s="14">
        <v>0.000566107</v>
      </c>
      <c r="I2365" s="14" t="s">
        <v>164</v>
      </c>
      <c r="J2365" s="14">
        <v>18.18623945</v>
      </c>
      <c r="K2365" s="14">
        <v>14.99535977</v>
      </c>
      <c r="L2365" s="14">
        <v>18.15031693</v>
      </c>
      <c r="M2365" s="14">
        <v>4.085115321</v>
      </c>
      <c r="N2365" s="14">
        <v>4.686381761</v>
      </c>
      <c r="O2365" s="14">
        <v>9.690374974</v>
      </c>
      <c r="P2365" s="14" t="s">
        <v>11473</v>
      </c>
      <c r="Q2365" s="14" t="s">
        <v>11474</v>
      </c>
      <c r="R2365" s="14" t="s">
        <v>1056</v>
      </c>
      <c r="S2365" s="14" t="s">
        <v>1057</v>
      </c>
      <c r="T2365" s="14" t="s">
        <v>11475</v>
      </c>
      <c r="U2365" s="14" t="s">
        <v>11476</v>
      </c>
    </row>
    <row r="2366" spans="1:15">
      <c r="A2366" s="14" t="s">
        <v>11477</v>
      </c>
      <c r="B2366" s="14">
        <v>77.55267344</v>
      </c>
      <c r="C2366" s="14">
        <v>15.82874174</v>
      </c>
      <c r="D2366" s="14">
        <v>139.2766051</v>
      </c>
      <c r="E2366" s="14">
        <v>8.764515876</v>
      </c>
      <c r="F2366" s="14">
        <v>3.131674403</v>
      </c>
      <c r="G2366" s="51" t="s">
        <v>11478</v>
      </c>
      <c r="H2366" s="51" t="s">
        <v>11479</v>
      </c>
      <c r="I2366" s="14" t="s">
        <v>164</v>
      </c>
      <c r="J2366" s="14">
        <v>18.94657525</v>
      </c>
      <c r="K2366" s="14">
        <v>6.546518806</v>
      </c>
      <c r="L2366" s="14">
        <v>14.3400323</v>
      </c>
      <c r="M2366" s="14">
        <v>0.967796381</v>
      </c>
      <c r="N2366" s="14">
        <v>0.928485731</v>
      </c>
      <c r="O2366" s="14">
        <v>1.893751514</v>
      </c>
    </row>
    <row r="2367" spans="1:21">
      <c r="A2367" s="14" t="s">
        <v>11480</v>
      </c>
      <c r="B2367" s="14">
        <v>425.6415159</v>
      </c>
      <c r="C2367" s="14">
        <v>47.56311248</v>
      </c>
      <c r="D2367" s="14">
        <v>803.7199194</v>
      </c>
      <c r="E2367" s="14">
        <v>16.83262807</v>
      </c>
      <c r="F2367" s="14">
        <v>4.073188537</v>
      </c>
      <c r="G2367" s="51" t="s">
        <v>11481</v>
      </c>
      <c r="H2367" s="51" t="s">
        <v>11482</v>
      </c>
      <c r="I2367" s="14" t="s">
        <v>164</v>
      </c>
      <c r="J2367" s="14">
        <v>14.72968703</v>
      </c>
      <c r="K2367" s="14">
        <v>14.95853995</v>
      </c>
      <c r="L2367" s="14">
        <v>10.34336802</v>
      </c>
      <c r="M2367" s="14">
        <v>0.493392031</v>
      </c>
      <c r="N2367" s="14">
        <v>0.405729496</v>
      </c>
      <c r="O2367" s="14">
        <v>1.103374841</v>
      </c>
      <c r="P2367" s="14" t="s">
        <v>4209</v>
      </c>
      <c r="Q2367" s="14" t="s">
        <v>4210</v>
      </c>
      <c r="T2367" s="14" t="s">
        <v>4211</v>
      </c>
      <c r="U2367" s="14" t="s">
        <v>4212</v>
      </c>
    </row>
    <row r="2368" spans="1:21">
      <c r="A2368" s="14" t="s">
        <v>11483</v>
      </c>
      <c r="B2368" s="14">
        <v>350.8059242</v>
      </c>
      <c r="C2368" s="14">
        <v>199.8154217</v>
      </c>
      <c r="D2368" s="14">
        <v>501.7964268</v>
      </c>
      <c r="E2368" s="14">
        <v>2.514361814</v>
      </c>
      <c r="F2368" s="14">
        <v>1.330192267</v>
      </c>
      <c r="G2368" s="51" t="s">
        <v>6924</v>
      </c>
      <c r="H2368" s="51" t="s">
        <v>6925</v>
      </c>
      <c r="I2368" s="14" t="s">
        <v>164</v>
      </c>
      <c r="J2368" s="14">
        <v>4.851047866</v>
      </c>
      <c r="K2368" s="14">
        <v>5.402163361</v>
      </c>
      <c r="L2368" s="14">
        <v>5.436049581</v>
      </c>
      <c r="M2368" s="14">
        <v>1.810337923</v>
      </c>
      <c r="N2368" s="14">
        <v>1.965554152</v>
      </c>
      <c r="O2368" s="14">
        <v>1.313283173</v>
      </c>
      <c r="P2368" s="14" t="s">
        <v>11484</v>
      </c>
      <c r="Q2368" s="14" t="s">
        <v>11485</v>
      </c>
      <c r="T2368" s="14" t="s">
        <v>11486</v>
      </c>
      <c r="U2368" s="14" t="s">
        <v>11487</v>
      </c>
    </row>
    <row r="2369" spans="1:21">
      <c r="A2369" s="14" t="s">
        <v>11488</v>
      </c>
      <c r="B2369" s="14">
        <v>169.116129</v>
      </c>
      <c r="C2369" s="14">
        <v>315.9382428</v>
      </c>
      <c r="D2369" s="14">
        <v>22.29401511</v>
      </c>
      <c r="E2369" s="14">
        <v>0.070489782</v>
      </c>
      <c r="F2369" s="14">
        <v>-3.826442041</v>
      </c>
      <c r="G2369" s="51" t="s">
        <v>11489</v>
      </c>
      <c r="H2369" s="51" t="s">
        <v>11490</v>
      </c>
      <c r="I2369" s="14" t="s">
        <v>147</v>
      </c>
      <c r="J2369" s="14">
        <v>0.50596168</v>
      </c>
      <c r="K2369" s="14">
        <v>0.601859279</v>
      </c>
      <c r="L2369" s="14">
        <v>0.442877199</v>
      </c>
      <c r="M2369" s="14">
        <v>6.139282602</v>
      </c>
      <c r="N2369" s="14">
        <v>7.192489676</v>
      </c>
      <c r="O2369" s="14">
        <v>4.601187547</v>
      </c>
      <c r="P2369" s="14" t="s">
        <v>11491</v>
      </c>
      <c r="Q2369" s="14" t="s">
        <v>11492</v>
      </c>
      <c r="T2369" s="14" t="s">
        <v>11493</v>
      </c>
      <c r="U2369" s="14" t="s">
        <v>11494</v>
      </c>
    </row>
    <row r="2370" spans="1:15">
      <c r="A2370" s="14" t="s">
        <v>11495</v>
      </c>
      <c r="B2370" s="14">
        <v>698.3347016</v>
      </c>
      <c r="C2370" s="14">
        <v>972.1381124</v>
      </c>
      <c r="D2370" s="14">
        <v>424.5312908</v>
      </c>
      <c r="E2370" s="14">
        <v>0.43680409</v>
      </c>
      <c r="F2370" s="14">
        <v>-1.19494173</v>
      </c>
      <c r="G2370" s="14">
        <v>0.000241778</v>
      </c>
      <c r="H2370" s="14">
        <v>0.001038532</v>
      </c>
      <c r="I2370" s="14" t="s">
        <v>147</v>
      </c>
      <c r="J2370" s="14">
        <v>10.70609303</v>
      </c>
      <c r="K2370" s="14">
        <v>11.03380153</v>
      </c>
      <c r="L2370" s="14">
        <v>11.19615662</v>
      </c>
      <c r="M2370" s="14">
        <v>23.95206598</v>
      </c>
      <c r="N2370" s="14">
        <v>24.21957605</v>
      </c>
      <c r="O2370" s="14">
        <v>12.90708922</v>
      </c>
    </row>
    <row r="2371" spans="1:15">
      <c r="A2371" s="14" t="s">
        <v>11496</v>
      </c>
      <c r="B2371" s="14">
        <v>1416.533468</v>
      </c>
      <c r="C2371" s="14">
        <v>2314.373796</v>
      </c>
      <c r="D2371" s="14">
        <v>518.6931403</v>
      </c>
      <c r="E2371" s="14">
        <v>0.22409759</v>
      </c>
      <c r="F2371" s="14">
        <v>-2.157800959</v>
      </c>
      <c r="G2371" s="51" t="s">
        <v>11497</v>
      </c>
      <c r="H2371" s="51" t="s">
        <v>7263</v>
      </c>
      <c r="I2371" s="14" t="s">
        <v>147</v>
      </c>
      <c r="J2371" s="14">
        <v>7.767854065</v>
      </c>
      <c r="K2371" s="14">
        <v>16.19710543</v>
      </c>
      <c r="L2371" s="14">
        <v>8.312508674</v>
      </c>
      <c r="M2371" s="14">
        <v>44.24880182</v>
      </c>
      <c r="N2371" s="14">
        <v>40.89548194</v>
      </c>
      <c r="O2371" s="14">
        <v>32.71930937</v>
      </c>
    </row>
    <row r="2372" spans="1:21">
      <c r="A2372" s="14" t="s">
        <v>11498</v>
      </c>
      <c r="B2372" s="14">
        <v>144.7457977</v>
      </c>
      <c r="C2372" s="14">
        <v>77.70543902</v>
      </c>
      <c r="D2372" s="14">
        <v>211.7861563</v>
      </c>
      <c r="E2372" s="14">
        <v>2.726033116</v>
      </c>
      <c r="F2372" s="14">
        <v>1.446803088</v>
      </c>
      <c r="G2372" s="14">
        <v>0.010283717</v>
      </c>
      <c r="H2372" s="14">
        <v>0.027658742</v>
      </c>
      <c r="I2372" s="14" t="s">
        <v>164</v>
      </c>
      <c r="J2372" s="14">
        <v>5.719813891</v>
      </c>
      <c r="K2372" s="14">
        <v>7.297812925</v>
      </c>
      <c r="L2372" s="14">
        <v>4.16280964</v>
      </c>
      <c r="M2372" s="14">
        <v>1.056886164</v>
      </c>
      <c r="N2372" s="14">
        <v>3.085955483</v>
      </c>
      <c r="O2372" s="14">
        <v>0.989081459</v>
      </c>
      <c r="Q2372" s="14" t="s">
        <v>11499</v>
      </c>
      <c r="T2372" s="14" t="s">
        <v>11500</v>
      </c>
      <c r="U2372" s="14" t="s">
        <v>11501</v>
      </c>
    </row>
    <row r="2373" spans="1:17">
      <c r="A2373" s="14" t="s">
        <v>11502</v>
      </c>
      <c r="B2373" s="14">
        <v>7139.790732</v>
      </c>
      <c r="C2373" s="14">
        <v>10601.75223</v>
      </c>
      <c r="D2373" s="14">
        <v>3677.829238</v>
      </c>
      <c r="E2373" s="14">
        <v>0.346919187</v>
      </c>
      <c r="F2373" s="14">
        <v>-1.527328463</v>
      </c>
      <c r="G2373" s="51" t="s">
        <v>11503</v>
      </c>
      <c r="H2373" s="51" t="s">
        <v>11504</v>
      </c>
      <c r="I2373" s="14" t="s">
        <v>147</v>
      </c>
      <c r="J2373" s="14">
        <v>70.68117224</v>
      </c>
      <c r="K2373" s="14">
        <v>78.66603736</v>
      </c>
      <c r="L2373" s="14">
        <v>78.16235899</v>
      </c>
      <c r="M2373" s="14">
        <v>183.7297599</v>
      </c>
      <c r="N2373" s="14">
        <v>198.3442578</v>
      </c>
      <c r="O2373" s="14">
        <v>154.0637331</v>
      </c>
      <c r="P2373" s="14" t="s">
        <v>11505</v>
      </c>
      <c r="Q2373" s="14" t="s">
        <v>11506</v>
      </c>
    </row>
    <row r="2374" spans="1:21">
      <c r="A2374" s="14" t="s">
        <v>11507</v>
      </c>
      <c r="B2374" s="14">
        <v>3031.79776</v>
      </c>
      <c r="C2374" s="14">
        <v>4148.385951</v>
      </c>
      <c r="D2374" s="14">
        <v>1915.209569</v>
      </c>
      <c r="E2374" s="14">
        <v>0.461719257</v>
      </c>
      <c r="F2374" s="14">
        <v>-1.114912191</v>
      </c>
      <c r="G2374" s="51" t="s">
        <v>11508</v>
      </c>
      <c r="H2374" s="51" t="s">
        <v>11509</v>
      </c>
      <c r="I2374" s="14" t="s">
        <v>147</v>
      </c>
      <c r="J2374" s="14">
        <v>15.95859492</v>
      </c>
      <c r="K2374" s="14">
        <v>17.64859217</v>
      </c>
      <c r="L2374" s="14">
        <v>17.7434485</v>
      </c>
      <c r="M2374" s="14">
        <v>34.91145393</v>
      </c>
      <c r="N2374" s="14">
        <v>31.0740243</v>
      </c>
      <c r="O2374" s="14">
        <v>24.69513062</v>
      </c>
      <c r="P2374" s="14" t="s">
        <v>11510</v>
      </c>
      <c r="Q2374" s="14" t="s">
        <v>11511</v>
      </c>
      <c r="T2374" s="14" t="s">
        <v>11512</v>
      </c>
      <c r="U2374" s="14" t="s">
        <v>11513</v>
      </c>
    </row>
    <row r="2375" spans="1:21">
      <c r="A2375" s="14" t="s">
        <v>11514</v>
      </c>
      <c r="B2375" s="14">
        <v>15861.9416</v>
      </c>
      <c r="C2375" s="14">
        <v>21896.94701</v>
      </c>
      <c r="D2375" s="14">
        <v>9826.936181</v>
      </c>
      <c r="E2375" s="14">
        <v>0.44878463</v>
      </c>
      <c r="F2375" s="14">
        <v>-1.155904828</v>
      </c>
      <c r="G2375" s="14">
        <v>0.004286908</v>
      </c>
      <c r="H2375" s="14">
        <v>0.012949415</v>
      </c>
      <c r="I2375" s="14" t="s">
        <v>147</v>
      </c>
      <c r="J2375" s="14">
        <v>82.77245353</v>
      </c>
      <c r="K2375" s="14">
        <v>123.6586955</v>
      </c>
      <c r="L2375" s="14">
        <v>96.09532878</v>
      </c>
      <c r="M2375" s="14">
        <v>228.396926</v>
      </c>
      <c r="N2375" s="14">
        <v>222.2680314</v>
      </c>
      <c r="O2375" s="14">
        <v>93.09189537</v>
      </c>
      <c r="P2375" s="14" t="s">
        <v>11515</v>
      </c>
      <c r="Q2375" s="14" t="s">
        <v>11516</v>
      </c>
      <c r="T2375" s="14" t="s">
        <v>11517</v>
      </c>
      <c r="U2375" s="14" t="s">
        <v>11518</v>
      </c>
    </row>
    <row r="2376" spans="1:21">
      <c r="A2376" s="14" t="s">
        <v>11519</v>
      </c>
      <c r="B2376" s="14">
        <v>77.19353667</v>
      </c>
      <c r="C2376" s="14">
        <v>108.1311847</v>
      </c>
      <c r="D2376" s="14">
        <v>46.2558886</v>
      </c>
      <c r="E2376" s="14">
        <v>0.428014582</v>
      </c>
      <c r="F2376" s="14">
        <v>-1.224268147</v>
      </c>
      <c r="G2376" s="51" t="s">
        <v>11520</v>
      </c>
      <c r="H2376" s="14">
        <v>0.000162483</v>
      </c>
      <c r="I2376" s="14" t="s">
        <v>147</v>
      </c>
      <c r="J2376" s="14">
        <v>0.695109071</v>
      </c>
      <c r="K2376" s="14">
        <v>0.883765948</v>
      </c>
      <c r="L2376" s="14">
        <v>0.986315293</v>
      </c>
      <c r="M2376" s="14">
        <v>1.643337419</v>
      </c>
      <c r="N2376" s="14">
        <v>1.381390653</v>
      </c>
      <c r="O2376" s="14">
        <v>1.929376542</v>
      </c>
      <c r="P2376" s="14" t="s">
        <v>11521</v>
      </c>
      <c r="Q2376" s="14" t="s">
        <v>11522</v>
      </c>
      <c r="T2376" s="14" t="s">
        <v>11523</v>
      </c>
      <c r="U2376" s="14" t="s">
        <v>11524</v>
      </c>
    </row>
    <row r="2377" spans="1:21">
      <c r="A2377" s="14" t="s">
        <v>11525</v>
      </c>
      <c r="B2377" s="14">
        <v>24.57700004</v>
      </c>
      <c r="C2377" s="14">
        <v>38.35182329</v>
      </c>
      <c r="D2377" s="14">
        <v>10.8021768</v>
      </c>
      <c r="E2377" s="14">
        <v>0.280953074</v>
      </c>
      <c r="F2377" s="14">
        <v>-1.83159891</v>
      </c>
      <c r="G2377" s="14">
        <v>0.016393754</v>
      </c>
      <c r="H2377" s="14">
        <v>0.04112985</v>
      </c>
      <c r="I2377" s="14" t="s">
        <v>147</v>
      </c>
      <c r="J2377" s="14">
        <v>0.482896631</v>
      </c>
      <c r="K2377" s="14">
        <v>0.162016628</v>
      </c>
      <c r="L2377" s="14">
        <v>0.232478375</v>
      </c>
      <c r="M2377" s="14">
        <v>0.504977976</v>
      </c>
      <c r="N2377" s="14">
        <v>0.528508819</v>
      </c>
      <c r="O2377" s="14">
        <v>1.61693014</v>
      </c>
      <c r="P2377" s="14" t="s">
        <v>11526</v>
      </c>
      <c r="Q2377" s="14" t="s">
        <v>11527</v>
      </c>
      <c r="R2377" s="14" t="s">
        <v>1065</v>
      </c>
      <c r="S2377" s="14" t="s">
        <v>1066</v>
      </c>
      <c r="T2377" s="14" t="s">
        <v>11528</v>
      </c>
      <c r="U2377" s="14" t="s">
        <v>11529</v>
      </c>
    </row>
    <row r="2378" spans="1:15">
      <c r="A2378" s="14" t="s">
        <v>11530</v>
      </c>
      <c r="B2378" s="14">
        <v>1094.497514</v>
      </c>
      <c r="C2378" s="14">
        <v>1744.750615</v>
      </c>
      <c r="D2378" s="14">
        <v>444.2444141</v>
      </c>
      <c r="E2378" s="14">
        <v>0.254643942</v>
      </c>
      <c r="F2378" s="14">
        <v>-1.973446701</v>
      </c>
      <c r="G2378" s="51" t="s">
        <v>4316</v>
      </c>
      <c r="H2378" s="51" t="s">
        <v>11531</v>
      </c>
      <c r="I2378" s="14" t="s">
        <v>147</v>
      </c>
      <c r="J2378" s="14">
        <v>6.129235632</v>
      </c>
      <c r="K2378" s="14">
        <v>7.050581418</v>
      </c>
      <c r="L2378" s="14">
        <v>6.449530393</v>
      </c>
      <c r="M2378" s="14">
        <v>23.68603923</v>
      </c>
      <c r="N2378" s="14">
        <v>25.22752938</v>
      </c>
      <c r="O2378" s="14">
        <v>13.60878359</v>
      </c>
    </row>
    <row r="2379" spans="1:15">
      <c r="A2379" s="14" t="s">
        <v>11532</v>
      </c>
      <c r="B2379" s="14">
        <v>19.9873274</v>
      </c>
      <c r="C2379" s="14">
        <v>9.256341047</v>
      </c>
      <c r="D2379" s="14">
        <v>30.71831375</v>
      </c>
      <c r="E2379" s="14">
        <v>3.307868393</v>
      </c>
      <c r="F2379" s="14">
        <v>1.725901836</v>
      </c>
      <c r="G2379" s="14">
        <v>0.006495366</v>
      </c>
      <c r="H2379" s="14">
        <v>0.018565783</v>
      </c>
      <c r="I2379" s="14" t="s">
        <v>164</v>
      </c>
      <c r="J2379" s="14">
        <v>2.668649736</v>
      </c>
      <c r="K2379" s="14">
        <v>2.27283326</v>
      </c>
      <c r="L2379" s="14">
        <v>4.644879659</v>
      </c>
      <c r="M2379" s="14">
        <v>0.702548484</v>
      </c>
      <c r="N2379" s="14">
        <v>0.505508898</v>
      </c>
      <c r="O2379" s="14">
        <v>1.202882906</v>
      </c>
    </row>
    <row r="2380" spans="1:15">
      <c r="A2380" s="14" t="s">
        <v>11533</v>
      </c>
      <c r="B2380" s="14">
        <v>8291.655319</v>
      </c>
      <c r="C2380" s="14">
        <v>11671.49608</v>
      </c>
      <c r="D2380" s="14">
        <v>4911.814557</v>
      </c>
      <c r="E2380" s="14">
        <v>0.420844223</v>
      </c>
      <c r="F2380" s="14">
        <v>-1.248641781</v>
      </c>
      <c r="G2380" s="51" t="s">
        <v>9394</v>
      </c>
      <c r="H2380" s="51" t="s">
        <v>11534</v>
      </c>
      <c r="I2380" s="14" t="s">
        <v>147</v>
      </c>
      <c r="J2380" s="14">
        <v>62.99715389</v>
      </c>
      <c r="K2380" s="14">
        <v>84.93210421</v>
      </c>
      <c r="L2380" s="14">
        <v>69.35419561</v>
      </c>
      <c r="M2380" s="14">
        <v>154.5092537</v>
      </c>
      <c r="N2380" s="14">
        <v>146.3736208</v>
      </c>
      <c r="O2380" s="14">
        <v>121.3147108</v>
      </c>
    </row>
    <row r="2381" spans="1:21">
      <c r="A2381" s="14" t="s">
        <v>11535</v>
      </c>
      <c r="B2381" s="14">
        <v>13.35054293</v>
      </c>
      <c r="C2381" s="14">
        <v>25.07146972</v>
      </c>
      <c r="D2381" s="14">
        <v>1.629616149</v>
      </c>
      <c r="E2381" s="14">
        <v>0.065089435</v>
      </c>
      <c r="F2381" s="14">
        <v>-3.941432803</v>
      </c>
      <c r="G2381" s="14">
        <v>0.015599017</v>
      </c>
      <c r="H2381" s="14">
        <v>0.039407928</v>
      </c>
      <c r="I2381" s="14" t="s">
        <v>147</v>
      </c>
      <c r="J2381" s="14">
        <v>0.050756229</v>
      </c>
      <c r="K2381" s="14">
        <v>0.102175321</v>
      </c>
      <c r="L2381" s="14">
        <v>0.097741213</v>
      </c>
      <c r="M2381" s="14">
        <v>1.25937606</v>
      </c>
      <c r="N2381" s="14">
        <v>1.791501315</v>
      </c>
      <c r="O2381" s="14">
        <v>0</v>
      </c>
      <c r="P2381" s="14" t="s">
        <v>6917</v>
      </c>
      <c r="Q2381" s="14" t="s">
        <v>6918</v>
      </c>
      <c r="T2381" s="14" t="s">
        <v>6919</v>
      </c>
      <c r="U2381" s="14" t="s">
        <v>6920</v>
      </c>
    </row>
    <row r="2382" spans="1:15">
      <c r="A2382" s="14" t="s">
        <v>11536</v>
      </c>
      <c r="B2382" s="14">
        <v>18.30901673</v>
      </c>
      <c r="C2382" s="14">
        <v>6.142544219</v>
      </c>
      <c r="D2382" s="14">
        <v>30.47548925</v>
      </c>
      <c r="E2382" s="14">
        <v>5.002126385</v>
      </c>
      <c r="F2382" s="14">
        <v>2.322541509</v>
      </c>
      <c r="G2382" s="14">
        <v>0.000122348</v>
      </c>
      <c r="H2382" s="14">
        <v>0.000567991</v>
      </c>
      <c r="I2382" s="14" t="s">
        <v>164</v>
      </c>
      <c r="J2382" s="14">
        <v>1.16440761</v>
      </c>
      <c r="K2382" s="14">
        <v>1.367346213</v>
      </c>
      <c r="L2382" s="14">
        <v>1.046405931</v>
      </c>
      <c r="M2382" s="14">
        <v>0.232460895</v>
      </c>
      <c r="N2382" s="14">
        <v>0.223018632</v>
      </c>
      <c r="O2382" s="14">
        <v>0.129963339</v>
      </c>
    </row>
    <row r="2383" spans="1:21">
      <c r="A2383" s="14" t="s">
        <v>11537</v>
      </c>
      <c r="B2383" s="14">
        <v>25.54032946</v>
      </c>
      <c r="C2383" s="14">
        <v>35.69773358</v>
      </c>
      <c r="D2383" s="14">
        <v>15.38292534</v>
      </c>
      <c r="E2383" s="14">
        <v>0.431614163</v>
      </c>
      <c r="F2383" s="14">
        <v>-1.212185889</v>
      </c>
      <c r="G2383" s="14">
        <v>0.019710779</v>
      </c>
      <c r="H2383" s="14">
        <v>0.047959036</v>
      </c>
      <c r="I2383" s="14" t="s">
        <v>147</v>
      </c>
      <c r="J2383" s="14">
        <v>0.252164705</v>
      </c>
      <c r="K2383" s="14">
        <v>0.16497735</v>
      </c>
      <c r="L2383" s="14">
        <v>0.169957651</v>
      </c>
      <c r="M2383" s="14">
        <v>0.485439267</v>
      </c>
      <c r="N2383" s="14">
        <v>0.300131534</v>
      </c>
      <c r="O2383" s="14">
        <v>0.327184776</v>
      </c>
      <c r="P2383" s="14" t="s">
        <v>11538</v>
      </c>
      <c r="Q2383" s="14" t="s">
        <v>11539</v>
      </c>
      <c r="T2383" s="14" t="s">
        <v>11540</v>
      </c>
      <c r="U2383" s="14" t="s">
        <v>11541</v>
      </c>
    </row>
    <row r="2384" spans="1:21">
      <c r="A2384" s="14" t="s">
        <v>11542</v>
      </c>
      <c r="B2384" s="14">
        <v>1106.510752</v>
      </c>
      <c r="C2384" s="14">
        <v>1586.607858</v>
      </c>
      <c r="D2384" s="14">
        <v>626.4136453</v>
      </c>
      <c r="E2384" s="14">
        <v>0.394846535</v>
      </c>
      <c r="F2384" s="14">
        <v>-1.340636067</v>
      </c>
      <c r="G2384" s="51" t="s">
        <v>11543</v>
      </c>
      <c r="H2384" s="51" t="s">
        <v>11544</v>
      </c>
      <c r="I2384" s="14" t="s">
        <v>147</v>
      </c>
      <c r="J2384" s="14">
        <v>29.39660774</v>
      </c>
      <c r="K2384" s="14">
        <v>31.0084484</v>
      </c>
      <c r="L2384" s="14">
        <v>25.85086573</v>
      </c>
      <c r="M2384" s="14">
        <v>65.7990298</v>
      </c>
      <c r="N2384" s="14">
        <v>65.81576443</v>
      </c>
      <c r="O2384" s="14">
        <v>46.54928289</v>
      </c>
      <c r="P2384" s="14" t="s">
        <v>11545</v>
      </c>
      <c r="Q2384" s="14" t="s">
        <v>11546</v>
      </c>
      <c r="T2384" s="14" t="s">
        <v>11547</v>
      </c>
      <c r="U2384" s="14" t="s">
        <v>11548</v>
      </c>
    </row>
    <row r="2385" spans="1:15">
      <c r="A2385" s="14" t="s">
        <v>11549</v>
      </c>
      <c r="B2385" s="14">
        <v>2903.957734</v>
      </c>
      <c r="C2385" s="14">
        <v>1676.331311</v>
      </c>
      <c r="D2385" s="14">
        <v>4131.584158</v>
      </c>
      <c r="E2385" s="14">
        <v>2.464916564</v>
      </c>
      <c r="F2385" s="14">
        <v>1.301538813</v>
      </c>
      <c r="G2385" s="51" t="s">
        <v>11550</v>
      </c>
      <c r="H2385" s="51" t="s">
        <v>11551</v>
      </c>
      <c r="I2385" s="14" t="s">
        <v>164</v>
      </c>
      <c r="J2385" s="14">
        <v>25.80011198</v>
      </c>
      <c r="K2385" s="14">
        <v>31.34251135</v>
      </c>
      <c r="L2385" s="14">
        <v>23.34095609</v>
      </c>
      <c r="M2385" s="14">
        <v>9.224316284</v>
      </c>
      <c r="N2385" s="14">
        <v>11.22857088</v>
      </c>
      <c r="O2385" s="14">
        <v>6.113653068</v>
      </c>
    </row>
    <row r="2386" spans="1:15">
      <c r="A2386" s="14" t="s">
        <v>11552</v>
      </c>
      <c r="B2386" s="14">
        <v>1107.583876</v>
      </c>
      <c r="C2386" s="14">
        <v>325.8761809</v>
      </c>
      <c r="D2386" s="14">
        <v>1889.29157</v>
      </c>
      <c r="E2386" s="14">
        <v>5.796932945</v>
      </c>
      <c r="F2386" s="14">
        <v>2.535289797</v>
      </c>
      <c r="G2386" s="51" t="s">
        <v>11553</v>
      </c>
      <c r="H2386" s="51" t="s">
        <v>11554</v>
      </c>
      <c r="I2386" s="14" t="s">
        <v>164</v>
      </c>
      <c r="J2386" s="14">
        <v>60.70570091</v>
      </c>
      <c r="K2386" s="14">
        <v>35.64068907</v>
      </c>
      <c r="L2386" s="14">
        <v>54.15076302</v>
      </c>
      <c r="M2386" s="14">
        <v>5.551298388</v>
      </c>
      <c r="N2386" s="14">
        <v>8.495424422</v>
      </c>
      <c r="O2386" s="14">
        <v>7.322356267</v>
      </c>
    </row>
    <row r="2387" spans="1:15">
      <c r="A2387" s="14" t="s">
        <v>11555</v>
      </c>
      <c r="B2387" s="14">
        <v>50.84392618</v>
      </c>
      <c r="C2387" s="14">
        <v>95.03644112</v>
      </c>
      <c r="D2387" s="14">
        <v>6.651411229</v>
      </c>
      <c r="E2387" s="14">
        <v>0.069613768</v>
      </c>
      <c r="F2387" s="14">
        <v>-3.84448352</v>
      </c>
      <c r="G2387" s="51" t="s">
        <v>8746</v>
      </c>
      <c r="H2387" s="51" t="s">
        <v>8747</v>
      </c>
      <c r="I2387" s="14" t="s">
        <v>147</v>
      </c>
      <c r="J2387" s="14">
        <v>0.09072676</v>
      </c>
      <c r="K2387" s="14">
        <v>0.066413959</v>
      </c>
      <c r="L2387" s="14">
        <v>0.007941474</v>
      </c>
      <c r="M2387" s="14">
        <v>0.804480742</v>
      </c>
      <c r="N2387" s="14">
        <v>0.629629387</v>
      </c>
      <c r="O2387" s="14">
        <v>0.497109772</v>
      </c>
    </row>
    <row r="2388" spans="1:21">
      <c r="A2388" s="14" t="s">
        <v>11556</v>
      </c>
      <c r="B2388" s="14">
        <v>319.545757</v>
      </c>
      <c r="C2388" s="14">
        <v>442.212701</v>
      </c>
      <c r="D2388" s="14">
        <v>196.8788129</v>
      </c>
      <c r="E2388" s="14">
        <v>0.445289865</v>
      </c>
      <c r="F2388" s="14">
        <v>-1.167183318</v>
      </c>
      <c r="G2388" s="14">
        <v>0.009961615</v>
      </c>
      <c r="H2388" s="14">
        <v>0.026922506</v>
      </c>
      <c r="I2388" s="14" t="s">
        <v>147</v>
      </c>
      <c r="J2388" s="14">
        <v>3.182900849</v>
      </c>
      <c r="K2388" s="14">
        <v>4.008799275</v>
      </c>
      <c r="L2388" s="14">
        <v>2.727702772</v>
      </c>
      <c r="M2388" s="14">
        <v>7.043439325</v>
      </c>
      <c r="N2388" s="14">
        <v>7.961081205</v>
      </c>
      <c r="O2388" s="14">
        <v>2.985249304</v>
      </c>
      <c r="P2388" s="14" t="s">
        <v>11557</v>
      </c>
      <c r="Q2388" s="14" t="s">
        <v>11558</v>
      </c>
      <c r="T2388" s="14" t="s">
        <v>11559</v>
      </c>
      <c r="U2388" s="14" t="s">
        <v>11560</v>
      </c>
    </row>
    <row r="2389" spans="1:21">
      <c r="A2389" s="14" t="s">
        <v>11561</v>
      </c>
      <c r="B2389" s="14">
        <v>72.0781314</v>
      </c>
      <c r="C2389" s="14">
        <v>10.48494089</v>
      </c>
      <c r="D2389" s="14">
        <v>133.6713219</v>
      </c>
      <c r="E2389" s="14">
        <v>12.61043248</v>
      </c>
      <c r="F2389" s="14">
        <v>3.656545849</v>
      </c>
      <c r="G2389" s="51" t="s">
        <v>11562</v>
      </c>
      <c r="H2389" s="51" t="s">
        <v>3325</v>
      </c>
      <c r="I2389" s="14" t="s">
        <v>164</v>
      </c>
      <c r="J2389" s="14">
        <v>5.736176167</v>
      </c>
      <c r="K2389" s="14">
        <v>3.716776018</v>
      </c>
      <c r="L2389" s="14">
        <v>5.074324232</v>
      </c>
      <c r="M2389" s="14">
        <v>0.061348024</v>
      </c>
      <c r="N2389" s="14">
        <v>0.176568438</v>
      </c>
      <c r="O2389" s="14">
        <v>0.750273481</v>
      </c>
      <c r="P2389" s="14" t="s">
        <v>11563</v>
      </c>
      <c r="Q2389" s="14" t="s">
        <v>11564</v>
      </c>
      <c r="T2389" s="14" t="s">
        <v>1440</v>
      </c>
      <c r="U2389" s="14" t="s">
        <v>1441</v>
      </c>
    </row>
    <row r="2390" spans="1:21">
      <c r="A2390" s="14" t="s">
        <v>11565</v>
      </c>
      <c r="B2390" s="14">
        <v>39.69548195</v>
      </c>
      <c r="C2390" s="14">
        <v>9.564258388</v>
      </c>
      <c r="D2390" s="14">
        <v>69.8267055</v>
      </c>
      <c r="E2390" s="14">
        <v>7.353799589</v>
      </c>
      <c r="F2390" s="14">
        <v>2.87848986</v>
      </c>
      <c r="G2390" s="51" t="s">
        <v>11566</v>
      </c>
      <c r="H2390" s="51" t="s">
        <v>11567</v>
      </c>
      <c r="I2390" s="14" t="s">
        <v>164</v>
      </c>
      <c r="J2390" s="14">
        <v>1.742329488</v>
      </c>
      <c r="K2390" s="14">
        <v>3.110347684</v>
      </c>
      <c r="L2390" s="14">
        <v>2.089087997</v>
      </c>
      <c r="M2390" s="14">
        <v>0.309396352</v>
      </c>
      <c r="N2390" s="14">
        <v>0.296829068</v>
      </c>
      <c r="O2390" s="14">
        <v>0.165113566</v>
      </c>
      <c r="P2390" s="14" t="s">
        <v>11568</v>
      </c>
      <c r="Q2390" s="14" t="s">
        <v>11569</v>
      </c>
      <c r="T2390" s="14" t="s">
        <v>11570</v>
      </c>
      <c r="U2390" s="14" t="s">
        <v>11571</v>
      </c>
    </row>
    <row r="2391" spans="1:21">
      <c r="A2391" s="14" t="s">
        <v>11572</v>
      </c>
      <c r="B2391" s="14">
        <v>72.84881189</v>
      </c>
      <c r="C2391" s="14">
        <v>132.6679964</v>
      </c>
      <c r="D2391" s="14">
        <v>13.02962734</v>
      </c>
      <c r="E2391" s="14">
        <v>0.098253908</v>
      </c>
      <c r="F2391" s="14">
        <v>-3.347341404</v>
      </c>
      <c r="G2391" s="51" t="s">
        <v>11573</v>
      </c>
      <c r="H2391" s="51" t="s">
        <v>9029</v>
      </c>
      <c r="I2391" s="14" t="s">
        <v>147</v>
      </c>
      <c r="J2391" s="14">
        <v>0.426614857</v>
      </c>
      <c r="K2391" s="14">
        <v>0.034352048</v>
      </c>
      <c r="L2391" s="14">
        <v>0.213598255</v>
      </c>
      <c r="M2391" s="14">
        <v>1.67904329</v>
      </c>
      <c r="N2391" s="14">
        <v>1.82095262</v>
      </c>
      <c r="O2391" s="14">
        <v>2.171284063</v>
      </c>
      <c r="P2391" s="14" t="s">
        <v>11574</v>
      </c>
      <c r="Q2391" s="14" t="s">
        <v>11575</v>
      </c>
      <c r="T2391" s="14" t="s">
        <v>11576</v>
      </c>
      <c r="U2391" s="14" t="s">
        <v>11577</v>
      </c>
    </row>
    <row r="2392" spans="1:21">
      <c r="A2392" s="14" t="s">
        <v>11578</v>
      </c>
      <c r="B2392" s="14">
        <v>1647.693621</v>
      </c>
      <c r="C2392" s="14">
        <v>811.0055999</v>
      </c>
      <c r="D2392" s="14">
        <v>2484.381642</v>
      </c>
      <c r="E2392" s="14">
        <v>3.064603697</v>
      </c>
      <c r="F2392" s="14">
        <v>1.615700522</v>
      </c>
      <c r="G2392" s="51" t="s">
        <v>11579</v>
      </c>
      <c r="H2392" s="51" t="s">
        <v>11580</v>
      </c>
      <c r="I2392" s="14" t="s">
        <v>164</v>
      </c>
      <c r="J2392" s="14">
        <v>21.50608239</v>
      </c>
      <c r="K2392" s="14">
        <v>24.00297029</v>
      </c>
      <c r="L2392" s="14">
        <v>22.7603569</v>
      </c>
      <c r="M2392" s="14">
        <v>6.071385351</v>
      </c>
      <c r="N2392" s="14">
        <v>6.256789899</v>
      </c>
      <c r="O2392" s="14">
        <v>5.978122103</v>
      </c>
      <c r="P2392" s="14" t="s">
        <v>1749</v>
      </c>
      <c r="Q2392" s="14" t="s">
        <v>1750</v>
      </c>
      <c r="T2392" s="14" t="s">
        <v>1751</v>
      </c>
      <c r="U2392" s="14" t="s">
        <v>1752</v>
      </c>
    </row>
    <row r="2393" spans="1:21">
      <c r="A2393" s="14" t="s">
        <v>11581</v>
      </c>
      <c r="B2393" s="14">
        <v>970.5872288</v>
      </c>
      <c r="C2393" s="14">
        <v>577.7449574</v>
      </c>
      <c r="D2393" s="14">
        <v>1363.4295</v>
      </c>
      <c r="E2393" s="14">
        <v>2.358993893</v>
      </c>
      <c r="F2393" s="14">
        <v>1.238171684</v>
      </c>
      <c r="G2393" s="14">
        <v>0.002723513</v>
      </c>
      <c r="H2393" s="14">
        <v>0.008742825</v>
      </c>
      <c r="I2393" s="14" t="s">
        <v>164</v>
      </c>
      <c r="J2393" s="14">
        <v>19.4112391</v>
      </c>
      <c r="K2393" s="14">
        <v>17.44902427</v>
      </c>
      <c r="L2393" s="14">
        <v>19.17335272</v>
      </c>
      <c r="M2393" s="14">
        <v>4.201363731</v>
      </c>
      <c r="N2393" s="14">
        <v>3.952767816</v>
      </c>
      <c r="O2393" s="14">
        <v>11.99097875</v>
      </c>
      <c r="P2393" s="14" t="s">
        <v>3520</v>
      </c>
      <c r="Q2393" s="14" t="s">
        <v>3521</v>
      </c>
      <c r="R2393" s="14" t="s">
        <v>556</v>
      </c>
      <c r="S2393" s="14" t="s">
        <v>557</v>
      </c>
      <c r="T2393" s="14" t="s">
        <v>4768</v>
      </c>
      <c r="U2393" s="14" t="s">
        <v>4769</v>
      </c>
    </row>
    <row r="2394" spans="1:21">
      <c r="A2394" s="14" t="s">
        <v>11582</v>
      </c>
      <c r="B2394" s="14">
        <v>63.79674519</v>
      </c>
      <c r="C2394" s="14">
        <v>109.6474665</v>
      </c>
      <c r="D2394" s="14">
        <v>17.94602392</v>
      </c>
      <c r="E2394" s="14">
        <v>0.163847596</v>
      </c>
      <c r="F2394" s="14">
        <v>-2.609573594</v>
      </c>
      <c r="G2394" s="51" t="s">
        <v>11583</v>
      </c>
      <c r="H2394" s="51" t="s">
        <v>11584</v>
      </c>
      <c r="I2394" s="14" t="s">
        <v>147</v>
      </c>
      <c r="J2394" s="14">
        <v>0.262116863</v>
      </c>
      <c r="K2394" s="14">
        <v>0.167890833</v>
      </c>
      <c r="L2394" s="14">
        <v>0.217963746</v>
      </c>
      <c r="M2394" s="14">
        <v>1.213074097</v>
      </c>
      <c r="N2394" s="14">
        <v>1.457195685</v>
      </c>
      <c r="O2394" s="14">
        <v>0.518624125</v>
      </c>
      <c r="P2394" s="14" t="s">
        <v>11585</v>
      </c>
      <c r="Q2394" s="14" t="s">
        <v>11586</v>
      </c>
      <c r="R2394" s="14" t="s">
        <v>11587</v>
      </c>
      <c r="S2394" s="14" t="s">
        <v>11588</v>
      </c>
      <c r="T2394" s="14" t="s">
        <v>11589</v>
      </c>
      <c r="U2394" s="14" t="s">
        <v>11590</v>
      </c>
    </row>
    <row r="2395" spans="1:21">
      <c r="A2395" s="14" t="s">
        <v>11591</v>
      </c>
      <c r="B2395" s="14">
        <v>885.4904558</v>
      </c>
      <c r="C2395" s="14">
        <v>1208.897238</v>
      </c>
      <c r="D2395" s="14">
        <v>562.0836733</v>
      </c>
      <c r="E2395" s="14">
        <v>0.464993177</v>
      </c>
      <c r="F2395" s="14">
        <v>-1.104718547</v>
      </c>
      <c r="G2395" s="14">
        <v>0.006159566</v>
      </c>
      <c r="H2395" s="14">
        <v>0.017748358</v>
      </c>
      <c r="I2395" s="14" t="s">
        <v>147</v>
      </c>
      <c r="J2395" s="14">
        <v>9.176726227</v>
      </c>
      <c r="K2395" s="14">
        <v>15.20368782</v>
      </c>
      <c r="L2395" s="14">
        <v>10.1259897</v>
      </c>
      <c r="M2395" s="14">
        <v>24.09316683</v>
      </c>
      <c r="N2395" s="14">
        <v>24.49773891</v>
      </c>
      <c r="O2395" s="14">
        <v>11.47176398</v>
      </c>
      <c r="P2395" s="14" t="s">
        <v>11592</v>
      </c>
      <c r="Q2395" s="14" t="s">
        <v>11593</v>
      </c>
      <c r="T2395" s="14" t="s">
        <v>11594</v>
      </c>
      <c r="U2395" s="14" t="s">
        <v>11595</v>
      </c>
    </row>
    <row r="2396" spans="1:21">
      <c r="A2396" s="14" t="s">
        <v>11596</v>
      </c>
      <c r="B2396" s="14">
        <v>13766.82721</v>
      </c>
      <c r="C2396" s="14">
        <v>19972.38107</v>
      </c>
      <c r="D2396" s="14">
        <v>7561.27335</v>
      </c>
      <c r="E2396" s="14">
        <v>0.378588144</v>
      </c>
      <c r="F2396" s="14">
        <v>-1.401298863</v>
      </c>
      <c r="G2396" s="51" t="s">
        <v>4694</v>
      </c>
      <c r="H2396" s="51" t="s">
        <v>11597</v>
      </c>
      <c r="I2396" s="14" t="s">
        <v>147</v>
      </c>
      <c r="J2396" s="14">
        <v>106.8694419</v>
      </c>
      <c r="K2396" s="14">
        <v>130.7255749</v>
      </c>
      <c r="L2396" s="14">
        <v>99.76079958</v>
      </c>
      <c r="M2396" s="14">
        <v>272.7712725</v>
      </c>
      <c r="N2396" s="14">
        <v>257.1759705</v>
      </c>
      <c r="O2396" s="14">
        <v>197.6622039</v>
      </c>
      <c r="P2396" s="14" t="s">
        <v>11598</v>
      </c>
      <c r="Q2396" s="14" t="s">
        <v>11599</v>
      </c>
      <c r="T2396" s="14" t="s">
        <v>11600</v>
      </c>
      <c r="U2396" s="14" t="s">
        <v>11601</v>
      </c>
    </row>
    <row r="2397" spans="1:21">
      <c r="A2397" s="14" t="s">
        <v>11602</v>
      </c>
      <c r="B2397" s="14">
        <v>3893.379857</v>
      </c>
      <c r="C2397" s="14">
        <v>5449.724772</v>
      </c>
      <c r="D2397" s="14">
        <v>2337.034943</v>
      </c>
      <c r="E2397" s="14">
        <v>0.428841322</v>
      </c>
      <c r="F2397" s="14">
        <v>-1.221484167</v>
      </c>
      <c r="G2397" s="51" t="s">
        <v>11603</v>
      </c>
      <c r="H2397" s="51" t="s">
        <v>11604</v>
      </c>
      <c r="I2397" s="14" t="s">
        <v>147</v>
      </c>
      <c r="J2397" s="14">
        <v>27.124032</v>
      </c>
      <c r="K2397" s="14">
        <v>31.5711109</v>
      </c>
      <c r="L2397" s="14">
        <v>26.30149929</v>
      </c>
      <c r="M2397" s="14">
        <v>58.08478015</v>
      </c>
      <c r="N2397" s="14">
        <v>52.66740691</v>
      </c>
      <c r="O2397" s="14">
        <v>51.92993499</v>
      </c>
      <c r="P2397" s="14" t="s">
        <v>11605</v>
      </c>
      <c r="Q2397" s="14" t="s">
        <v>11606</v>
      </c>
      <c r="T2397" s="14" t="s">
        <v>11607</v>
      </c>
      <c r="U2397" s="14" t="s">
        <v>11608</v>
      </c>
    </row>
    <row r="2398" spans="1:21">
      <c r="A2398" s="14" t="s">
        <v>11609</v>
      </c>
      <c r="B2398" s="14">
        <v>730.4891875</v>
      </c>
      <c r="C2398" s="14">
        <v>454.0410822</v>
      </c>
      <c r="D2398" s="14">
        <v>1006.937293</v>
      </c>
      <c r="E2398" s="14">
        <v>2.215828986</v>
      </c>
      <c r="F2398" s="14">
        <v>1.147846541</v>
      </c>
      <c r="G2398" s="51" t="s">
        <v>8096</v>
      </c>
      <c r="H2398" s="51" t="s">
        <v>11610</v>
      </c>
      <c r="I2398" s="14" t="s">
        <v>164</v>
      </c>
      <c r="J2398" s="14">
        <v>8.214049748</v>
      </c>
      <c r="K2398" s="14">
        <v>8.608270826</v>
      </c>
      <c r="L2398" s="14">
        <v>8.984046523</v>
      </c>
      <c r="M2398" s="14">
        <v>2.504276533</v>
      </c>
      <c r="N2398" s="14">
        <v>3.076104971</v>
      </c>
      <c r="O2398" s="14">
        <v>4.093012085</v>
      </c>
      <c r="P2398" s="14" t="s">
        <v>11611</v>
      </c>
      <c r="Q2398" s="14" t="s">
        <v>11612</v>
      </c>
      <c r="T2398" s="14" t="s">
        <v>2621</v>
      </c>
      <c r="U2398" s="14" t="s">
        <v>2622</v>
      </c>
    </row>
    <row r="2399" spans="1:21">
      <c r="A2399" s="14" t="s">
        <v>11613</v>
      </c>
      <c r="B2399" s="14">
        <v>1250.707083</v>
      </c>
      <c r="C2399" s="14">
        <v>740.3876113</v>
      </c>
      <c r="D2399" s="14">
        <v>1761.026556</v>
      </c>
      <c r="E2399" s="14">
        <v>2.377758026</v>
      </c>
      <c r="F2399" s="14">
        <v>1.249601906</v>
      </c>
      <c r="G2399" s="14">
        <v>0.001287073</v>
      </c>
      <c r="H2399" s="14">
        <v>0.004569788</v>
      </c>
      <c r="I2399" s="14" t="s">
        <v>164</v>
      </c>
      <c r="J2399" s="14">
        <v>26.50398768</v>
      </c>
      <c r="K2399" s="14">
        <v>17.67267996</v>
      </c>
      <c r="L2399" s="14">
        <v>17.18288093</v>
      </c>
      <c r="M2399" s="14">
        <v>4.413183663</v>
      </c>
      <c r="N2399" s="14">
        <v>5.358562334</v>
      </c>
      <c r="O2399" s="14">
        <v>12.03775305</v>
      </c>
      <c r="P2399" s="14" t="s">
        <v>11614</v>
      </c>
      <c r="Q2399" s="14" t="s">
        <v>11615</v>
      </c>
      <c r="R2399" s="14" t="s">
        <v>5641</v>
      </c>
      <c r="S2399" s="14" t="s">
        <v>5642</v>
      </c>
      <c r="T2399" s="14" t="s">
        <v>11616</v>
      </c>
      <c r="U2399" s="14" t="s">
        <v>11617</v>
      </c>
    </row>
    <row r="2400" spans="1:21">
      <c r="A2400" s="14" t="s">
        <v>11618</v>
      </c>
      <c r="B2400" s="14">
        <v>51.13675258</v>
      </c>
      <c r="C2400" s="14">
        <v>20.86927289</v>
      </c>
      <c r="D2400" s="14">
        <v>81.40423227</v>
      </c>
      <c r="E2400" s="14">
        <v>3.90921785</v>
      </c>
      <c r="F2400" s="14">
        <v>1.966879984</v>
      </c>
      <c r="G2400" s="14">
        <v>0.004013922</v>
      </c>
      <c r="H2400" s="14">
        <v>0.012243149</v>
      </c>
      <c r="I2400" s="14" t="s">
        <v>164</v>
      </c>
      <c r="J2400" s="14">
        <v>1.732056319</v>
      </c>
      <c r="K2400" s="14">
        <v>1.289807677</v>
      </c>
      <c r="L2400" s="14">
        <v>0.43387563</v>
      </c>
      <c r="M2400" s="14">
        <v>0.289158675</v>
      </c>
      <c r="N2400" s="14">
        <v>0.288972312</v>
      </c>
      <c r="O2400" s="14">
        <v>0.141454</v>
      </c>
      <c r="P2400" s="14" t="s">
        <v>11619</v>
      </c>
      <c r="Q2400" s="14" t="s">
        <v>11620</v>
      </c>
      <c r="R2400" s="14" t="s">
        <v>11621</v>
      </c>
      <c r="S2400" s="14" t="s">
        <v>11622</v>
      </c>
      <c r="T2400" s="14" t="s">
        <v>11623</v>
      </c>
      <c r="U2400" s="14" t="s">
        <v>11624</v>
      </c>
    </row>
    <row r="2401" spans="1:15">
      <c r="A2401" s="14" t="s">
        <v>11625</v>
      </c>
      <c r="B2401" s="14">
        <v>8.301055849</v>
      </c>
      <c r="C2401" s="14">
        <v>2.223419981</v>
      </c>
      <c r="D2401" s="14">
        <v>14.37869172</v>
      </c>
      <c r="E2401" s="14">
        <v>6.320453753</v>
      </c>
      <c r="F2401" s="14">
        <v>2.660028135</v>
      </c>
      <c r="G2401" s="14">
        <v>0.015451984</v>
      </c>
      <c r="H2401" s="14">
        <v>0.039069722</v>
      </c>
      <c r="I2401" s="14" t="s">
        <v>164</v>
      </c>
      <c r="J2401" s="14">
        <v>0.662320907</v>
      </c>
      <c r="K2401" s="14">
        <v>0.385952818</v>
      </c>
      <c r="L2401" s="14">
        <v>0.469895493</v>
      </c>
      <c r="M2401" s="14">
        <v>0</v>
      </c>
      <c r="N2401" s="14">
        <v>0.057227422</v>
      </c>
      <c r="O2401" s="14">
        <v>0.145902239</v>
      </c>
    </row>
    <row r="2402" spans="1:15">
      <c r="A2402" s="14" t="s">
        <v>11626</v>
      </c>
      <c r="B2402" s="14">
        <v>17.57370016</v>
      </c>
      <c r="C2402" s="14">
        <v>8.524386393</v>
      </c>
      <c r="D2402" s="14">
        <v>26.62301392</v>
      </c>
      <c r="E2402" s="14">
        <v>3.138576317</v>
      </c>
      <c r="F2402" s="14">
        <v>1.65011029</v>
      </c>
      <c r="G2402" s="14">
        <v>0.010262279</v>
      </c>
      <c r="H2402" s="14">
        <v>0.02760942</v>
      </c>
      <c r="I2402" s="14" t="s">
        <v>164</v>
      </c>
      <c r="J2402" s="14">
        <v>0.301227186</v>
      </c>
      <c r="K2402" s="14">
        <v>0.548637052</v>
      </c>
      <c r="L2402" s="14">
        <v>0.303847685</v>
      </c>
      <c r="M2402" s="14">
        <v>0.122727802</v>
      </c>
      <c r="N2402" s="14">
        <v>0.10596848</v>
      </c>
      <c r="O2402" s="14">
        <v>0.072044895</v>
      </c>
    </row>
    <row r="2403" spans="1:15">
      <c r="A2403" s="14" t="s">
        <v>11627</v>
      </c>
      <c r="B2403" s="14">
        <v>1412.669937</v>
      </c>
      <c r="C2403" s="14">
        <v>383.776037</v>
      </c>
      <c r="D2403" s="14">
        <v>2441.563836</v>
      </c>
      <c r="E2403" s="14">
        <v>6.364753056</v>
      </c>
      <c r="F2403" s="14">
        <v>2.670104541</v>
      </c>
      <c r="G2403" s="51" t="s">
        <v>11628</v>
      </c>
      <c r="H2403" s="51" t="s">
        <v>11629</v>
      </c>
      <c r="I2403" s="14" t="s">
        <v>164</v>
      </c>
      <c r="J2403" s="14">
        <v>28.69756326</v>
      </c>
      <c r="K2403" s="14">
        <v>36.77786696</v>
      </c>
      <c r="L2403" s="14">
        <v>22.04574824</v>
      </c>
      <c r="M2403" s="14">
        <v>4.293560699</v>
      </c>
      <c r="N2403" s="14">
        <v>4.567108432</v>
      </c>
      <c r="O2403" s="14">
        <v>2.303956251</v>
      </c>
    </row>
    <row r="2404" spans="1:21">
      <c r="A2404" s="14" t="s">
        <v>11630</v>
      </c>
      <c r="B2404" s="14">
        <v>196.5293052</v>
      </c>
      <c r="C2404" s="14">
        <v>118.0771399</v>
      </c>
      <c r="D2404" s="14">
        <v>274.9814705</v>
      </c>
      <c r="E2404" s="14">
        <v>2.331832397</v>
      </c>
      <c r="F2404" s="14">
        <v>1.221464097</v>
      </c>
      <c r="G2404" s="51" t="s">
        <v>11631</v>
      </c>
      <c r="H2404" s="51" t="s">
        <v>11632</v>
      </c>
      <c r="I2404" s="14" t="s">
        <v>164</v>
      </c>
      <c r="J2404" s="14">
        <v>1.623322795</v>
      </c>
      <c r="K2404" s="14">
        <v>1.65345184</v>
      </c>
      <c r="L2404" s="14">
        <v>2.11723207</v>
      </c>
      <c r="M2404" s="14">
        <v>0.647418512</v>
      </c>
      <c r="N2404" s="14">
        <v>0.605195017</v>
      </c>
      <c r="O2404" s="14">
        <v>0.649665047</v>
      </c>
      <c r="P2404" s="14" t="s">
        <v>11633</v>
      </c>
      <c r="Q2404" s="14" t="s">
        <v>11634</v>
      </c>
      <c r="T2404" s="14" t="s">
        <v>11635</v>
      </c>
      <c r="U2404" s="14" t="s">
        <v>11636</v>
      </c>
    </row>
    <row r="2405" spans="1:15">
      <c r="A2405" s="14" t="s">
        <v>11637</v>
      </c>
      <c r="B2405" s="14">
        <v>343.2665219</v>
      </c>
      <c r="C2405" s="14">
        <v>184.6050028</v>
      </c>
      <c r="D2405" s="14">
        <v>501.928041</v>
      </c>
      <c r="E2405" s="14">
        <v>2.716680069</v>
      </c>
      <c r="F2405" s="14">
        <v>1.441844676</v>
      </c>
      <c r="G2405" s="51" t="s">
        <v>11638</v>
      </c>
      <c r="H2405" s="51" t="s">
        <v>6534</v>
      </c>
      <c r="I2405" s="14" t="s">
        <v>164</v>
      </c>
      <c r="J2405" s="14">
        <v>10.84539088</v>
      </c>
      <c r="K2405" s="14">
        <v>13.9749936</v>
      </c>
      <c r="L2405" s="14">
        <v>17.63678245</v>
      </c>
      <c r="M2405" s="14">
        <v>2.671663249</v>
      </c>
      <c r="N2405" s="14">
        <v>4.760124032</v>
      </c>
      <c r="O2405" s="14">
        <v>5.554559897</v>
      </c>
    </row>
    <row r="2406" spans="1:21">
      <c r="A2406" s="14" t="s">
        <v>11639</v>
      </c>
      <c r="B2406" s="14">
        <v>4095.952762</v>
      </c>
      <c r="C2406" s="14">
        <v>5472.398233</v>
      </c>
      <c r="D2406" s="14">
        <v>2719.507291</v>
      </c>
      <c r="E2406" s="14">
        <v>0.496982834</v>
      </c>
      <c r="F2406" s="14">
        <v>-1.008732074</v>
      </c>
      <c r="G2406" s="51" t="s">
        <v>11640</v>
      </c>
      <c r="H2406" s="51" t="s">
        <v>4491</v>
      </c>
      <c r="I2406" s="14" t="s">
        <v>147</v>
      </c>
      <c r="J2406" s="14">
        <v>19.15193358</v>
      </c>
      <c r="K2406" s="14">
        <v>22.23091118</v>
      </c>
      <c r="L2406" s="14">
        <v>21.23687296</v>
      </c>
      <c r="M2406" s="14">
        <v>36.07716566</v>
      </c>
      <c r="N2406" s="14">
        <v>35.51043989</v>
      </c>
      <c r="O2406" s="14">
        <v>31.63772976</v>
      </c>
      <c r="P2406" s="14" t="s">
        <v>11641</v>
      </c>
      <c r="Q2406" s="14" t="s">
        <v>11642</v>
      </c>
      <c r="T2406" s="14" t="s">
        <v>7960</v>
      </c>
      <c r="U2406" s="14" t="s">
        <v>7961</v>
      </c>
    </row>
    <row r="2407" spans="1:21">
      <c r="A2407" s="14" t="s">
        <v>11643</v>
      </c>
      <c r="B2407" s="14">
        <v>3931.025561</v>
      </c>
      <c r="C2407" s="14">
        <v>5400.602977</v>
      </c>
      <c r="D2407" s="14">
        <v>2461.448146</v>
      </c>
      <c r="E2407" s="14">
        <v>0.45578847</v>
      </c>
      <c r="F2407" s="14">
        <v>-1.133563666</v>
      </c>
      <c r="G2407" s="51" t="s">
        <v>8468</v>
      </c>
      <c r="H2407" s="51" t="s">
        <v>11644</v>
      </c>
      <c r="I2407" s="14" t="s">
        <v>147</v>
      </c>
      <c r="J2407" s="14">
        <v>77.87356739</v>
      </c>
      <c r="K2407" s="14">
        <v>84.0623918</v>
      </c>
      <c r="L2407" s="14">
        <v>72.94663596</v>
      </c>
      <c r="M2407" s="14">
        <v>149.3874639</v>
      </c>
      <c r="N2407" s="14">
        <v>153.6971338</v>
      </c>
      <c r="O2407" s="14">
        <v>118.10363</v>
      </c>
      <c r="P2407" s="14" t="s">
        <v>11645</v>
      </c>
      <c r="Q2407" s="14" t="s">
        <v>11646</v>
      </c>
      <c r="T2407" s="14" t="s">
        <v>11647</v>
      </c>
      <c r="U2407" s="14" t="s">
        <v>11648</v>
      </c>
    </row>
    <row r="2408" spans="1:21">
      <c r="A2408" s="14" t="s">
        <v>11649</v>
      </c>
      <c r="B2408" s="14">
        <v>1635.154238</v>
      </c>
      <c r="C2408" s="14">
        <v>2473.06454</v>
      </c>
      <c r="D2408" s="14">
        <v>797.2439359</v>
      </c>
      <c r="E2408" s="14">
        <v>0.322366858</v>
      </c>
      <c r="F2408" s="14">
        <v>-1.633224664</v>
      </c>
      <c r="G2408" s="51" t="s">
        <v>11650</v>
      </c>
      <c r="H2408" s="51" t="s">
        <v>8715</v>
      </c>
      <c r="I2408" s="14" t="s">
        <v>147</v>
      </c>
      <c r="J2408" s="14">
        <v>4.962508255</v>
      </c>
      <c r="K2408" s="14">
        <v>7.720089419</v>
      </c>
      <c r="L2408" s="14">
        <v>5.199539534</v>
      </c>
      <c r="M2408" s="14">
        <v>17.12955556</v>
      </c>
      <c r="N2408" s="14">
        <v>15.42302777</v>
      </c>
      <c r="O2408" s="14">
        <v>12.8100682</v>
      </c>
      <c r="P2408" s="14" t="s">
        <v>11651</v>
      </c>
      <c r="Q2408" s="14" t="s">
        <v>11652</v>
      </c>
      <c r="T2408" s="14" t="s">
        <v>11653</v>
      </c>
      <c r="U2408" s="14" t="s">
        <v>11654</v>
      </c>
    </row>
    <row r="2409" spans="1:21">
      <c r="A2409" s="14" t="s">
        <v>11655</v>
      </c>
      <c r="B2409" s="14">
        <v>3.923650088</v>
      </c>
      <c r="C2409" s="14">
        <v>7.198333921</v>
      </c>
      <c r="D2409" s="14">
        <v>0.648966256</v>
      </c>
      <c r="E2409" s="14">
        <v>0.090832786</v>
      </c>
      <c r="F2409" s="14">
        <v>-3.460643061</v>
      </c>
      <c r="G2409" s="14">
        <v>0.020395338</v>
      </c>
      <c r="H2409" s="14">
        <v>0.049381835</v>
      </c>
      <c r="I2409" s="14" t="s">
        <v>147</v>
      </c>
      <c r="J2409" s="14">
        <v>0</v>
      </c>
      <c r="K2409" s="14">
        <v>0.026166851</v>
      </c>
      <c r="L2409" s="14">
        <v>0.025031286</v>
      </c>
      <c r="M2409" s="14">
        <v>0.22242975</v>
      </c>
      <c r="N2409" s="14">
        <v>0.128036963</v>
      </c>
      <c r="O2409" s="14">
        <v>0.108810769</v>
      </c>
      <c r="P2409" s="14" t="s">
        <v>9388</v>
      </c>
      <c r="Q2409" s="14" t="s">
        <v>9389</v>
      </c>
      <c r="T2409" s="14" t="s">
        <v>9390</v>
      </c>
      <c r="U2409" s="14" t="s">
        <v>9391</v>
      </c>
    </row>
    <row r="2410" spans="1:21">
      <c r="A2410" s="14" t="s">
        <v>11656</v>
      </c>
      <c r="B2410" s="14">
        <v>132904.8499</v>
      </c>
      <c r="C2410" s="14">
        <v>216401.7563</v>
      </c>
      <c r="D2410" s="14">
        <v>49407.94343</v>
      </c>
      <c r="E2410" s="14">
        <v>0.228315403</v>
      </c>
      <c r="F2410" s="14">
        <v>-2.130899901</v>
      </c>
      <c r="G2410" s="51" t="s">
        <v>11657</v>
      </c>
      <c r="H2410" s="51" t="s">
        <v>11658</v>
      </c>
      <c r="I2410" s="14" t="s">
        <v>147</v>
      </c>
      <c r="J2410" s="14">
        <v>749.1679368</v>
      </c>
      <c r="K2410" s="14">
        <v>884.1005291</v>
      </c>
      <c r="L2410" s="14">
        <v>696.6485738</v>
      </c>
      <c r="M2410" s="14">
        <v>2924.029115</v>
      </c>
      <c r="N2410" s="14">
        <v>2719.231305</v>
      </c>
      <c r="O2410" s="14">
        <v>2743.993753</v>
      </c>
      <c r="P2410" s="14" t="s">
        <v>11659</v>
      </c>
      <c r="Q2410" s="14" t="s">
        <v>11660</v>
      </c>
      <c r="R2410" s="14" t="s">
        <v>3487</v>
      </c>
      <c r="S2410" s="14" t="s">
        <v>3488</v>
      </c>
      <c r="T2410" s="14" t="s">
        <v>3489</v>
      </c>
      <c r="U2410" s="14" t="s">
        <v>3490</v>
      </c>
    </row>
    <row r="2411" spans="1:21">
      <c r="A2411" s="14" t="s">
        <v>11661</v>
      </c>
      <c r="B2411" s="14">
        <v>131.3464372</v>
      </c>
      <c r="C2411" s="14">
        <v>184.5199233</v>
      </c>
      <c r="D2411" s="14">
        <v>78.1729511</v>
      </c>
      <c r="E2411" s="14">
        <v>0.423390147</v>
      </c>
      <c r="F2411" s="14">
        <v>-1.239940398</v>
      </c>
      <c r="G2411" s="14">
        <v>0.000377771</v>
      </c>
      <c r="H2411" s="14">
        <v>0.001551946</v>
      </c>
      <c r="I2411" s="14" t="s">
        <v>147</v>
      </c>
      <c r="J2411" s="14">
        <v>0.744105472</v>
      </c>
      <c r="K2411" s="14">
        <v>0.738843244</v>
      </c>
      <c r="L2411" s="14">
        <v>0.900417875</v>
      </c>
      <c r="M2411" s="14">
        <v>1.264701983</v>
      </c>
      <c r="N2411" s="14">
        <v>1.097776036</v>
      </c>
      <c r="O2411" s="14">
        <v>2.348464889</v>
      </c>
      <c r="P2411" s="14" t="s">
        <v>11662</v>
      </c>
      <c r="Q2411" s="14" t="s">
        <v>11663</v>
      </c>
      <c r="T2411" s="14" t="s">
        <v>11664</v>
      </c>
      <c r="U2411" s="14" t="s">
        <v>11665</v>
      </c>
    </row>
    <row r="2412" spans="1:21">
      <c r="A2412" s="14" t="s">
        <v>11666</v>
      </c>
      <c r="B2412" s="14">
        <v>1600.909089</v>
      </c>
      <c r="C2412" s="14">
        <v>395.3643843</v>
      </c>
      <c r="D2412" s="14">
        <v>2806.453793</v>
      </c>
      <c r="E2412" s="14">
        <v>7.095687363</v>
      </c>
      <c r="F2412" s="14">
        <v>2.826942446</v>
      </c>
      <c r="G2412" s="51" t="s">
        <v>11667</v>
      </c>
      <c r="H2412" s="51" t="s">
        <v>11668</v>
      </c>
      <c r="I2412" s="14" t="s">
        <v>164</v>
      </c>
      <c r="J2412" s="14">
        <v>57.17204677</v>
      </c>
      <c r="K2412" s="14">
        <v>33.3952988</v>
      </c>
      <c r="L2412" s="14">
        <v>58.15860864</v>
      </c>
      <c r="M2412" s="14">
        <v>4.512114318</v>
      </c>
      <c r="N2412" s="14">
        <v>5.561553474</v>
      </c>
      <c r="O2412" s="14">
        <v>7.308902344</v>
      </c>
      <c r="P2412" s="14" t="s">
        <v>11669</v>
      </c>
      <c r="Q2412" s="14" t="s">
        <v>11670</v>
      </c>
      <c r="T2412" s="14" t="s">
        <v>8362</v>
      </c>
      <c r="U2412" s="14" t="s">
        <v>8363</v>
      </c>
    </row>
    <row r="2413" spans="1:21">
      <c r="A2413" s="14" t="s">
        <v>11671</v>
      </c>
      <c r="B2413" s="14">
        <v>17851.37215</v>
      </c>
      <c r="C2413" s="14">
        <v>25423.64915</v>
      </c>
      <c r="D2413" s="14">
        <v>10279.09515</v>
      </c>
      <c r="E2413" s="14">
        <v>0.404308822</v>
      </c>
      <c r="F2413" s="14">
        <v>-1.306470411</v>
      </c>
      <c r="G2413" s="14">
        <v>0.000120952</v>
      </c>
      <c r="H2413" s="14">
        <v>0.000562095</v>
      </c>
      <c r="I2413" s="14" t="s">
        <v>147</v>
      </c>
      <c r="J2413" s="14">
        <v>157.9146312</v>
      </c>
      <c r="K2413" s="14">
        <v>164.8199125</v>
      </c>
      <c r="L2413" s="14">
        <v>185.1353693</v>
      </c>
      <c r="M2413" s="14">
        <v>229.2436366</v>
      </c>
      <c r="N2413" s="14">
        <v>246.292856</v>
      </c>
      <c r="O2413" s="14">
        <v>584.3691077</v>
      </c>
      <c r="P2413" s="14" t="s">
        <v>11672</v>
      </c>
      <c r="Q2413" s="14" t="s">
        <v>11673</v>
      </c>
      <c r="R2413" s="14" t="s">
        <v>11674</v>
      </c>
      <c r="S2413" s="14" t="s">
        <v>11675</v>
      </c>
      <c r="T2413" s="14" t="s">
        <v>11676</v>
      </c>
      <c r="U2413" s="14" t="s">
        <v>11677</v>
      </c>
    </row>
    <row r="2414" spans="1:15">
      <c r="A2414" s="14" t="s">
        <v>11678</v>
      </c>
      <c r="B2414" s="14">
        <v>33.04730237</v>
      </c>
      <c r="C2414" s="14">
        <v>62.14842143</v>
      </c>
      <c r="D2414" s="14">
        <v>3.946183306</v>
      </c>
      <c r="E2414" s="14">
        <v>0.063432164</v>
      </c>
      <c r="F2414" s="14">
        <v>-3.97864162</v>
      </c>
      <c r="G2414" s="51" t="s">
        <v>11679</v>
      </c>
      <c r="H2414" s="14">
        <v>0.000290965</v>
      </c>
      <c r="I2414" s="14" t="s">
        <v>147</v>
      </c>
      <c r="J2414" s="14">
        <v>0.070922332</v>
      </c>
      <c r="K2414" s="14">
        <v>0.089231807</v>
      </c>
      <c r="L2414" s="14">
        <v>0.051215645</v>
      </c>
      <c r="M2414" s="14">
        <v>1.395657737</v>
      </c>
      <c r="N2414" s="14">
        <v>1.106103923</v>
      </c>
      <c r="O2414" s="14">
        <v>0.148422623</v>
      </c>
    </row>
    <row r="2415" spans="1:21">
      <c r="A2415" s="14" t="s">
        <v>11680</v>
      </c>
      <c r="B2415" s="14">
        <v>3083.658131</v>
      </c>
      <c r="C2415" s="14">
        <v>4791.465143</v>
      </c>
      <c r="D2415" s="14">
        <v>1375.851119</v>
      </c>
      <c r="E2415" s="14">
        <v>0.287159248</v>
      </c>
      <c r="F2415" s="14">
        <v>-1.800077068</v>
      </c>
      <c r="G2415" s="51" t="s">
        <v>2603</v>
      </c>
      <c r="H2415" s="51" t="s">
        <v>11681</v>
      </c>
      <c r="I2415" s="14" t="s">
        <v>147</v>
      </c>
      <c r="J2415" s="14">
        <v>24.67168014</v>
      </c>
      <c r="K2415" s="14">
        <v>26.11879874</v>
      </c>
      <c r="L2415" s="14">
        <v>24.17095777</v>
      </c>
      <c r="M2415" s="14">
        <v>81.5258474</v>
      </c>
      <c r="N2415" s="14">
        <v>80.20850603</v>
      </c>
      <c r="O2415" s="14">
        <v>50.41898206</v>
      </c>
      <c r="P2415" s="14" t="s">
        <v>11682</v>
      </c>
      <c r="Q2415" s="14" t="s">
        <v>11683</v>
      </c>
      <c r="T2415" s="14" t="s">
        <v>11684</v>
      </c>
      <c r="U2415" s="14" t="s">
        <v>11685</v>
      </c>
    </row>
    <row r="2416" spans="1:21">
      <c r="A2416" s="14" t="s">
        <v>11686</v>
      </c>
      <c r="B2416" s="14">
        <v>98.25402965</v>
      </c>
      <c r="C2416" s="14">
        <v>17.27556183</v>
      </c>
      <c r="D2416" s="14">
        <v>179.2324975</v>
      </c>
      <c r="E2416" s="14">
        <v>10.30486707</v>
      </c>
      <c r="F2416" s="14">
        <v>3.365253989</v>
      </c>
      <c r="G2416" s="51" t="s">
        <v>11687</v>
      </c>
      <c r="H2416" s="51" t="s">
        <v>11688</v>
      </c>
      <c r="I2416" s="14" t="s">
        <v>164</v>
      </c>
      <c r="J2416" s="14">
        <v>2.952076171</v>
      </c>
      <c r="K2416" s="14">
        <v>1.301406478</v>
      </c>
      <c r="L2416" s="14">
        <v>1.961039025</v>
      </c>
      <c r="M2416" s="14">
        <v>0.08810863</v>
      </c>
      <c r="N2416" s="14">
        <v>0.131490754</v>
      </c>
      <c r="O2416" s="14">
        <v>0.287346689</v>
      </c>
      <c r="P2416" s="14" t="s">
        <v>5524</v>
      </c>
      <c r="Q2416" s="14" t="s">
        <v>5525</v>
      </c>
      <c r="T2416" s="14" t="s">
        <v>5526</v>
      </c>
      <c r="U2416" s="14" t="s">
        <v>5527</v>
      </c>
    </row>
    <row r="2417" spans="1:21">
      <c r="A2417" s="14" t="s">
        <v>11689</v>
      </c>
      <c r="B2417" s="14">
        <v>76.32963251</v>
      </c>
      <c r="C2417" s="14">
        <v>39.54736784</v>
      </c>
      <c r="D2417" s="14">
        <v>113.1118972</v>
      </c>
      <c r="E2417" s="14">
        <v>2.87008504</v>
      </c>
      <c r="F2417" s="14">
        <v>1.521093484</v>
      </c>
      <c r="G2417" s="51" t="s">
        <v>11690</v>
      </c>
      <c r="H2417" s="51" t="s">
        <v>11691</v>
      </c>
      <c r="I2417" s="14" t="s">
        <v>164</v>
      </c>
      <c r="J2417" s="14">
        <v>3.692835562</v>
      </c>
      <c r="K2417" s="14">
        <v>3.549519148</v>
      </c>
      <c r="L2417" s="14">
        <v>4.1642685</v>
      </c>
      <c r="M2417" s="14">
        <v>1.195513176</v>
      </c>
      <c r="N2417" s="14">
        <v>1.065027751</v>
      </c>
      <c r="O2417" s="14">
        <v>1.002574331</v>
      </c>
      <c r="P2417" s="14" t="s">
        <v>11692</v>
      </c>
      <c r="Q2417" s="14" t="s">
        <v>11693</v>
      </c>
      <c r="T2417" s="14" t="s">
        <v>11694</v>
      </c>
      <c r="U2417" s="14" t="s">
        <v>11695</v>
      </c>
    </row>
    <row r="2418" spans="1:21">
      <c r="A2418" s="14" t="s">
        <v>11696</v>
      </c>
      <c r="B2418" s="14">
        <v>35.61587304</v>
      </c>
      <c r="C2418" s="14">
        <v>20.65416053</v>
      </c>
      <c r="D2418" s="14">
        <v>50.57758556</v>
      </c>
      <c r="E2418" s="14">
        <v>2.445255553</v>
      </c>
      <c r="F2418" s="14">
        <v>1.289985249</v>
      </c>
      <c r="G2418" s="14">
        <v>0.006854002</v>
      </c>
      <c r="H2418" s="14">
        <v>0.019487684</v>
      </c>
      <c r="I2418" s="14" t="s">
        <v>164</v>
      </c>
      <c r="J2418" s="14">
        <v>0.910831808</v>
      </c>
      <c r="K2418" s="14">
        <v>0.780960247</v>
      </c>
      <c r="L2418" s="14">
        <v>0.893234521</v>
      </c>
      <c r="M2418" s="14">
        <v>0.317493761</v>
      </c>
      <c r="N2418" s="14">
        <v>0.152298786</v>
      </c>
      <c r="O2418" s="14">
        <v>0.409467575</v>
      </c>
      <c r="P2418" s="14" t="s">
        <v>11697</v>
      </c>
      <c r="Q2418" s="14" t="s">
        <v>11698</v>
      </c>
      <c r="T2418" s="14" t="s">
        <v>11699</v>
      </c>
      <c r="U2418" s="14" t="s">
        <v>11700</v>
      </c>
    </row>
    <row r="2419" spans="1:21">
      <c r="A2419" s="14" t="s">
        <v>11701</v>
      </c>
      <c r="B2419" s="14">
        <v>500.5327923</v>
      </c>
      <c r="C2419" s="14">
        <v>213.7000584</v>
      </c>
      <c r="D2419" s="14">
        <v>787.3655263</v>
      </c>
      <c r="E2419" s="14">
        <v>3.68200473</v>
      </c>
      <c r="F2419" s="14">
        <v>1.88049148</v>
      </c>
      <c r="G2419" s="51" t="s">
        <v>11702</v>
      </c>
      <c r="H2419" s="51" t="s">
        <v>11309</v>
      </c>
      <c r="I2419" s="14" t="s">
        <v>164</v>
      </c>
      <c r="J2419" s="14">
        <v>20.92255096</v>
      </c>
      <c r="K2419" s="14">
        <v>9.957137569</v>
      </c>
      <c r="L2419" s="14">
        <v>10.17219795</v>
      </c>
      <c r="M2419" s="14">
        <v>2.300321995</v>
      </c>
      <c r="N2419" s="14">
        <v>2.447379834</v>
      </c>
      <c r="O2419" s="14">
        <v>4.602181267</v>
      </c>
      <c r="P2419" s="14" t="s">
        <v>11703</v>
      </c>
      <c r="Q2419" s="14" t="s">
        <v>11704</v>
      </c>
      <c r="T2419" s="14" t="s">
        <v>11705</v>
      </c>
      <c r="U2419" s="14" t="s">
        <v>11706</v>
      </c>
    </row>
    <row r="2420" spans="1:15">
      <c r="A2420" s="14" t="s">
        <v>11707</v>
      </c>
      <c r="B2420" s="14">
        <v>13.30863569</v>
      </c>
      <c r="C2420" s="14">
        <v>22.69467182</v>
      </c>
      <c r="D2420" s="14">
        <v>3.922599574</v>
      </c>
      <c r="E2420" s="14">
        <v>0.173323573</v>
      </c>
      <c r="F2420" s="14">
        <v>-2.528460211</v>
      </c>
      <c r="G2420" s="14">
        <v>0.001327882</v>
      </c>
      <c r="H2420" s="14">
        <v>0.004695961</v>
      </c>
      <c r="I2420" s="14" t="s">
        <v>147</v>
      </c>
      <c r="J2420" s="14">
        <v>0.193458297</v>
      </c>
      <c r="K2420" s="14">
        <v>0.194721555</v>
      </c>
      <c r="L2420" s="14">
        <v>0.186271213</v>
      </c>
      <c r="M2420" s="14">
        <v>1.282794679</v>
      </c>
      <c r="N2420" s="14">
        <v>0.873392337</v>
      </c>
      <c r="O2420" s="14">
        <v>0.526317502</v>
      </c>
    </row>
    <row r="2421" spans="1:21">
      <c r="A2421" s="14" t="s">
        <v>11708</v>
      </c>
      <c r="B2421" s="14">
        <v>934.8685681</v>
      </c>
      <c r="C2421" s="14">
        <v>1362.042459</v>
      </c>
      <c r="D2421" s="14">
        <v>507.6946772</v>
      </c>
      <c r="E2421" s="14">
        <v>0.372738849</v>
      </c>
      <c r="F2421" s="14">
        <v>-1.423762902</v>
      </c>
      <c r="G2421" s="51" t="s">
        <v>11709</v>
      </c>
      <c r="H2421" s="14">
        <v>0.000131082</v>
      </c>
      <c r="I2421" s="14" t="s">
        <v>147</v>
      </c>
      <c r="J2421" s="14">
        <v>2.96162597</v>
      </c>
      <c r="K2421" s="14">
        <v>5.486814758</v>
      </c>
      <c r="L2421" s="14">
        <v>3.23279063</v>
      </c>
      <c r="M2421" s="14">
        <v>9.556058688</v>
      </c>
      <c r="N2421" s="14">
        <v>9.367885365</v>
      </c>
      <c r="O2421" s="14">
        <v>6.659996308</v>
      </c>
      <c r="P2421" s="14" t="s">
        <v>11710</v>
      </c>
      <c r="Q2421" s="14" t="s">
        <v>11711</v>
      </c>
      <c r="T2421" s="14" t="s">
        <v>11712</v>
      </c>
      <c r="U2421" s="14" t="s">
        <v>11713</v>
      </c>
    </row>
    <row r="2422" spans="1:21">
      <c r="A2422" s="14" t="s">
        <v>11714</v>
      </c>
      <c r="B2422" s="14">
        <v>215.6489016</v>
      </c>
      <c r="C2422" s="14">
        <v>102.7846826</v>
      </c>
      <c r="D2422" s="14">
        <v>328.5131206</v>
      </c>
      <c r="E2422" s="14">
        <v>3.192022482</v>
      </c>
      <c r="F2422" s="14">
        <v>1.674470813</v>
      </c>
      <c r="G2422" s="51" t="s">
        <v>11715</v>
      </c>
      <c r="H2422" s="51" t="s">
        <v>11716</v>
      </c>
      <c r="I2422" s="14" t="s">
        <v>164</v>
      </c>
      <c r="J2422" s="14">
        <v>7.162418807</v>
      </c>
      <c r="K2422" s="14">
        <v>5.028752719</v>
      </c>
      <c r="L2422" s="14">
        <v>7.253361673</v>
      </c>
      <c r="M2422" s="14">
        <v>1.402623206</v>
      </c>
      <c r="N2422" s="14">
        <v>1.521866577</v>
      </c>
      <c r="O2422" s="14">
        <v>2.123802314</v>
      </c>
      <c r="P2422" s="14" t="s">
        <v>5567</v>
      </c>
      <c r="Q2422" s="14" t="s">
        <v>5568</v>
      </c>
      <c r="T2422" s="14" t="s">
        <v>5569</v>
      </c>
      <c r="U2422" s="14" t="s">
        <v>5570</v>
      </c>
    </row>
    <row r="2423" spans="1:21">
      <c r="A2423" s="14" t="s">
        <v>11717</v>
      </c>
      <c r="B2423" s="14">
        <v>180.6854921</v>
      </c>
      <c r="C2423" s="14">
        <v>60.39422573</v>
      </c>
      <c r="D2423" s="14">
        <v>300.9767585</v>
      </c>
      <c r="E2423" s="14">
        <v>4.97422499</v>
      </c>
      <c r="F2423" s="14">
        <v>2.314471764</v>
      </c>
      <c r="G2423" s="14">
        <v>0.005733488</v>
      </c>
      <c r="H2423" s="14">
        <v>0.01668801</v>
      </c>
      <c r="I2423" s="14" t="s">
        <v>164</v>
      </c>
      <c r="J2423" s="14">
        <v>3.955591971</v>
      </c>
      <c r="K2423" s="14">
        <v>2.427112788</v>
      </c>
      <c r="L2423" s="14">
        <v>4.472006143</v>
      </c>
      <c r="M2423" s="14">
        <v>0.111796453</v>
      </c>
      <c r="N2423" s="14">
        <v>0.253512821</v>
      </c>
      <c r="O2423" s="14">
        <v>1.531316858</v>
      </c>
      <c r="P2423" s="14" t="s">
        <v>11718</v>
      </c>
      <c r="Q2423" s="14" t="s">
        <v>11719</v>
      </c>
      <c r="T2423" s="14" t="s">
        <v>11720</v>
      </c>
      <c r="U2423" s="14" t="s">
        <v>11721</v>
      </c>
    </row>
    <row r="2424" spans="1:15">
      <c r="A2424" s="14" t="s">
        <v>11722</v>
      </c>
      <c r="B2424" s="14">
        <v>906.5104381</v>
      </c>
      <c r="C2424" s="14">
        <v>1213.720251</v>
      </c>
      <c r="D2424" s="14">
        <v>599.3006249</v>
      </c>
      <c r="E2424" s="14">
        <v>0.493673465</v>
      </c>
      <c r="F2424" s="14">
        <v>-1.018370991</v>
      </c>
      <c r="G2424" s="51" t="s">
        <v>3185</v>
      </c>
      <c r="H2424" s="51" t="s">
        <v>2150</v>
      </c>
      <c r="I2424" s="14" t="s">
        <v>147</v>
      </c>
      <c r="J2424" s="14">
        <v>6.073770613</v>
      </c>
      <c r="K2424" s="14">
        <v>6.315792517</v>
      </c>
      <c r="L2424" s="14">
        <v>6.82621051</v>
      </c>
      <c r="M2424" s="14">
        <v>9.569507055</v>
      </c>
      <c r="N2424" s="14">
        <v>9.354520333</v>
      </c>
      <c r="O2424" s="14">
        <v>13.35749206</v>
      </c>
    </row>
    <row r="2425" spans="1:21">
      <c r="A2425" s="14" t="s">
        <v>11723</v>
      </c>
      <c r="B2425" s="14">
        <v>8.391147137</v>
      </c>
      <c r="C2425" s="14">
        <v>1.394777577</v>
      </c>
      <c r="D2425" s="14">
        <v>15.3875167</v>
      </c>
      <c r="E2425" s="14">
        <v>11.28794979</v>
      </c>
      <c r="F2425" s="14">
        <v>3.496711571</v>
      </c>
      <c r="G2425" s="14">
        <v>0.002069035</v>
      </c>
      <c r="H2425" s="14">
        <v>0.006909154</v>
      </c>
      <c r="I2425" s="14" t="s">
        <v>164</v>
      </c>
      <c r="J2425" s="14">
        <v>1.610229728</v>
      </c>
      <c r="K2425" s="14">
        <v>1.194232655</v>
      </c>
      <c r="L2425" s="14">
        <v>1.142406475</v>
      </c>
      <c r="M2425" s="14">
        <v>0.217532214</v>
      </c>
      <c r="N2425" s="14">
        <v>0</v>
      </c>
      <c r="O2425" s="14">
        <v>0.070943291</v>
      </c>
      <c r="P2425" s="14" t="s">
        <v>11724</v>
      </c>
      <c r="Q2425" s="14" t="s">
        <v>11725</v>
      </c>
      <c r="T2425" s="14" t="s">
        <v>11726</v>
      </c>
      <c r="U2425" s="14" t="s">
        <v>11727</v>
      </c>
    </row>
    <row r="2426" spans="1:15">
      <c r="A2426" s="14" t="s">
        <v>11728</v>
      </c>
      <c r="B2426" s="14">
        <v>1118.363915</v>
      </c>
      <c r="C2426" s="14">
        <v>688.6805786</v>
      </c>
      <c r="D2426" s="14">
        <v>1548.047251</v>
      </c>
      <c r="E2426" s="14">
        <v>2.247113114</v>
      </c>
      <c r="F2426" s="14">
        <v>1.168072748</v>
      </c>
      <c r="G2426" s="14">
        <v>0.007763228</v>
      </c>
      <c r="H2426" s="14">
        <v>0.021671586</v>
      </c>
      <c r="I2426" s="14" t="s">
        <v>164</v>
      </c>
      <c r="J2426" s="14">
        <v>15.57586413</v>
      </c>
      <c r="K2426" s="14">
        <v>15.10553985</v>
      </c>
      <c r="L2426" s="14">
        <v>14.46855333</v>
      </c>
      <c r="M2426" s="14">
        <v>3.354321033</v>
      </c>
      <c r="N2426" s="14">
        <v>3.233886434</v>
      </c>
      <c r="O2426" s="14">
        <v>10.50663477</v>
      </c>
    </row>
    <row r="2427" spans="1:21">
      <c r="A2427" s="14" t="s">
        <v>11729</v>
      </c>
      <c r="B2427" s="14">
        <v>1703.684918</v>
      </c>
      <c r="C2427" s="14">
        <v>2765.90602</v>
      </c>
      <c r="D2427" s="14">
        <v>641.4638169</v>
      </c>
      <c r="E2427" s="14">
        <v>0.231926261</v>
      </c>
      <c r="F2427" s="14">
        <v>-2.10826191</v>
      </c>
      <c r="G2427" s="51" t="s">
        <v>11730</v>
      </c>
      <c r="H2427" s="51" t="s">
        <v>4358</v>
      </c>
      <c r="I2427" s="14" t="s">
        <v>147</v>
      </c>
      <c r="J2427" s="14">
        <v>4.308057745</v>
      </c>
      <c r="K2427" s="14">
        <v>7.009886242</v>
      </c>
      <c r="L2427" s="14">
        <v>5.205507844</v>
      </c>
      <c r="M2427" s="14">
        <v>25.18247809</v>
      </c>
      <c r="N2427" s="14">
        <v>23.83812238</v>
      </c>
      <c r="O2427" s="14">
        <v>8.267345317</v>
      </c>
      <c r="P2427" s="14" t="s">
        <v>11731</v>
      </c>
      <c r="Q2427" s="14" t="s">
        <v>11732</v>
      </c>
      <c r="T2427" s="14" t="s">
        <v>11733</v>
      </c>
      <c r="U2427" s="14" t="s">
        <v>11734</v>
      </c>
    </row>
    <row r="2428" spans="1:21">
      <c r="A2428" s="14" t="s">
        <v>11735</v>
      </c>
      <c r="B2428" s="14">
        <v>800.15622</v>
      </c>
      <c r="C2428" s="14">
        <v>1098.776207</v>
      </c>
      <c r="D2428" s="14">
        <v>501.5362333</v>
      </c>
      <c r="E2428" s="14">
        <v>0.456568627</v>
      </c>
      <c r="F2428" s="14">
        <v>-1.131096368</v>
      </c>
      <c r="G2428" s="51" t="s">
        <v>11736</v>
      </c>
      <c r="H2428" s="51" t="s">
        <v>11737</v>
      </c>
      <c r="I2428" s="14" t="s">
        <v>147</v>
      </c>
      <c r="J2428" s="14">
        <v>5.663368359</v>
      </c>
      <c r="K2428" s="14">
        <v>6.044434894</v>
      </c>
      <c r="L2428" s="14">
        <v>5.595604082</v>
      </c>
      <c r="M2428" s="14">
        <v>11.77750892</v>
      </c>
      <c r="N2428" s="14">
        <v>10.2982888</v>
      </c>
      <c r="O2428" s="14">
        <v>8.899736631</v>
      </c>
      <c r="P2428" s="14" t="s">
        <v>11738</v>
      </c>
      <c r="Q2428" s="14" t="s">
        <v>11739</v>
      </c>
      <c r="T2428" s="14" t="s">
        <v>11740</v>
      </c>
      <c r="U2428" s="14" t="s">
        <v>11741</v>
      </c>
    </row>
    <row r="2429" spans="1:21">
      <c r="A2429" s="14" t="s">
        <v>11742</v>
      </c>
      <c r="B2429" s="14">
        <v>2929.226605</v>
      </c>
      <c r="C2429" s="14">
        <v>4114.804819</v>
      </c>
      <c r="D2429" s="14">
        <v>1743.64839</v>
      </c>
      <c r="E2429" s="14">
        <v>0.42370466</v>
      </c>
      <c r="F2429" s="14">
        <v>-1.238869099</v>
      </c>
      <c r="G2429" s="51" t="s">
        <v>4434</v>
      </c>
      <c r="H2429" s="51" t="s">
        <v>11743</v>
      </c>
      <c r="I2429" s="14" t="s">
        <v>147</v>
      </c>
      <c r="J2429" s="14">
        <v>10.86831663</v>
      </c>
      <c r="K2429" s="14">
        <v>14.31179335</v>
      </c>
      <c r="L2429" s="14">
        <v>9.244526588</v>
      </c>
      <c r="M2429" s="14">
        <v>20.88893716</v>
      </c>
      <c r="N2429" s="14">
        <v>21.39685849</v>
      </c>
      <c r="O2429" s="14">
        <v>24.92617513</v>
      </c>
      <c r="P2429" s="14" t="s">
        <v>11744</v>
      </c>
      <c r="Q2429" s="14" t="s">
        <v>11745</v>
      </c>
      <c r="R2429" s="14" t="s">
        <v>9361</v>
      </c>
      <c r="S2429" s="14" t="s">
        <v>9362</v>
      </c>
      <c r="T2429" s="14" t="s">
        <v>11746</v>
      </c>
      <c r="U2429" s="14" t="s">
        <v>11747</v>
      </c>
    </row>
    <row r="2430" spans="1:21">
      <c r="A2430" s="14" t="s">
        <v>11748</v>
      </c>
      <c r="B2430" s="14">
        <v>339.7393991</v>
      </c>
      <c r="C2430" s="14">
        <v>602.7369266</v>
      </c>
      <c r="D2430" s="14">
        <v>76.74187166</v>
      </c>
      <c r="E2430" s="14">
        <v>0.127169569</v>
      </c>
      <c r="F2430" s="14">
        <v>-2.975174615</v>
      </c>
      <c r="G2430" s="51" t="s">
        <v>11749</v>
      </c>
      <c r="H2430" s="51" t="s">
        <v>11750</v>
      </c>
      <c r="I2430" s="14" t="s">
        <v>147</v>
      </c>
      <c r="J2430" s="14">
        <v>0.780034746</v>
      </c>
      <c r="K2430" s="14">
        <v>1.308547118</v>
      </c>
      <c r="L2430" s="14">
        <v>0.417253342</v>
      </c>
      <c r="M2430" s="14">
        <v>5.005451962</v>
      </c>
      <c r="N2430" s="14">
        <v>4.393065992</v>
      </c>
      <c r="O2430" s="14">
        <v>7.037530058</v>
      </c>
      <c r="P2430" s="14" t="s">
        <v>11751</v>
      </c>
      <c r="Q2430" s="14" t="s">
        <v>11752</v>
      </c>
      <c r="T2430" s="14" t="s">
        <v>11753</v>
      </c>
      <c r="U2430" s="14" t="s">
        <v>11754</v>
      </c>
    </row>
    <row r="2431" spans="1:21">
      <c r="A2431" s="14" t="s">
        <v>11755</v>
      </c>
      <c r="B2431" s="14">
        <v>966.3090015</v>
      </c>
      <c r="C2431" s="14">
        <v>513.5459671</v>
      </c>
      <c r="D2431" s="14">
        <v>1419.072036</v>
      </c>
      <c r="E2431" s="14">
        <v>2.764352146</v>
      </c>
      <c r="F2431" s="14">
        <v>1.46694141</v>
      </c>
      <c r="G2431" s="51" t="s">
        <v>3641</v>
      </c>
      <c r="H2431" s="14">
        <v>0.000391367</v>
      </c>
      <c r="I2431" s="14" t="s">
        <v>164</v>
      </c>
      <c r="J2431" s="14">
        <v>21.85417552</v>
      </c>
      <c r="K2431" s="14">
        <v>11.12471393</v>
      </c>
      <c r="L2431" s="14">
        <v>21.05435998</v>
      </c>
      <c r="M2431" s="14">
        <v>6.976983869</v>
      </c>
      <c r="N2431" s="14">
        <v>4.942957085</v>
      </c>
      <c r="O2431" s="14">
        <v>3.927669787</v>
      </c>
      <c r="P2431" s="14" t="s">
        <v>11756</v>
      </c>
      <c r="Q2431" s="14" t="s">
        <v>11757</v>
      </c>
      <c r="T2431" s="14" t="s">
        <v>11758</v>
      </c>
      <c r="U2431" s="14" t="s">
        <v>11759</v>
      </c>
    </row>
    <row r="2432" spans="1:21">
      <c r="A2432" s="14" t="s">
        <v>11760</v>
      </c>
      <c r="B2432" s="14">
        <v>18.33189322</v>
      </c>
      <c r="C2432" s="14">
        <v>8.750768812</v>
      </c>
      <c r="D2432" s="14">
        <v>27.91301762</v>
      </c>
      <c r="E2432" s="14">
        <v>3.191984398</v>
      </c>
      <c r="F2432" s="14">
        <v>1.6744536</v>
      </c>
      <c r="G2432" s="14">
        <v>0.002659187</v>
      </c>
      <c r="H2432" s="14">
        <v>0.008567208</v>
      </c>
      <c r="I2432" s="14" t="s">
        <v>164</v>
      </c>
      <c r="J2432" s="14">
        <v>0.510908233</v>
      </c>
      <c r="K2432" s="14">
        <v>0.467494906</v>
      </c>
      <c r="L2432" s="14">
        <v>0.327951803</v>
      </c>
      <c r="M2432" s="14">
        <v>0.119217375</v>
      </c>
      <c r="N2432" s="14">
        <v>0.101666594</v>
      </c>
      <c r="O2432" s="14">
        <v>0.116640282</v>
      </c>
      <c r="P2432" s="14" t="s">
        <v>11761</v>
      </c>
      <c r="Q2432" s="14" t="s">
        <v>11762</v>
      </c>
      <c r="T2432" s="14" t="s">
        <v>11763</v>
      </c>
      <c r="U2432" s="14" t="s">
        <v>11764</v>
      </c>
    </row>
    <row r="2433" spans="1:21">
      <c r="A2433" s="14" t="s">
        <v>11765</v>
      </c>
      <c r="B2433" s="14">
        <v>2871.857894</v>
      </c>
      <c r="C2433" s="14">
        <v>4243.355061</v>
      </c>
      <c r="D2433" s="14">
        <v>1500.360727</v>
      </c>
      <c r="E2433" s="14">
        <v>0.353579051</v>
      </c>
      <c r="F2433" s="14">
        <v>-1.499895295</v>
      </c>
      <c r="G2433" s="51" t="s">
        <v>11766</v>
      </c>
      <c r="H2433" s="51" t="s">
        <v>8503</v>
      </c>
      <c r="I2433" s="14" t="s">
        <v>147</v>
      </c>
      <c r="J2433" s="14">
        <v>17.49227228</v>
      </c>
      <c r="K2433" s="14">
        <v>22.18570529</v>
      </c>
      <c r="L2433" s="14">
        <v>17.53408028</v>
      </c>
      <c r="M2433" s="14">
        <v>47.19558736</v>
      </c>
      <c r="N2433" s="14">
        <v>44.67857295</v>
      </c>
      <c r="O2433" s="14">
        <v>40.7951021</v>
      </c>
      <c r="P2433" s="14" t="s">
        <v>11767</v>
      </c>
      <c r="Q2433" s="14" t="s">
        <v>11768</v>
      </c>
      <c r="R2433" s="14" t="s">
        <v>1056</v>
      </c>
      <c r="S2433" s="14" t="s">
        <v>1057</v>
      </c>
      <c r="T2433" s="14" t="s">
        <v>11769</v>
      </c>
      <c r="U2433" s="14" t="s">
        <v>11770</v>
      </c>
    </row>
    <row r="2434" spans="1:15">
      <c r="A2434" s="14" t="s">
        <v>11771</v>
      </c>
      <c r="B2434" s="14">
        <v>71.0159332</v>
      </c>
      <c r="C2434" s="14">
        <v>119.8190391</v>
      </c>
      <c r="D2434" s="14">
        <v>22.2128273</v>
      </c>
      <c r="E2434" s="14">
        <v>0.185502403</v>
      </c>
      <c r="F2434" s="14">
        <v>-2.430490221</v>
      </c>
      <c r="G2434" s="51" t="s">
        <v>11772</v>
      </c>
      <c r="H2434" s="14">
        <v>0.000257485</v>
      </c>
      <c r="I2434" s="14" t="s">
        <v>147</v>
      </c>
      <c r="J2434" s="14">
        <v>0.437901372</v>
      </c>
      <c r="K2434" s="14">
        <v>0.913004537</v>
      </c>
      <c r="L2434" s="14">
        <v>0.752916231</v>
      </c>
      <c r="M2434" s="14">
        <v>3.291709248</v>
      </c>
      <c r="N2434" s="14">
        <v>4.416070962</v>
      </c>
      <c r="O2434" s="14">
        <v>1.440084743</v>
      </c>
    </row>
    <row r="2435" spans="1:21">
      <c r="A2435" s="14" t="s">
        <v>11773</v>
      </c>
      <c r="B2435" s="14">
        <v>18.95312712</v>
      </c>
      <c r="C2435" s="14">
        <v>4.055809568</v>
      </c>
      <c r="D2435" s="14">
        <v>33.85044468</v>
      </c>
      <c r="E2435" s="14">
        <v>8.382787042</v>
      </c>
      <c r="F2435" s="14">
        <v>3.067429979</v>
      </c>
      <c r="G2435" s="14">
        <v>0.000344883</v>
      </c>
      <c r="H2435" s="14">
        <v>0.001432364</v>
      </c>
      <c r="I2435" s="14" t="s">
        <v>164</v>
      </c>
      <c r="J2435" s="14">
        <v>0.272050731</v>
      </c>
      <c r="K2435" s="14">
        <v>0.173423885</v>
      </c>
      <c r="L2435" s="14">
        <v>0.488961934</v>
      </c>
      <c r="M2435" s="14">
        <v>0.046553033</v>
      </c>
      <c r="N2435" s="14">
        <v>0.007443685</v>
      </c>
      <c r="O2435" s="14">
        <v>0.037955589</v>
      </c>
      <c r="P2435" s="14" t="s">
        <v>11774</v>
      </c>
      <c r="Q2435" s="14" t="s">
        <v>11775</v>
      </c>
      <c r="T2435" s="14" t="s">
        <v>11776</v>
      </c>
      <c r="U2435" s="14" t="s">
        <v>11777</v>
      </c>
    </row>
    <row r="2436" spans="1:21">
      <c r="A2436" s="14" t="s">
        <v>11778</v>
      </c>
      <c r="B2436" s="14">
        <v>133585.4785</v>
      </c>
      <c r="C2436" s="14">
        <v>235431.8629</v>
      </c>
      <c r="D2436" s="14">
        <v>31739.09413</v>
      </c>
      <c r="E2436" s="14">
        <v>0.134812343</v>
      </c>
      <c r="F2436" s="14">
        <v>-2.890975501</v>
      </c>
      <c r="G2436" s="51" t="s">
        <v>11779</v>
      </c>
      <c r="H2436" s="51" t="s">
        <v>11780</v>
      </c>
      <c r="I2436" s="14" t="s">
        <v>147</v>
      </c>
      <c r="J2436" s="14">
        <v>239.6359892</v>
      </c>
      <c r="K2436" s="14">
        <v>256.3221907</v>
      </c>
      <c r="L2436" s="14">
        <v>241.8206424</v>
      </c>
      <c r="M2436" s="14">
        <v>1625.031863</v>
      </c>
      <c r="N2436" s="14">
        <v>1571.3254</v>
      </c>
      <c r="O2436" s="14">
        <v>1275.792985</v>
      </c>
      <c r="P2436" s="14" t="s">
        <v>11781</v>
      </c>
      <c r="Q2436" s="14" t="s">
        <v>11782</v>
      </c>
      <c r="R2436" s="14" t="s">
        <v>1672</v>
      </c>
      <c r="S2436" s="14" t="s">
        <v>1673</v>
      </c>
      <c r="T2436" s="14" t="s">
        <v>11783</v>
      </c>
      <c r="U2436" s="14" t="s">
        <v>11784</v>
      </c>
    </row>
    <row r="2437" spans="1:21">
      <c r="A2437" s="14" t="s">
        <v>11785</v>
      </c>
      <c r="B2437" s="14">
        <v>4545.116451</v>
      </c>
      <c r="C2437" s="14">
        <v>6615.568441</v>
      </c>
      <c r="D2437" s="14">
        <v>2474.66446</v>
      </c>
      <c r="E2437" s="14">
        <v>0.374088728</v>
      </c>
      <c r="F2437" s="14">
        <v>-1.418547598</v>
      </c>
      <c r="G2437" s="51" t="s">
        <v>11786</v>
      </c>
      <c r="H2437" s="51" t="s">
        <v>11787</v>
      </c>
      <c r="I2437" s="14" t="s">
        <v>147</v>
      </c>
      <c r="J2437" s="14">
        <v>40.64443575</v>
      </c>
      <c r="K2437" s="14">
        <v>44.825072</v>
      </c>
      <c r="L2437" s="14">
        <v>44.11159125</v>
      </c>
      <c r="M2437" s="14">
        <v>104.976324</v>
      </c>
      <c r="N2437" s="14">
        <v>97.98768085</v>
      </c>
      <c r="O2437" s="14">
        <v>79.89936107</v>
      </c>
      <c r="P2437" s="14" t="s">
        <v>11788</v>
      </c>
      <c r="Q2437" s="14" t="s">
        <v>11789</v>
      </c>
      <c r="T2437" s="14" t="s">
        <v>11790</v>
      </c>
      <c r="U2437" s="14" t="s">
        <v>11791</v>
      </c>
    </row>
    <row r="2438" spans="1:15">
      <c r="A2438" s="14" t="s">
        <v>11792</v>
      </c>
      <c r="B2438" s="14">
        <v>147.4110056</v>
      </c>
      <c r="C2438" s="14">
        <v>12.08161439</v>
      </c>
      <c r="D2438" s="14">
        <v>282.7403968</v>
      </c>
      <c r="E2438" s="14">
        <v>23.68591311</v>
      </c>
      <c r="F2438" s="14">
        <v>4.565957385</v>
      </c>
      <c r="G2438" s="51" t="s">
        <v>11793</v>
      </c>
      <c r="H2438" s="51" t="s">
        <v>2137</v>
      </c>
      <c r="I2438" s="14" t="s">
        <v>164</v>
      </c>
      <c r="J2438" s="14">
        <v>23.56265988</v>
      </c>
      <c r="K2438" s="14">
        <v>17.72001425</v>
      </c>
      <c r="L2438" s="14">
        <v>15.98422972</v>
      </c>
      <c r="M2438" s="14">
        <v>0.916367588</v>
      </c>
      <c r="N2438" s="14">
        <v>0.769252671</v>
      </c>
      <c r="O2438" s="14">
        <v>0.28017459</v>
      </c>
    </row>
    <row r="2439" spans="1:21">
      <c r="A2439" s="14" t="s">
        <v>11794</v>
      </c>
      <c r="B2439" s="14">
        <v>4152.588771</v>
      </c>
      <c r="C2439" s="14">
        <v>5937.798618</v>
      </c>
      <c r="D2439" s="14">
        <v>2367.378925</v>
      </c>
      <c r="E2439" s="14">
        <v>0.398707798</v>
      </c>
      <c r="F2439" s="14">
        <v>-1.326596272</v>
      </c>
      <c r="G2439" s="14">
        <v>0.000714484</v>
      </c>
      <c r="H2439" s="14">
        <v>0.00272704</v>
      </c>
      <c r="I2439" s="14" t="s">
        <v>147</v>
      </c>
      <c r="J2439" s="14">
        <v>38.14800584</v>
      </c>
      <c r="K2439" s="14">
        <v>39.43021337</v>
      </c>
      <c r="L2439" s="14">
        <v>33.84083826</v>
      </c>
      <c r="M2439" s="14">
        <v>98.17050595</v>
      </c>
      <c r="N2439" s="14">
        <v>88.5661802</v>
      </c>
      <c r="O2439" s="14">
        <v>38.57296591</v>
      </c>
      <c r="P2439" s="14" t="s">
        <v>11795</v>
      </c>
      <c r="Q2439" s="14" t="s">
        <v>11796</v>
      </c>
      <c r="R2439" s="14" t="s">
        <v>11797</v>
      </c>
      <c r="S2439" s="14" t="s">
        <v>11798</v>
      </c>
      <c r="T2439" s="14" t="s">
        <v>11799</v>
      </c>
      <c r="U2439" s="14" t="s">
        <v>11800</v>
      </c>
    </row>
    <row r="2440" spans="1:21">
      <c r="A2440" s="14" t="s">
        <v>11801</v>
      </c>
      <c r="B2440" s="14">
        <v>327.787044</v>
      </c>
      <c r="C2440" s="14">
        <v>461.9137239</v>
      </c>
      <c r="D2440" s="14">
        <v>193.6603641</v>
      </c>
      <c r="E2440" s="14">
        <v>0.41948918</v>
      </c>
      <c r="F2440" s="14">
        <v>-1.253294497</v>
      </c>
      <c r="G2440" s="14">
        <v>0.000243595</v>
      </c>
      <c r="H2440" s="14">
        <v>0.001045486</v>
      </c>
      <c r="I2440" s="14" t="s">
        <v>147</v>
      </c>
      <c r="J2440" s="14">
        <v>1.197471035</v>
      </c>
      <c r="K2440" s="14">
        <v>1.566057549</v>
      </c>
      <c r="L2440" s="14">
        <v>2.02360512</v>
      </c>
      <c r="M2440" s="14">
        <v>3.017891801</v>
      </c>
      <c r="N2440" s="14">
        <v>3.971855629</v>
      </c>
      <c r="O2440" s="14">
        <v>2.291205535</v>
      </c>
      <c r="P2440" s="14" t="s">
        <v>3635</v>
      </c>
      <c r="Q2440" s="14" t="s">
        <v>3636</v>
      </c>
      <c r="T2440" s="14" t="s">
        <v>3637</v>
      </c>
      <c r="U2440" s="14" t="s">
        <v>3638</v>
      </c>
    </row>
    <row r="2441" spans="1:21">
      <c r="A2441" s="14" t="s">
        <v>11802</v>
      </c>
      <c r="B2441" s="14">
        <v>512.8556201</v>
      </c>
      <c r="C2441" s="14">
        <v>191.1894184</v>
      </c>
      <c r="D2441" s="14">
        <v>834.5218218</v>
      </c>
      <c r="E2441" s="14">
        <v>4.360119888</v>
      </c>
      <c r="F2441" s="14">
        <v>2.124367805</v>
      </c>
      <c r="G2441" s="51" t="s">
        <v>11803</v>
      </c>
      <c r="H2441" s="51" t="s">
        <v>11804</v>
      </c>
      <c r="I2441" s="14" t="s">
        <v>164</v>
      </c>
      <c r="J2441" s="14">
        <v>4.432655388</v>
      </c>
      <c r="K2441" s="14">
        <v>3.312016382</v>
      </c>
      <c r="L2441" s="14">
        <v>4.99465053</v>
      </c>
      <c r="M2441" s="14">
        <v>0.602676396</v>
      </c>
      <c r="N2441" s="14">
        <v>0.582326427</v>
      </c>
      <c r="O2441" s="14">
        <v>1.263532464</v>
      </c>
      <c r="P2441" s="14" t="s">
        <v>2614</v>
      </c>
      <c r="Q2441" s="14" t="s">
        <v>2615</v>
      </c>
      <c r="T2441" s="14" t="s">
        <v>2606</v>
      </c>
      <c r="U2441" s="14" t="s">
        <v>2607</v>
      </c>
    </row>
    <row r="2442" spans="1:21">
      <c r="A2442" s="14" t="s">
        <v>11805</v>
      </c>
      <c r="B2442" s="14">
        <v>2176.125082</v>
      </c>
      <c r="C2442" s="14">
        <v>2969.958671</v>
      </c>
      <c r="D2442" s="14">
        <v>1382.291492</v>
      </c>
      <c r="E2442" s="14">
        <v>0.465458331</v>
      </c>
      <c r="F2442" s="14">
        <v>-1.103276075</v>
      </c>
      <c r="G2442" s="51" t="s">
        <v>11806</v>
      </c>
      <c r="H2442" s="51" t="s">
        <v>11807</v>
      </c>
      <c r="I2442" s="14" t="s">
        <v>147</v>
      </c>
      <c r="J2442" s="14">
        <v>17.6153192</v>
      </c>
      <c r="K2442" s="14">
        <v>15.2629013</v>
      </c>
      <c r="L2442" s="14">
        <v>15.99427498</v>
      </c>
      <c r="M2442" s="14">
        <v>28.25545537</v>
      </c>
      <c r="N2442" s="14">
        <v>28.96668196</v>
      </c>
      <c r="O2442" s="14">
        <v>29.1299905</v>
      </c>
      <c r="Q2442" s="14" t="s">
        <v>11808</v>
      </c>
      <c r="T2442" s="14" t="s">
        <v>11809</v>
      </c>
      <c r="U2442" s="14" t="s">
        <v>11810</v>
      </c>
    </row>
    <row r="2443" spans="1:21">
      <c r="A2443" s="14" t="s">
        <v>11811</v>
      </c>
      <c r="B2443" s="14">
        <v>283.0944555</v>
      </c>
      <c r="C2443" s="14">
        <v>90.91587597</v>
      </c>
      <c r="D2443" s="14">
        <v>475.273035</v>
      </c>
      <c r="E2443" s="14">
        <v>5.222013947</v>
      </c>
      <c r="F2443" s="14">
        <v>2.384606311</v>
      </c>
      <c r="G2443" s="51" t="s">
        <v>9605</v>
      </c>
      <c r="H2443" s="51" t="s">
        <v>11812</v>
      </c>
      <c r="I2443" s="14" t="s">
        <v>164</v>
      </c>
      <c r="J2443" s="14">
        <v>6.489792715</v>
      </c>
      <c r="K2443" s="14">
        <v>2.00452857</v>
      </c>
      <c r="L2443" s="14">
        <v>5.809853736</v>
      </c>
      <c r="M2443" s="14">
        <v>0.500160768</v>
      </c>
      <c r="N2443" s="14">
        <v>0.593706375</v>
      </c>
      <c r="O2443" s="14">
        <v>1.202637156</v>
      </c>
      <c r="P2443" s="14" t="s">
        <v>11813</v>
      </c>
      <c r="Q2443" s="14" t="s">
        <v>11814</v>
      </c>
      <c r="T2443" s="14" t="s">
        <v>11815</v>
      </c>
      <c r="U2443" s="14" t="s">
        <v>11816</v>
      </c>
    </row>
    <row r="2444" spans="1:21">
      <c r="A2444" s="14" t="s">
        <v>11817</v>
      </c>
      <c r="B2444" s="14">
        <v>428.8697797</v>
      </c>
      <c r="C2444" s="14">
        <v>82.79261852</v>
      </c>
      <c r="D2444" s="14">
        <v>774.9469409</v>
      </c>
      <c r="E2444" s="14">
        <v>9.337446744</v>
      </c>
      <c r="F2444" s="14">
        <v>3.223028109</v>
      </c>
      <c r="G2444" s="51" t="s">
        <v>11818</v>
      </c>
      <c r="H2444" s="51" t="s">
        <v>11819</v>
      </c>
      <c r="I2444" s="14" t="s">
        <v>164</v>
      </c>
      <c r="J2444" s="14">
        <v>6.533229537</v>
      </c>
      <c r="K2444" s="14">
        <v>4.858366628</v>
      </c>
      <c r="L2444" s="14">
        <v>7.180468519</v>
      </c>
      <c r="M2444" s="14">
        <v>0.290642385</v>
      </c>
      <c r="N2444" s="14">
        <v>0.369620959</v>
      </c>
      <c r="O2444" s="14">
        <v>1.025017299</v>
      </c>
      <c r="P2444" s="14" t="s">
        <v>2614</v>
      </c>
      <c r="Q2444" s="14" t="s">
        <v>2615</v>
      </c>
      <c r="T2444" s="14" t="s">
        <v>2606</v>
      </c>
      <c r="U2444" s="14" t="s">
        <v>2607</v>
      </c>
    </row>
    <row r="2445" spans="1:21">
      <c r="A2445" s="14" t="s">
        <v>11820</v>
      </c>
      <c r="B2445" s="14">
        <v>9.965038186</v>
      </c>
      <c r="C2445" s="14">
        <v>18.25329276</v>
      </c>
      <c r="D2445" s="14">
        <v>1.676783613</v>
      </c>
      <c r="E2445" s="14">
        <v>0.090743823</v>
      </c>
      <c r="F2445" s="14">
        <v>-3.462056751</v>
      </c>
      <c r="G2445" s="14">
        <v>0.002431947</v>
      </c>
      <c r="H2445" s="14">
        <v>0.00793557</v>
      </c>
      <c r="I2445" s="14" t="s">
        <v>147</v>
      </c>
      <c r="J2445" s="14">
        <v>0.013349182</v>
      </c>
      <c r="K2445" s="14">
        <v>0.0537454</v>
      </c>
      <c r="L2445" s="14">
        <v>0</v>
      </c>
      <c r="M2445" s="14">
        <v>0.182743825</v>
      </c>
      <c r="N2445" s="14">
        <v>0.262981508</v>
      </c>
      <c r="O2445" s="14">
        <v>0.156444309</v>
      </c>
      <c r="P2445" s="14" t="s">
        <v>2614</v>
      </c>
      <c r="Q2445" s="14" t="s">
        <v>2615</v>
      </c>
      <c r="T2445" s="14" t="s">
        <v>2606</v>
      </c>
      <c r="U2445" s="14" t="s">
        <v>2607</v>
      </c>
    </row>
    <row r="2446" spans="1:21">
      <c r="A2446" s="14" t="s">
        <v>11821</v>
      </c>
      <c r="B2446" s="14">
        <v>16.93025952</v>
      </c>
      <c r="C2446" s="14">
        <v>33.21614414</v>
      </c>
      <c r="D2446" s="14">
        <v>0.6443749</v>
      </c>
      <c r="E2446" s="14">
        <v>0.019566458</v>
      </c>
      <c r="F2446" s="14">
        <v>-5.675473543</v>
      </c>
      <c r="G2446" s="51" t="s">
        <v>2158</v>
      </c>
      <c r="H2446" s="51" t="s">
        <v>11822</v>
      </c>
      <c r="I2446" s="14" t="s">
        <v>147</v>
      </c>
      <c r="J2446" s="14">
        <v>0.01353169</v>
      </c>
      <c r="K2446" s="14">
        <v>0</v>
      </c>
      <c r="L2446" s="14">
        <v>0.01302898</v>
      </c>
      <c r="M2446" s="14">
        <v>0.173664634</v>
      </c>
      <c r="N2446" s="14">
        <v>0.333221198</v>
      </c>
      <c r="O2446" s="14">
        <v>0.645660153</v>
      </c>
      <c r="P2446" s="14" t="s">
        <v>11823</v>
      </c>
      <c r="Q2446" s="14" t="s">
        <v>11824</v>
      </c>
      <c r="T2446" s="14" t="s">
        <v>11825</v>
      </c>
      <c r="U2446" s="14" t="s">
        <v>11826</v>
      </c>
    </row>
    <row r="2447" spans="1:21">
      <c r="A2447" s="14" t="s">
        <v>11827</v>
      </c>
      <c r="B2447" s="14">
        <v>20.78886739</v>
      </c>
      <c r="C2447" s="14">
        <v>38.25630704</v>
      </c>
      <c r="D2447" s="14">
        <v>3.321427735</v>
      </c>
      <c r="E2447" s="14">
        <v>0.08646323</v>
      </c>
      <c r="F2447" s="14">
        <v>-3.531769459</v>
      </c>
      <c r="G2447" s="14">
        <v>0.009965346</v>
      </c>
      <c r="H2447" s="14">
        <v>0.026928505</v>
      </c>
      <c r="I2447" s="14" t="s">
        <v>147</v>
      </c>
      <c r="J2447" s="14">
        <v>0.194400709</v>
      </c>
      <c r="K2447" s="14">
        <v>0.021741125</v>
      </c>
      <c r="L2447" s="14">
        <v>0</v>
      </c>
      <c r="M2447" s="14">
        <v>0.369618259</v>
      </c>
      <c r="N2447" s="14">
        <v>0.248223387</v>
      </c>
      <c r="O2447" s="14">
        <v>1.536920314</v>
      </c>
      <c r="P2447" s="14" t="s">
        <v>11828</v>
      </c>
      <c r="Q2447" s="14" t="s">
        <v>11829</v>
      </c>
      <c r="R2447" s="14" t="s">
        <v>4179</v>
      </c>
      <c r="S2447" s="14" t="s">
        <v>4180</v>
      </c>
      <c r="T2447" s="14" t="s">
        <v>11830</v>
      </c>
      <c r="U2447" s="14" t="s">
        <v>11831</v>
      </c>
    </row>
    <row r="2448" spans="1:15">
      <c r="A2448" s="14" t="s">
        <v>11832</v>
      </c>
      <c r="B2448" s="14">
        <v>231.4343977</v>
      </c>
      <c r="C2448" s="14">
        <v>146.0018456</v>
      </c>
      <c r="D2448" s="14">
        <v>316.8669498</v>
      </c>
      <c r="E2448" s="14">
        <v>2.173023501</v>
      </c>
      <c r="F2448" s="14">
        <v>1.119703777</v>
      </c>
      <c r="G2448" s="51" t="s">
        <v>11833</v>
      </c>
      <c r="H2448" s="14">
        <v>0.000432838</v>
      </c>
      <c r="I2448" s="14" t="s">
        <v>164</v>
      </c>
      <c r="J2448" s="14">
        <v>14.38431534</v>
      </c>
      <c r="K2448" s="14">
        <v>14.96527874</v>
      </c>
      <c r="L2448" s="14">
        <v>12.83342131</v>
      </c>
      <c r="M2448" s="14">
        <v>5.645478889</v>
      </c>
      <c r="N2448" s="14">
        <v>6.246645671</v>
      </c>
      <c r="O2448" s="14">
        <v>3.940055232</v>
      </c>
    </row>
    <row r="2449" spans="1:21">
      <c r="A2449" s="14" t="s">
        <v>11834</v>
      </c>
      <c r="B2449" s="14">
        <v>131.5382742</v>
      </c>
      <c r="C2449" s="14">
        <v>28.16276481</v>
      </c>
      <c r="D2449" s="14">
        <v>234.9137836</v>
      </c>
      <c r="E2449" s="14">
        <v>8.34077671</v>
      </c>
      <c r="F2449" s="14">
        <v>3.060181737</v>
      </c>
      <c r="G2449" s="51" t="s">
        <v>11835</v>
      </c>
      <c r="H2449" s="51" t="s">
        <v>2795</v>
      </c>
      <c r="I2449" s="14" t="s">
        <v>164</v>
      </c>
      <c r="J2449" s="14">
        <v>3.342989819</v>
      </c>
      <c r="K2449" s="14">
        <v>2.18225587</v>
      </c>
      <c r="L2449" s="14">
        <v>3.102172827</v>
      </c>
      <c r="M2449" s="14">
        <v>0.196900881</v>
      </c>
      <c r="N2449" s="14">
        <v>0.397690567</v>
      </c>
      <c r="O2449" s="14">
        <v>0.253479633</v>
      </c>
      <c r="P2449" s="14" t="s">
        <v>11836</v>
      </c>
      <c r="Q2449" s="14" t="s">
        <v>11837</v>
      </c>
      <c r="T2449" s="14" t="s">
        <v>11838</v>
      </c>
      <c r="U2449" s="14" t="s">
        <v>11839</v>
      </c>
    </row>
    <row r="2450" spans="1:21">
      <c r="A2450" s="14" t="s">
        <v>11840</v>
      </c>
      <c r="B2450" s="14">
        <v>1207.845795</v>
      </c>
      <c r="C2450" s="14">
        <v>298.2111815</v>
      </c>
      <c r="D2450" s="14">
        <v>2117.480409</v>
      </c>
      <c r="E2450" s="14">
        <v>7.097762621</v>
      </c>
      <c r="F2450" s="14">
        <v>2.827364325</v>
      </c>
      <c r="G2450" s="14">
        <v>0.000653837</v>
      </c>
      <c r="H2450" s="14">
        <v>0.002517682</v>
      </c>
      <c r="I2450" s="14" t="s">
        <v>164</v>
      </c>
      <c r="J2450" s="14">
        <v>37.04990694</v>
      </c>
      <c r="K2450" s="14">
        <v>12.90271189</v>
      </c>
      <c r="L2450" s="14">
        <v>26.63742464</v>
      </c>
      <c r="M2450" s="14">
        <v>0.693781743</v>
      </c>
      <c r="N2450" s="14">
        <v>0.929884053</v>
      </c>
      <c r="O2450" s="14">
        <v>7.796038799</v>
      </c>
      <c r="Q2450" s="14" t="s">
        <v>11841</v>
      </c>
      <c r="T2450" s="14" t="s">
        <v>11842</v>
      </c>
      <c r="U2450" s="14" t="s">
        <v>11843</v>
      </c>
    </row>
    <row r="2451" spans="1:21">
      <c r="A2451" s="14" t="s">
        <v>11844</v>
      </c>
      <c r="B2451" s="14">
        <v>149.4193651</v>
      </c>
      <c r="C2451" s="14">
        <v>65.40057846</v>
      </c>
      <c r="D2451" s="14">
        <v>233.4381517</v>
      </c>
      <c r="E2451" s="14">
        <v>3.565079202</v>
      </c>
      <c r="F2451" s="14">
        <v>1.833934128</v>
      </c>
      <c r="G2451" s="14">
        <v>0.016454529</v>
      </c>
      <c r="H2451" s="14">
        <v>0.041247471</v>
      </c>
      <c r="I2451" s="14" t="s">
        <v>164</v>
      </c>
      <c r="J2451" s="14">
        <v>7.034956142</v>
      </c>
      <c r="K2451" s="14">
        <v>1.120985776</v>
      </c>
      <c r="L2451" s="14">
        <v>5.004245375</v>
      </c>
      <c r="M2451" s="14">
        <v>0.397036359</v>
      </c>
      <c r="N2451" s="14">
        <v>0.83800035</v>
      </c>
      <c r="O2451" s="14">
        <v>1.895654144</v>
      </c>
      <c r="P2451" s="14" t="s">
        <v>11845</v>
      </c>
      <c r="Q2451" s="14" t="s">
        <v>11846</v>
      </c>
      <c r="T2451" s="14" t="s">
        <v>11847</v>
      </c>
      <c r="U2451" s="14" t="s">
        <v>11848</v>
      </c>
    </row>
    <row r="2452" spans="1:21">
      <c r="A2452" s="14" t="s">
        <v>11849</v>
      </c>
      <c r="B2452" s="14">
        <v>61.33124241</v>
      </c>
      <c r="C2452" s="14">
        <v>23.30743698</v>
      </c>
      <c r="D2452" s="14">
        <v>99.35504784</v>
      </c>
      <c r="E2452" s="14">
        <v>4.249262529</v>
      </c>
      <c r="F2452" s="14">
        <v>2.087212479</v>
      </c>
      <c r="G2452" s="14">
        <v>0.000387557</v>
      </c>
      <c r="H2452" s="14">
        <v>0.001588486</v>
      </c>
      <c r="I2452" s="14" t="s">
        <v>164</v>
      </c>
      <c r="J2452" s="14">
        <v>2.611588647</v>
      </c>
      <c r="K2452" s="14">
        <v>1.077932323</v>
      </c>
      <c r="L2452" s="14">
        <v>1.97185443</v>
      </c>
      <c r="M2452" s="14">
        <v>0.305429976</v>
      </c>
      <c r="N2452" s="14">
        <v>0.185067664</v>
      </c>
      <c r="O2452" s="14">
        <v>0.629110672</v>
      </c>
      <c r="P2452" s="14" t="s">
        <v>11850</v>
      </c>
      <c r="Q2452" s="14" t="s">
        <v>11851</v>
      </c>
      <c r="T2452" s="14" t="s">
        <v>11852</v>
      </c>
      <c r="U2452" s="14" t="s">
        <v>11853</v>
      </c>
    </row>
    <row r="2453" spans="1:21">
      <c r="A2453" s="14" t="s">
        <v>11854</v>
      </c>
      <c r="B2453" s="14">
        <v>2776.12298</v>
      </c>
      <c r="C2453" s="14">
        <v>3895.023018</v>
      </c>
      <c r="D2453" s="14">
        <v>1657.222942</v>
      </c>
      <c r="E2453" s="14">
        <v>0.425493418</v>
      </c>
      <c r="F2453" s="14">
        <v>-1.232791279</v>
      </c>
      <c r="G2453" s="51" t="s">
        <v>11855</v>
      </c>
      <c r="H2453" s="14">
        <v>0.000269406</v>
      </c>
      <c r="I2453" s="14" t="s">
        <v>147</v>
      </c>
      <c r="J2453" s="14">
        <v>18.0309892</v>
      </c>
      <c r="K2453" s="14">
        <v>24.6286102</v>
      </c>
      <c r="L2453" s="14">
        <v>20.41203729</v>
      </c>
      <c r="M2453" s="14">
        <v>48.11054568</v>
      </c>
      <c r="N2453" s="14">
        <v>44.8765295</v>
      </c>
      <c r="O2453" s="14">
        <v>27.33502284</v>
      </c>
      <c r="P2453" s="14" t="s">
        <v>11856</v>
      </c>
      <c r="Q2453" s="14" t="s">
        <v>11857</v>
      </c>
      <c r="T2453" s="14" t="s">
        <v>11858</v>
      </c>
      <c r="U2453" s="14" t="s">
        <v>11859</v>
      </c>
    </row>
    <row r="2454" spans="1:21">
      <c r="A2454" s="14" t="s">
        <v>11860</v>
      </c>
      <c r="B2454" s="14">
        <v>2069.362162</v>
      </c>
      <c r="C2454" s="14">
        <v>2985.4221</v>
      </c>
      <c r="D2454" s="14">
        <v>1153.302225</v>
      </c>
      <c r="E2454" s="14">
        <v>0.386382656</v>
      </c>
      <c r="F2454" s="14">
        <v>-1.371897758</v>
      </c>
      <c r="G2454" s="51" t="s">
        <v>6502</v>
      </c>
      <c r="H2454" s="51" t="s">
        <v>11861</v>
      </c>
      <c r="I2454" s="14" t="s">
        <v>147</v>
      </c>
      <c r="J2454" s="14">
        <v>11.96337884</v>
      </c>
      <c r="K2454" s="14">
        <v>11.64256446</v>
      </c>
      <c r="L2454" s="14">
        <v>12.84456388</v>
      </c>
      <c r="M2454" s="14">
        <v>26.75408806</v>
      </c>
      <c r="N2454" s="14">
        <v>27.04577246</v>
      </c>
      <c r="O2454" s="14">
        <v>23.43419496</v>
      </c>
      <c r="P2454" s="14" t="s">
        <v>11862</v>
      </c>
      <c r="Q2454" s="14" t="s">
        <v>11863</v>
      </c>
      <c r="T2454" s="14" t="s">
        <v>11864</v>
      </c>
      <c r="U2454" s="14" t="s">
        <v>11865</v>
      </c>
    </row>
    <row r="2455" spans="1:17">
      <c r="A2455" s="14" t="s">
        <v>11866</v>
      </c>
      <c r="B2455" s="14">
        <v>159.5396655</v>
      </c>
      <c r="C2455" s="14">
        <v>27.23161549</v>
      </c>
      <c r="D2455" s="14">
        <v>291.8477156</v>
      </c>
      <c r="E2455" s="14">
        <v>10.67496886</v>
      </c>
      <c r="F2455" s="14">
        <v>3.416159957</v>
      </c>
      <c r="G2455" s="51" t="s">
        <v>11867</v>
      </c>
      <c r="H2455" s="51" t="s">
        <v>11868</v>
      </c>
      <c r="I2455" s="14" t="s">
        <v>164</v>
      </c>
      <c r="J2455" s="14">
        <v>11.99339838</v>
      </c>
      <c r="K2455" s="14">
        <v>9.102619072</v>
      </c>
      <c r="L2455" s="14">
        <v>13.26693234</v>
      </c>
      <c r="M2455" s="14">
        <v>0.697382686</v>
      </c>
      <c r="N2455" s="14">
        <v>0.828354917</v>
      </c>
      <c r="O2455" s="14">
        <v>1.137179218</v>
      </c>
      <c r="P2455" s="14" t="s">
        <v>11869</v>
      </c>
      <c r="Q2455" s="14" t="s">
        <v>11870</v>
      </c>
    </row>
    <row r="2456" spans="1:17">
      <c r="A2456" s="14" t="s">
        <v>11871</v>
      </c>
      <c r="B2456" s="14">
        <v>16.83890251</v>
      </c>
      <c r="C2456" s="14">
        <v>1.401768239</v>
      </c>
      <c r="D2456" s="14">
        <v>32.27603678</v>
      </c>
      <c r="E2456" s="14">
        <v>23.70383368</v>
      </c>
      <c r="F2456" s="14">
        <v>4.567048503</v>
      </c>
      <c r="G2456" s="51" t="s">
        <v>11872</v>
      </c>
      <c r="H2456" s="51" t="s">
        <v>11873</v>
      </c>
      <c r="I2456" s="14" t="s">
        <v>164</v>
      </c>
      <c r="J2456" s="14">
        <v>1.866188627</v>
      </c>
      <c r="K2456" s="14">
        <v>1.7374965</v>
      </c>
      <c r="L2456" s="14">
        <v>0.943350801</v>
      </c>
      <c r="M2456" s="14">
        <v>0.079835055</v>
      </c>
      <c r="N2456" s="14">
        <v>0.076592257</v>
      </c>
      <c r="O2456" s="14">
        <v>0</v>
      </c>
      <c r="P2456" s="14" t="s">
        <v>11869</v>
      </c>
      <c r="Q2456" s="14" t="s">
        <v>11870</v>
      </c>
    </row>
    <row r="2457" spans="1:17">
      <c r="A2457" s="14" t="s">
        <v>11874</v>
      </c>
      <c r="B2457" s="14">
        <v>125.8521482</v>
      </c>
      <c r="C2457" s="14">
        <v>184.3129064</v>
      </c>
      <c r="D2457" s="14">
        <v>67.39139004</v>
      </c>
      <c r="E2457" s="14">
        <v>0.365596767</v>
      </c>
      <c r="F2457" s="14">
        <v>-1.451674781</v>
      </c>
      <c r="G2457" s="51" t="s">
        <v>11875</v>
      </c>
      <c r="H2457" s="51" t="s">
        <v>11876</v>
      </c>
      <c r="I2457" s="14" t="s">
        <v>147</v>
      </c>
      <c r="J2457" s="14">
        <v>3.464112638</v>
      </c>
      <c r="K2457" s="14">
        <v>2.625811153</v>
      </c>
      <c r="L2457" s="14">
        <v>2.635392714</v>
      </c>
      <c r="M2457" s="14">
        <v>6.037526034</v>
      </c>
      <c r="N2457" s="14">
        <v>7.301795197</v>
      </c>
      <c r="O2457" s="14">
        <v>6.265015134</v>
      </c>
      <c r="P2457" s="14" t="s">
        <v>11869</v>
      </c>
      <c r="Q2457" s="14" t="s">
        <v>11870</v>
      </c>
    </row>
    <row r="2458" spans="1:21">
      <c r="A2458" s="14" t="s">
        <v>11877</v>
      </c>
      <c r="B2458" s="14">
        <v>11397.21667</v>
      </c>
      <c r="C2458" s="14">
        <v>15501.72371</v>
      </c>
      <c r="D2458" s="14">
        <v>7292.709622</v>
      </c>
      <c r="E2458" s="14">
        <v>0.470452545</v>
      </c>
      <c r="F2458" s="14">
        <v>-1.087878891</v>
      </c>
      <c r="G2458" s="51" t="s">
        <v>6925</v>
      </c>
      <c r="H2458" s="51" t="s">
        <v>10530</v>
      </c>
      <c r="I2458" s="14" t="s">
        <v>147</v>
      </c>
      <c r="J2458" s="14">
        <v>366.9587572</v>
      </c>
      <c r="K2458" s="14">
        <v>387.8503401</v>
      </c>
      <c r="L2458" s="14">
        <v>347.5085815</v>
      </c>
      <c r="M2458" s="14">
        <v>708.3824845</v>
      </c>
      <c r="N2458" s="14">
        <v>702.1518596</v>
      </c>
      <c r="O2458" s="14">
        <v>499.5400867</v>
      </c>
      <c r="P2458" s="14" t="s">
        <v>11878</v>
      </c>
      <c r="Q2458" s="14" t="s">
        <v>11879</v>
      </c>
      <c r="T2458" s="14" t="s">
        <v>11880</v>
      </c>
      <c r="U2458" s="14" t="s">
        <v>11881</v>
      </c>
    </row>
    <row r="2459" spans="1:15">
      <c r="A2459" s="14" t="s">
        <v>11882</v>
      </c>
      <c r="B2459" s="14">
        <v>421.7907943</v>
      </c>
      <c r="C2459" s="14">
        <v>565.2218228</v>
      </c>
      <c r="D2459" s="14">
        <v>278.3597658</v>
      </c>
      <c r="E2459" s="14">
        <v>0.492610112</v>
      </c>
      <c r="F2459" s="14">
        <v>-1.021481853</v>
      </c>
      <c r="G2459" s="14">
        <v>0.000104468</v>
      </c>
      <c r="H2459" s="14">
        <v>0.000491777</v>
      </c>
      <c r="I2459" s="14" t="s">
        <v>147</v>
      </c>
      <c r="J2459" s="14">
        <v>4.401213018</v>
      </c>
      <c r="K2459" s="14">
        <v>6.888681907</v>
      </c>
      <c r="L2459" s="14">
        <v>6.468076781</v>
      </c>
      <c r="M2459" s="14">
        <v>9.585302453</v>
      </c>
      <c r="N2459" s="14">
        <v>11.21837946</v>
      </c>
      <c r="O2459" s="14">
        <v>8.708235018</v>
      </c>
    </row>
    <row r="2460" spans="1:21">
      <c r="A2460" s="14" t="s">
        <v>11883</v>
      </c>
      <c r="B2460" s="14">
        <v>151.4317574</v>
      </c>
      <c r="C2460" s="14">
        <v>28.75572949</v>
      </c>
      <c r="D2460" s="14">
        <v>274.1077853</v>
      </c>
      <c r="E2460" s="14">
        <v>9.488572754</v>
      </c>
      <c r="F2460" s="14">
        <v>3.246191097</v>
      </c>
      <c r="G2460" s="51" t="s">
        <v>6106</v>
      </c>
      <c r="H2460" s="51" t="s">
        <v>11884</v>
      </c>
      <c r="I2460" s="14" t="s">
        <v>164</v>
      </c>
      <c r="J2460" s="14">
        <v>4.273690632</v>
      </c>
      <c r="K2460" s="14">
        <v>2.926860001</v>
      </c>
      <c r="L2460" s="14">
        <v>5.019920343</v>
      </c>
      <c r="M2460" s="14">
        <v>0.087958177</v>
      </c>
      <c r="N2460" s="14">
        <v>0.229046162</v>
      </c>
      <c r="O2460" s="14">
        <v>0.78680508</v>
      </c>
      <c r="P2460" s="14" t="s">
        <v>11885</v>
      </c>
      <c r="Q2460" s="14" t="s">
        <v>11886</v>
      </c>
      <c r="T2460" s="14" t="s">
        <v>11887</v>
      </c>
      <c r="U2460" s="14" t="s">
        <v>11888</v>
      </c>
    </row>
    <row r="2461" spans="1:15">
      <c r="A2461" s="14" t="s">
        <v>11889</v>
      </c>
      <c r="B2461" s="14">
        <v>384.974625</v>
      </c>
      <c r="C2461" s="14">
        <v>209.7176115</v>
      </c>
      <c r="D2461" s="14">
        <v>560.2316385</v>
      </c>
      <c r="E2461" s="14">
        <v>2.668580563</v>
      </c>
      <c r="F2461" s="14">
        <v>1.416072566</v>
      </c>
      <c r="G2461" s="51" t="s">
        <v>782</v>
      </c>
      <c r="H2461" s="51" t="s">
        <v>783</v>
      </c>
      <c r="I2461" s="14" t="s">
        <v>164</v>
      </c>
      <c r="J2461" s="14">
        <v>8.571435639</v>
      </c>
      <c r="K2461" s="14">
        <v>6.884924982</v>
      </c>
      <c r="L2461" s="14">
        <v>8.442726164</v>
      </c>
      <c r="M2461" s="14">
        <v>2.023082734</v>
      </c>
      <c r="N2461" s="14">
        <v>1.767612374</v>
      </c>
      <c r="O2461" s="14">
        <v>3.699499846</v>
      </c>
    </row>
    <row r="2462" spans="1:21">
      <c r="A2462" s="14" t="s">
        <v>11890</v>
      </c>
      <c r="B2462" s="14">
        <v>997.618077</v>
      </c>
      <c r="C2462" s="14">
        <v>251.1950151</v>
      </c>
      <c r="D2462" s="14">
        <v>1744.041139</v>
      </c>
      <c r="E2462" s="14">
        <v>6.937084271</v>
      </c>
      <c r="F2462" s="14">
        <v>2.79432941</v>
      </c>
      <c r="G2462" s="51" t="s">
        <v>11891</v>
      </c>
      <c r="H2462" s="51" t="s">
        <v>11892</v>
      </c>
      <c r="I2462" s="14" t="s">
        <v>164</v>
      </c>
      <c r="J2462" s="14">
        <v>5.393956792</v>
      </c>
      <c r="K2462" s="14">
        <v>4.169290658</v>
      </c>
      <c r="L2462" s="14">
        <v>5.375846455</v>
      </c>
      <c r="M2462" s="14">
        <v>0.275596991</v>
      </c>
      <c r="N2462" s="14">
        <v>0.412839139</v>
      </c>
      <c r="O2462" s="14">
        <v>1.144785147</v>
      </c>
      <c r="P2462" s="14" t="s">
        <v>11893</v>
      </c>
      <c r="Q2462" s="14" t="s">
        <v>11894</v>
      </c>
      <c r="T2462" s="14" t="s">
        <v>11895</v>
      </c>
      <c r="U2462" s="14" t="s">
        <v>11896</v>
      </c>
    </row>
    <row r="2463" spans="1:21">
      <c r="A2463" s="14" t="s">
        <v>11897</v>
      </c>
      <c r="B2463" s="14">
        <v>229.9611128</v>
      </c>
      <c r="C2463" s="14">
        <v>333.3753531</v>
      </c>
      <c r="D2463" s="14">
        <v>126.5468725</v>
      </c>
      <c r="E2463" s="14">
        <v>0.37965824</v>
      </c>
      <c r="F2463" s="14">
        <v>-1.397226775</v>
      </c>
      <c r="G2463" s="51" t="s">
        <v>1222</v>
      </c>
      <c r="H2463" s="51" t="s">
        <v>1223</v>
      </c>
      <c r="I2463" s="14" t="s">
        <v>147</v>
      </c>
      <c r="J2463" s="14">
        <v>0.942238638</v>
      </c>
      <c r="K2463" s="14">
        <v>1.707104399</v>
      </c>
      <c r="L2463" s="14">
        <v>1.601001074</v>
      </c>
      <c r="M2463" s="14">
        <v>3.110884687</v>
      </c>
      <c r="N2463" s="14">
        <v>2.68425225</v>
      </c>
      <c r="O2463" s="14">
        <v>3.442650876</v>
      </c>
      <c r="P2463" s="14" t="s">
        <v>11898</v>
      </c>
      <c r="Q2463" s="14" t="s">
        <v>11899</v>
      </c>
      <c r="T2463" s="14" t="s">
        <v>11900</v>
      </c>
      <c r="U2463" s="14" t="s">
        <v>11901</v>
      </c>
    </row>
    <row r="2464" spans="1:21">
      <c r="A2464" s="14" t="s">
        <v>11902</v>
      </c>
      <c r="B2464" s="14">
        <v>6.42661008</v>
      </c>
      <c r="C2464" s="14">
        <v>0</v>
      </c>
      <c r="D2464" s="14">
        <v>12.85322016</v>
      </c>
      <c r="E2464" s="14">
        <v>69.2911987</v>
      </c>
      <c r="F2464" s="14">
        <v>6.114600209</v>
      </c>
      <c r="G2464" s="14">
        <v>0.000405473</v>
      </c>
      <c r="H2464" s="14">
        <v>0.001651279</v>
      </c>
      <c r="I2464" s="14" t="s">
        <v>164</v>
      </c>
      <c r="J2464" s="14">
        <v>0.343143233</v>
      </c>
      <c r="K2464" s="14">
        <v>0.180915383</v>
      </c>
      <c r="L2464" s="14">
        <v>0.110131756</v>
      </c>
      <c r="M2464" s="14">
        <v>0</v>
      </c>
      <c r="N2464" s="14">
        <v>0</v>
      </c>
      <c r="O2464" s="14">
        <v>0</v>
      </c>
      <c r="P2464" s="14" t="s">
        <v>11903</v>
      </c>
      <c r="Q2464" s="14" t="s">
        <v>11904</v>
      </c>
      <c r="R2464" s="14" t="s">
        <v>798</v>
      </c>
      <c r="S2464" s="14" t="s">
        <v>799</v>
      </c>
      <c r="T2464" s="14" t="s">
        <v>11905</v>
      </c>
      <c r="U2464" s="14" t="s">
        <v>11906</v>
      </c>
    </row>
    <row r="2465" spans="1:21">
      <c r="A2465" s="14" t="s">
        <v>11907</v>
      </c>
      <c r="B2465" s="14">
        <v>10843.73497</v>
      </c>
      <c r="C2465" s="14">
        <v>14592.92981</v>
      </c>
      <c r="D2465" s="14">
        <v>7094.540138</v>
      </c>
      <c r="E2465" s="14">
        <v>0.486158215</v>
      </c>
      <c r="F2465" s="14">
        <v>-1.040502195</v>
      </c>
      <c r="G2465" s="51" t="s">
        <v>11908</v>
      </c>
      <c r="H2465" s="51" t="s">
        <v>2842</v>
      </c>
      <c r="I2465" s="14" t="s">
        <v>147</v>
      </c>
      <c r="J2465" s="14">
        <v>87.49620577</v>
      </c>
      <c r="K2465" s="14">
        <v>70.60569958</v>
      </c>
      <c r="L2465" s="14">
        <v>60.41494991</v>
      </c>
      <c r="M2465" s="14">
        <v>125.5324704</v>
      </c>
      <c r="N2465" s="14">
        <v>119.1047306</v>
      </c>
      <c r="O2465" s="14">
        <v>125.3585929</v>
      </c>
      <c r="P2465" s="14" t="s">
        <v>11909</v>
      </c>
      <c r="Q2465" s="14" t="s">
        <v>11910</v>
      </c>
      <c r="R2465" s="14" t="s">
        <v>5747</v>
      </c>
      <c r="S2465" s="14" t="s">
        <v>5748</v>
      </c>
      <c r="T2465" s="14" t="s">
        <v>11911</v>
      </c>
      <c r="U2465" s="14" t="s">
        <v>11912</v>
      </c>
    </row>
    <row r="2466" spans="1:21">
      <c r="A2466" s="14" t="s">
        <v>11913</v>
      </c>
      <c r="B2466" s="14">
        <v>79.8165288</v>
      </c>
      <c r="C2466" s="14">
        <v>117.5172405</v>
      </c>
      <c r="D2466" s="14">
        <v>42.11581713</v>
      </c>
      <c r="E2466" s="14">
        <v>0.358938962</v>
      </c>
      <c r="F2466" s="14">
        <v>-1.478189561</v>
      </c>
      <c r="G2466" s="14">
        <v>0.000225177</v>
      </c>
      <c r="H2466" s="14">
        <v>0.000974982</v>
      </c>
      <c r="I2466" s="14" t="s">
        <v>147</v>
      </c>
      <c r="J2466" s="14">
        <v>0.565954413</v>
      </c>
      <c r="K2466" s="14">
        <v>0.721556694</v>
      </c>
      <c r="L2466" s="14">
        <v>1.126186369</v>
      </c>
      <c r="M2466" s="14">
        <v>1.501105551</v>
      </c>
      <c r="N2466" s="14">
        <v>2.291823868</v>
      </c>
      <c r="O2466" s="14">
        <v>1.721328597</v>
      </c>
      <c r="P2466" s="14" t="s">
        <v>11914</v>
      </c>
      <c r="Q2466" s="14" t="s">
        <v>11915</v>
      </c>
      <c r="T2466" s="14" t="s">
        <v>11916</v>
      </c>
      <c r="U2466" s="14" t="s">
        <v>11917</v>
      </c>
    </row>
    <row r="2467" spans="1:21">
      <c r="A2467" s="14" t="s">
        <v>11918</v>
      </c>
      <c r="B2467" s="14">
        <v>11.77395746</v>
      </c>
      <c r="C2467" s="14">
        <v>0</v>
      </c>
      <c r="D2467" s="14">
        <v>23.54791492</v>
      </c>
      <c r="E2467" s="14">
        <v>127.0123082</v>
      </c>
      <c r="F2467" s="14">
        <v>6.988824499</v>
      </c>
      <c r="G2467" s="51" t="s">
        <v>11919</v>
      </c>
      <c r="H2467" s="14">
        <v>0.000352192</v>
      </c>
      <c r="I2467" s="14" t="s">
        <v>164</v>
      </c>
      <c r="J2467" s="14">
        <v>1.24403663</v>
      </c>
      <c r="K2467" s="14">
        <v>0.159850216</v>
      </c>
      <c r="L2467" s="14">
        <v>0.484225094</v>
      </c>
      <c r="M2467" s="14">
        <v>0</v>
      </c>
      <c r="N2467" s="14">
        <v>0</v>
      </c>
      <c r="O2467" s="14">
        <v>0</v>
      </c>
      <c r="P2467" s="14" t="s">
        <v>11920</v>
      </c>
      <c r="Q2467" s="14" t="s">
        <v>11921</v>
      </c>
      <c r="T2467" s="14" t="s">
        <v>11922</v>
      </c>
      <c r="U2467" s="14" t="s">
        <v>11923</v>
      </c>
    </row>
    <row r="2468" spans="1:21">
      <c r="A2468" s="14" t="s">
        <v>11924</v>
      </c>
      <c r="B2468" s="14">
        <v>289.2852633</v>
      </c>
      <c r="C2468" s="14">
        <v>173.3419406</v>
      </c>
      <c r="D2468" s="14">
        <v>405.228586</v>
      </c>
      <c r="E2468" s="14">
        <v>2.335423028</v>
      </c>
      <c r="F2468" s="14">
        <v>1.223683897</v>
      </c>
      <c r="G2468" s="14">
        <v>0.014139345</v>
      </c>
      <c r="H2468" s="14">
        <v>0.036265537</v>
      </c>
      <c r="I2468" s="14" t="s">
        <v>164</v>
      </c>
      <c r="J2468" s="14">
        <v>3.764771471</v>
      </c>
      <c r="K2468" s="14">
        <v>3.105165852</v>
      </c>
      <c r="L2468" s="14">
        <v>3.834682866</v>
      </c>
      <c r="M2468" s="14">
        <v>0.790367044</v>
      </c>
      <c r="N2468" s="14">
        <v>0.643808502</v>
      </c>
      <c r="O2468" s="14">
        <v>2.465747843</v>
      </c>
      <c r="P2468" s="14" t="s">
        <v>11925</v>
      </c>
      <c r="Q2468" s="14" t="s">
        <v>11926</v>
      </c>
      <c r="T2468" s="14" t="s">
        <v>2621</v>
      </c>
      <c r="U2468" s="14" t="s">
        <v>2622</v>
      </c>
    </row>
    <row r="2469" spans="1:21">
      <c r="A2469" s="14" t="s">
        <v>11927</v>
      </c>
      <c r="B2469" s="14">
        <v>350.7465991</v>
      </c>
      <c r="C2469" s="14">
        <v>200.710648</v>
      </c>
      <c r="D2469" s="14">
        <v>500.7825503</v>
      </c>
      <c r="E2469" s="14">
        <v>2.492694033</v>
      </c>
      <c r="F2469" s="14">
        <v>1.317705809</v>
      </c>
      <c r="G2469" s="14">
        <v>0.00724715</v>
      </c>
      <c r="H2469" s="14">
        <v>0.02043912</v>
      </c>
      <c r="I2469" s="14" t="s">
        <v>164</v>
      </c>
      <c r="J2469" s="14">
        <v>6.252670298</v>
      </c>
      <c r="K2469" s="14">
        <v>6.01297522</v>
      </c>
      <c r="L2469" s="14">
        <v>6.113719303</v>
      </c>
      <c r="M2469" s="14">
        <v>1.20265733</v>
      </c>
      <c r="N2469" s="14">
        <v>1.08418065</v>
      </c>
      <c r="O2469" s="14">
        <v>3.996585781</v>
      </c>
      <c r="P2469" s="14" t="s">
        <v>8402</v>
      </c>
      <c r="Q2469" s="14" t="s">
        <v>8403</v>
      </c>
      <c r="T2469" s="14" t="s">
        <v>8404</v>
      </c>
      <c r="U2469" s="14" t="s">
        <v>8405</v>
      </c>
    </row>
    <row r="2470" spans="1:21">
      <c r="A2470" s="14" t="s">
        <v>11928</v>
      </c>
      <c r="B2470" s="14">
        <v>31.33438657</v>
      </c>
      <c r="C2470" s="14">
        <v>3.716821692</v>
      </c>
      <c r="D2470" s="14">
        <v>58.95195144</v>
      </c>
      <c r="E2470" s="14">
        <v>15.93014415</v>
      </c>
      <c r="F2470" s="14">
        <v>3.993687417</v>
      </c>
      <c r="G2470" s="51" t="s">
        <v>3556</v>
      </c>
      <c r="H2470" s="51" t="s">
        <v>3557</v>
      </c>
      <c r="I2470" s="14" t="s">
        <v>164</v>
      </c>
      <c r="J2470" s="14">
        <v>3.6180732</v>
      </c>
      <c r="K2470" s="14">
        <v>4.803943027</v>
      </c>
      <c r="L2470" s="14">
        <v>5.336670247</v>
      </c>
      <c r="M2470" s="14">
        <v>0.395183522</v>
      </c>
      <c r="N2470" s="14">
        <v>0</v>
      </c>
      <c r="O2470" s="14">
        <v>0.322200778</v>
      </c>
      <c r="P2470" s="14" t="s">
        <v>11929</v>
      </c>
      <c r="Q2470" s="14" t="s">
        <v>11930</v>
      </c>
      <c r="R2470" s="14" t="s">
        <v>4420</v>
      </c>
      <c r="S2470" s="14" t="s">
        <v>4421</v>
      </c>
      <c r="T2470" s="14" t="s">
        <v>11931</v>
      </c>
      <c r="U2470" s="14" t="s">
        <v>11932</v>
      </c>
    </row>
    <row r="2471" spans="1:21">
      <c r="A2471" s="14" t="s">
        <v>11933</v>
      </c>
      <c r="B2471" s="14">
        <v>4276.393663</v>
      </c>
      <c r="C2471" s="14">
        <v>6100.971168</v>
      </c>
      <c r="D2471" s="14">
        <v>2451.816157</v>
      </c>
      <c r="E2471" s="14">
        <v>0.401854628</v>
      </c>
      <c r="F2471" s="14">
        <v>-1.315254396</v>
      </c>
      <c r="G2471" s="51" t="s">
        <v>10776</v>
      </c>
      <c r="H2471" s="51" t="s">
        <v>11934</v>
      </c>
      <c r="I2471" s="14" t="s">
        <v>147</v>
      </c>
      <c r="J2471" s="14">
        <v>38.76106617</v>
      </c>
      <c r="K2471" s="14">
        <v>47.57867</v>
      </c>
      <c r="L2471" s="14">
        <v>38.42208281</v>
      </c>
      <c r="M2471" s="14">
        <v>86.32649757</v>
      </c>
      <c r="N2471" s="14">
        <v>77.83702092</v>
      </c>
      <c r="O2471" s="14">
        <v>91.90698998</v>
      </c>
      <c r="P2471" s="14" t="s">
        <v>11935</v>
      </c>
      <c r="Q2471" s="14" t="s">
        <v>11936</v>
      </c>
      <c r="T2471" s="14" t="s">
        <v>11937</v>
      </c>
      <c r="U2471" s="14" t="s">
        <v>11938</v>
      </c>
    </row>
    <row r="2472" spans="1:21">
      <c r="A2472" s="14" t="s">
        <v>11939</v>
      </c>
      <c r="B2472" s="14">
        <v>854.4273104</v>
      </c>
      <c r="C2472" s="14">
        <v>1521.975735</v>
      </c>
      <c r="D2472" s="14">
        <v>186.8788859</v>
      </c>
      <c r="E2472" s="14">
        <v>0.12276345</v>
      </c>
      <c r="F2472" s="14">
        <v>-3.026047002</v>
      </c>
      <c r="G2472" s="51" t="s">
        <v>11940</v>
      </c>
      <c r="H2472" s="51" t="s">
        <v>5651</v>
      </c>
      <c r="I2472" s="14" t="s">
        <v>147</v>
      </c>
      <c r="J2472" s="14">
        <v>2.519354646</v>
      </c>
      <c r="K2472" s="14">
        <v>4.745030369</v>
      </c>
      <c r="L2472" s="14">
        <v>3.528377022</v>
      </c>
      <c r="M2472" s="14">
        <v>24.03760928</v>
      </c>
      <c r="N2472" s="14">
        <v>23.57823012</v>
      </c>
      <c r="O2472" s="14">
        <v>24.76419205</v>
      </c>
      <c r="P2472" s="14" t="s">
        <v>11941</v>
      </c>
      <c r="Q2472" s="14" t="s">
        <v>11942</v>
      </c>
      <c r="R2472" s="14" t="s">
        <v>5148</v>
      </c>
      <c r="S2472" s="14" t="s">
        <v>5149</v>
      </c>
      <c r="T2472" s="14" t="s">
        <v>11943</v>
      </c>
      <c r="U2472" s="14" t="s">
        <v>11944</v>
      </c>
    </row>
    <row r="2473" spans="1:21">
      <c r="A2473" s="14" t="s">
        <v>11945</v>
      </c>
      <c r="B2473" s="14">
        <v>429.7302499</v>
      </c>
      <c r="C2473" s="14">
        <v>239.3199939</v>
      </c>
      <c r="D2473" s="14">
        <v>620.1405059</v>
      </c>
      <c r="E2473" s="14">
        <v>2.5929292</v>
      </c>
      <c r="F2473" s="14">
        <v>1.374582814</v>
      </c>
      <c r="G2473" s="14">
        <v>0.004480437</v>
      </c>
      <c r="H2473" s="14">
        <v>0.013449618</v>
      </c>
      <c r="I2473" s="14" t="s">
        <v>164</v>
      </c>
      <c r="J2473" s="14">
        <v>14.24530372</v>
      </c>
      <c r="K2473" s="14">
        <v>7.751477256</v>
      </c>
      <c r="L2473" s="14">
        <v>13.69781891</v>
      </c>
      <c r="M2473" s="14">
        <v>4.7064978</v>
      </c>
      <c r="N2473" s="14">
        <v>4.624316512</v>
      </c>
      <c r="O2473" s="14">
        <v>1.730754078</v>
      </c>
      <c r="P2473" s="14" t="s">
        <v>11941</v>
      </c>
      <c r="Q2473" s="14" t="s">
        <v>11942</v>
      </c>
      <c r="T2473" s="14" t="s">
        <v>11943</v>
      </c>
      <c r="U2473" s="14" t="s">
        <v>11944</v>
      </c>
    </row>
    <row r="2474" spans="1:21">
      <c r="A2474" s="14" t="s">
        <v>11946</v>
      </c>
      <c r="B2474" s="14">
        <v>828.0926114</v>
      </c>
      <c r="C2474" s="14">
        <v>491.2501796</v>
      </c>
      <c r="D2474" s="14">
        <v>1164.935043</v>
      </c>
      <c r="E2474" s="14">
        <v>2.372405166</v>
      </c>
      <c r="F2474" s="14">
        <v>1.246350419</v>
      </c>
      <c r="G2474" s="14">
        <v>0.00035943</v>
      </c>
      <c r="H2474" s="14">
        <v>0.001486541</v>
      </c>
      <c r="I2474" s="14" t="s">
        <v>164</v>
      </c>
      <c r="J2474" s="14">
        <v>24.28727861</v>
      </c>
      <c r="K2474" s="14">
        <v>17.6854838</v>
      </c>
      <c r="L2474" s="14">
        <v>26.03479756</v>
      </c>
      <c r="M2474" s="14">
        <v>8.92456121</v>
      </c>
      <c r="N2474" s="14">
        <v>9.430900382</v>
      </c>
      <c r="O2474" s="14">
        <v>4.833011675</v>
      </c>
      <c r="P2474" s="14" t="s">
        <v>11941</v>
      </c>
      <c r="Q2474" s="14" t="s">
        <v>11942</v>
      </c>
      <c r="R2474" s="14" t="s">
        <v>5148</v>
      </c>
      <c r="S2474" s="14" t="s">
        <v>5149</v>
      </c>
      <c r="T2474" s="14" t="s">
        <v>11943</v>
      </c>
      <c r="U2474" s="14" t="s">
        <v>11944</v>
      </c>
    </row>
    <row r="2475" spans="1:21">
      <c r="A2475" s="14" t="s">
        <v>11947</v>
      </c>
      <c r="B2475" s="14">
        <v>74.02780547</v>
      </c>
      <c r="C2475" s="14">
        <v>100.3884625</v>
      </c>
      <c r="D2475" s="14">
        <v>47.66714842</v>
      </c>
      <c r="E2475" s="14">
        <v>0.474925858</v>
      </c>
      <c r="F2475" s="14">
        <v>-1.074225788</v>
      </c>
      <c r="G2475" s="14">
        <v>0.00077386</v>
      </c>
      <c r="H2475" s="14">
        <v>0.00292236</v>
      </c>
      <c r="I2475" s="14" t="s">
        <v>147</v>
      </c>
      <c r="J2475" s="14">
        <v>0.748997327</v>
      </c>
      <c r="K2475" s="14">
        <v>1.043845175</v>
      </c>
      <c r="L2475" s="14">
        <v>0.980053787</v>
      </c>
      <c r="M2475" s="14">
        <v>1.363835025</v>
      </c>
      <c r="N2475" s="14">
        <v>1.891717291</v>
      </c>
      <c r="O2475" s="14">
        <v>1.543348427</v>
      </c>
      <c r="P2475" s="14" t="s">
        <v>11941</v>
      </c>
      <c r="Q2475" s="14" t="s">
        <v>11942</v>
      </c>
      <c r="R2475" s="14" t="s">
        <v>5148</v>
      </c>
      <c r="S2475" s="14" t="s">
        <v>5149</v>
      </c>
      <c r="T2475" s="14" t="s">
        <v>11943</v>
      </c>
      <c r="U2475" s="14" t="s">
        <v>11944</v>
      </c>
    </row>
    <row r="2476" spans="1:21">
      <c r="A2476" s="14" t="s">
        <v>11948</v>
      </c>
      <c r="B2476" s="14">
        <v>341.2909479</v>
      </c>
      <c r="C2476" s="14">
        <v>196.6388724</v>
      </c>
      <c r="D2476" s="14">
        <v>485.9430235</v>
      </c>
      <c r="E2476" s="14">
        <v>2.468964944</v>
      </c>
      <c r="F2476" s="14">
        <v>1.303906353</v>
      </c>
      <c r="G2476" s="14">
        <v>0.002305632</v>
      </c>
      <c r="H2476" s="14">
        <v>0.00758173</v>
      </c>
      <c r="I2476" s="14" t="s">
        <v>164</v>
      </c>
      <c r="J2476" s="14">
        <v>8.898813919</v>
      </c>
      <c r="K2476" s="14">
        <v>8.416418099</v>
      </c>
      <c r="L2476" s="14">
        <v>10.9503303</v>
      </c>
      <c r="M2476" s="14">
        <v>2.215215592</v>
      </c>
      <c r="N2476" s="14">
        <v>1.810386539</v>
      </c>
      <c r="O2476" s="14">
        <v>5.651111783</v>
      </c>
      <c r="P2476" s="14" t="s">
        <v>11949</v>
      </c>
      <c r="Q2476" s="14" t="s">
        <v>11950</v>
      </c>
      <c r="T2476" s="14" t="s">
        <v>11951</v>
      </c>
      <c r="U2476" s="14" t="s">
        <v>11952</v>
      </c>
    </row>
    <row r="2477" spans="1:21">
      <c r="A2477" s="14" t="s">
        <v>11953</v>
      </c>
      <c r="B2477" s="14">
        <v>1864.341285</v>
      </c>
      <c r="C2477" s="14">
        <v>1177.349384</v>
      </c>
      <c r="D2477" s="14">
        <v>2551.333186</v>
      </c>
      <c r="E2477" s="14">
        <v>2.16711623</v>
      </c>
      <c r="F2477" s="14">
        <v>1.115776532</v>
      </c>
      <c r="G2477" s="51" t="s">
        <v>11954</v>
      </c>
      <c r="H2477" s="51" t="s">
        <v>11047</v>
      </c>
      <c r="I2477" s="14" t="s">
        <v>164</v>
      </c>
      <c r="J2477" s="14">
        <v>39.97352449</v>
      </c>
      <c r="K2477" s="14">
        <v>28.2464537</v>
      </c>
      <c r="L2477" s="14">
        <v>32.04250745</v>
      </c>
      <c r="M2477" s="14">
        <v>12.34393474</v>
      </c>
      <c r="N2477" s="14">
        <v>12.34307893</v>
      </c>
      <c r="O2477" s="14">
        <v>13.42382569</v>
      </c>
      <c r="P2477" s="14" t="s">
        <v>11955</v>
      </c>
      <c r="Q2477" s="14" t="s">
        <v>11956</v>
      </c>
      <c r="T2477" s="14" t="s">
        <v>11957</v>
      </c>
      <c r="U2477" s="14" t="s">
        <v>11958</v>
      </c>
    </row>
    <row r="2478" spans="1:21">
      <c r="A2478" s="14" t="s">
        <v>11959</v>
      </c>
      <c r="B2478" s="14">
        <v>298.4739074</v>
      </c>
      <c r="C2478" s="14">
        <v>39.11836299</v>
      </c>
      <c r="D2478" s="14">
        <v>557.8294518</v>
      </c>
      <c r="E2478" s="14">
        <v>14.23292453</v>
      </c>
      <c r="F2478" s="14">
        <v>3.831160227</v>
      </c>
      <c r="G2478" s="14">
        <v>0.00065787</v>
      </c>
      <c r="H2478" s="14">
        <v>0.002530478</v>
      </c>
      <c r="I2478" s="14" t="s">
        <v>164</v>
      </c>
      <c r="J2478" s="14">
        <v>10.96107283</v>
      </c>
      <c r="K2478" s="14">
        <v>3.330610476</v>
      </c>
      <c r="L2478" s="14">
        <v>10.75299229</v>
      </c>
      <c r="M2478" s="14">
        <v>0.101113055</v>
      </c>
      <c r="N2478" s="14">
        <v>0.024251493</v>
      </c>
      <c r="O2478" s="14">
        <v>1.422080194</v>
      </c>
      <c r="P2478" s="14" t="s">
        <v>11960</v>
      </c>
      <c r="Q2478" s="14" t="s">
        <v>11961</v>
      </c>
      <c r="R2478" s="14" t="s">
        <v>341</v>
      </c>
      <c r="S2478" s="14" t="s">
        <v>342</v>
      </c>
      <c r="T2478" s="14" t="s">
        <v>11962</v>
      </c>
      <c r="U2478" s="14" t="s">
        <v>11963</v>
      </c>
    </row>
    <row r="2479" spans="1:21">
      <c r="A2479" s="14" t="s">
        <v>11964</v>
      </c>
      <c r="B2479" s="14">
        <v>5.213645051</v>
      </c>
      <c r="C2479" s="14">
        <v>0</v>
      </c>
      <c r="D2479" s="14">
        <v>10.4272901</v>
      </c>
      <c r="E2479" s="14">
        <v>56.25595541</v>
      </c>
      <c r="F2479" s="14">
        <v>5.813933927</v>
      </c>
      <c r="G2479" s="14">
        <v>0.000477612</v>
      </c>
      <c r="H2479" s="14">
        <v>0.001906001</v>
      </c>
      <c r="I2479" s="14" t="s">
        <v>164</v>
      </c>
      <c r="J2479" s="14">
        <v>0.875982506</v>
      </c>
      <c r="K2479" s="14">
        <v>0.721393002</v>
      </c>
      <c r="L2479" s="14">
        <v>0.92011556</v>
      </c>
      <c r="M2479" s="14">
        <v>0</v>
      </c>
      <c r="N2479" s="14">
        <v>0</v>
      </c>
      <c r="O2479" s="14">
        <v>0</v>
      </c>
      <c r="P2479" s="14" t="s">
        <v>11965</v>
      </c>
      <c r="Q2479" s="14" t="s">
        <v>11966</v>
      </c>
      <c r="T2479" s="14" t="s">
        <v>11967</v>
      </c>
      <c r="U2479" s="14" t="s">
        <v>11968</v>
      </c>
    </row>
    <row r="2480" spans="1:21">
      <c r="A2480" s="14" t="s">
        <v>11969</v>
      </c>
      <c r="B2480" s="14">
        <v>7479.401401</v>
      </c>
      <c r="C2480" s="14">
        <v>11342.55702</v>
      </c>
      <c r="D2480" s="14">
        <v>3616.24578</v>
      </c>
      <c r="E2480" s="14">
        <v>0.318829723</v>
      </c>
      <c r="F2480" s="14">
        <v>-1.649141961</v>
      </c>
      <c r="G2480" s="51" t="s">
        <v>11970</v>
      </c>
      <c r="H2480" s="51" t="s">
        <v>7555</v>
      </c>
      <c r="I2480" s="14" t="s">
        <v>147</v>
      </c>
      <c r="J2480" s="14">
        <v>72.32549191</v>
      </c>
      <c r="K2480" s="14">
        <v>83.63813983</v>
      </c>
      <c r="L2480" s="14">
        <v>80.42411937</v>
      </c>
      <c r="M2480" s="14">
        <v>220.6564442</v>
      </c>
      <c r="N2480" s="14">
        <v>224.0420161</v>
      </c>
      <c r="O2480" s="14">
        <v>159.6610249</v>
      </c>
      <c r="P2480" s="14" t="s">
        <v>11971</v>
      </c>
      <c r="Q2480" s="14" t="s">
        <v>11972</v>
      </c>
      <c r="R2480" s="14" t="s">
        <v>11973</v>
      </c>
      <c r="S2480" s="14" t="s">
        <v>11974</v>
      </c>
      <c r="T2480" s="14" t="s">
        <v>11975</v>
      </c>
      <c r="U2480" s="14" t="s">
        <v>11976</v>
      </c>
    </row>
    <row r="2481" spans="1:21">
      <c r="A2481" s="14" t="s">
        <v>11977</v>
      </c>
      <c r="B2481" s="14">
        <v>9171.905807</v>
      </c>
      <c r="C2481" s="14">
        <v>12401.68194</v>
      </c>
      <c r="D2481" s="14">
        <v>5942.129677</v>
      </c>
      <c r="E2481" s="14">
        <v>0.479118579</v>
      </c>
      <c r="F2481" s="14">
        <v>-1.061545335</v>
      </c>
      <c r="G2481" s="51" t="s">
        <v>11978</v>
      </c>
      <c r="H2481" s="51" t="s">
        <v>11979</v>
      </c>
      <c r="I2481" s="14" t="s">
        <v>147</v>
      </c>
      <c r="J2481" s="14">
        <v>96.93497385</v>
      </c>
      <c r="K2481" s="14">
        <v>92.32838279</v>
      </c>
      <c r="L2481" s="14">
        <v>81.2958562</v>
      </c>
      <c r="M2481" s="14">
        <v>131.0541837</v>
      </c>
      <c r="N2481" s="14">
        <v>131.3623327</v>
      </c>
      <c r="O2481" s="14">
        <v>208.2697435</v>
      </c>
      <c r="P2481" s="14" t="s">
        <v>11980</v>
      </c>
      <c r="Q2481" s="14" t="s">
        <v>11981</v>
      </c>
      <c r="R2481" s="14" t="s">
        <v>1536</v>
      </c>
      <c r="S2481" s="14" t="s">
        <v>1537</v>
      </c>
      <c r="T2481" s="14" t="s">
        <v>11982</v>
      </c>
      <c r="U2481" s="14" t="s">
        <v>11983</v>
      </c>
    </row>
    <row r="2482" spans="1:21">
      <c r="A2482" s="14" t="s">
        <v>11984</v>
      </c>
      <c r="B2482" s="14">
        <v>2083.136879</v>
      </c>
      <c r="C2482" s="14">
        <v>1128.218242</v>
      </c>
      <c r="D2482" s="14">
        <v>3038.055517</v>
      </c>
      <c r="E2482" s="14">
        <v>2.692391389</v>
      </c>
      <c r="F2482" s="14">
        <v>1.428888147</v>
      </c>
      <c r="G2482" s="14">
        <v>0.012776642</v>
      </c>
      <c r="H2482" s="14">
        <v>0.033249134</v>
      </c>
      <c r="I2482" s="14" t="s">
        <v>164</v>
      </c>
      <c r="J2482" s="14">
        <v>66.74632342</v>
      </c>
      <c r="K2482" s="14">
        <v>34.11659647</v>
      </c>
      <c r="L2482" s="14">
        <v>51.78676719</v>
      </c>
      <c r="M2482" s="14">
        <v>7.615318831</v>
      </c>
      <c r="N2482" s="14">
        <v>7.510072387</v>
      </c>
      <c r="O2482" s="14">
        <v>33.52121399</v>
      </c>
      <c r="P2482" s="14" t="s">
        <v>11985</v>
      </c>
      <c r="Q2482" s="14" t="s">
        <v>11986</v>
      </c>
      <c r="R2482" s="14" t="s">
        <v>556</v>
      </c>
      <c r="S2482" s="14" t="s">
        <v>557</v>
      </c>
      <c r="T2482" s="14" t="s">
        <v>3408</v>
      </c>
      <c r="U2482" s="14" t="s">
        <v>3409</v>
      </c>
    </row>
    <row r="2483" spans="1:21">
      <c r="A2483" s="14" t="s">
        <v>11987</v>
      </c>
      <c r="B2483" s="14">
        <v>355.8373445</v>
      </c>
      <c r="C2483" s="14">
        <v>161.3953383</v>
      </c>
      <c r="D2483" s="14">
        <v>550.2793507</v>
      </c>
      <c r="E2483" s="14">
        <v>3.410598236</v>
      </c>
      <c r="F2483" s="14">
        <v>1.770024817</v>
      </c>
      <c r="G2483" s="51" t="s">
        <v>4678</v>
      </c>
      <c r="H2483" s="51" t="s">
        <v>11988</v>
      </c>
      <c r="I2483" s="14" t="s">
        <v>164</v>
      </c>
      <c r="J2483" s="14">
        <v>28.32601839</v>
      </c>
      <c r="K2483" s="14">
        <v>24.39684455</v>
      </c>
      <c r="L2483" s="14">
        <v>15.23076243</v>
      </c>
      <c r="M2483" s="14">
        <v>4.651275084</v>
      </c>
      <c r="N2483" s="14">
        <v>7.783942327</v>
      </c>
      <c r="O2483" s="14">
        <v>3.832193328</v>
      </c>
      <c r="Q2483" s="14" t="s">
        <v>11989</v>
      </c>
      <c r="T2483" s="14" t="s">
        <v>11990</v>
      </c>
      <c r="U2483" s="14" t="s">
        <v>11991</v>
      </c>
    </row>
    <row r="2484" spans="1:21">
      <c r="A2484" s="14" t="s">
        <v>11992</v>
      </c>
      <c r="B2484" s="14">
        <v>237.845269</v>
      </c>
      <c r="C2484" s="14">
        <v>100.5884221</v>
      </c>
      <c r="D2484" s="14">
        <v>375.1021159</v>
      </c>
      <c r="E2484" s="14">
        <v>3.73334534</v>
      </c>
      <c r="F2484" s="14">
        <v>1.900468966</v>
      </c>
      <c r="G2484" s="51" t="s">
        <v>11993</v>
      </c>
      <c r="H2484" s="51" t="s">
        <v>11994</v>
      </c>
      <c r="I2484" s="14" t="s">
        <v>164</v>
      </c>
      <c r="J2484" s="14">
        <v>5.169430524</v>
      </c>
      <c r="K2484" s="14">
        <v>4.150587637</v>
      </c>
      <c r="L2484" s="14">
        <v>4.176425043</v>
      </c>
      <c r="M2484" s="14">
        <v>0.915090489</v>
      </c>
      <c r="N2484" s="14">
        <v>1.316881028</v>
      </c>
      <c r="O2484" s="14">
        <v>0.716247356</v>
      </c>
      <c r="P2484" s="14" t="s">
        <v>11995</v>
      </c>
      <c r="Q2484" s="14" t="s">
        <v>11996</v>
      </c>
      <c r="R2484" s="14" t="s">
        <v>341</v>
      </c>
      <c r="S2484" s="14" t="s">
        <v>342</v>
      </c>
      <c r="T2484" s="14" t="s">
        <v>11997</v>
      </c>
      <c r="U2484" s="14" t="s">
        <v>11998</v>
      </c>
    </row>
    <row r="2485" spans="1:21">
      <c r="A2485" s="14" t="s">
        <v>11999</v>
      </c>
      <c r="B2485" s="14">
        <v>224.9896232</v>
      </c>
      <c r="C2485" s="14">
        <v>119.8601982</v>
      </c>
      <c r="D2485" s="14">
        <v>330.1190482</v>
      </c>
      <c r="E2485" s="14">
        <v>2.756241751</v>
      </c>
      <c r="F2485" s="14">
        <v>1.462702433</v>
      </c>
      <c r="G2485" s="14">
        <v>0.000173619</v>
      </c>
      <c r="H2485" s="14">
        <v>0.000776081</v>
      </c>
      <c r="I2485" s="14" t="s">
        <v>164</v>
      </c>
      <c r="J2485" s="14">
        <v>9.348930494</v>
      </c>
      <c r="K2485" s="14">
        <v>18.03579077</v>
      </c>
      <c r="L2485" s="14">
        <v>9.608864098</v>
      </c>
      <c r="M2485" s="14">
        <v>4.126414288</v>
      </c>
      <c r="N2485" s="14">
        <v>3.958804625</v>
      </c>
      <c r="O2485" s="14">
        <v>2.888161194</v>
      </c>
      <c r="P2485" s="14" t="s">
        <v>12000</v>
      </c>
      <c r="Q2485" s="14" t="s">
        <v>12001</v>
      </c>
      <c r="T2485" s="14" t="s">
        <v>12002</v>
      </c>
      <c r="U2485" s="14" t="s">
        <v>12003</v>
      </c>
    </row>
    <row r="2486" spans="1:15">
      <c r="A2486" s="14" t="s">
        <v>12004</v>
      </c>
      <c r="B2486" s="14">
        <v>59.07906017</v>
      </c>
      <c r="C2486" s="14">
        <v>33.45610126</v>
      </c>
      <c r="D2486" s="14">
        <v>84.70201909</v>
      </c>
      <c r="E2486" s="14">
        <v>2.527273667</v>
      </c>
      <c r="F2486" s="14">
        <v>1.337581896</v>
      </c>
      <c r="G2486" s="14">
        <v>0.012638242</v>
      </c>
      <c r="H2486" s="14">
        <v>0.032931659</v>
      </c>
      <c r="I2486" s="14" t="s">
        <v>164</v>
      </c>
      <c r="J2486" s="14">
        <v>10.55729566</v>
      </c>
      <c r="K2486" s="14">
        <v>3.750435326</v>
      </c>
      <c r="L2486" s="14">
        <v>5.605746057</v>
      </c>
      <c r="M2486" s="14">
        <v>1.461182771</v>
      </c>
      <c r="N2486" s="14">
        <v>2.293905925</v>
      </c>
      <c r="O2486" s="14">
        <v>2.794211792</v>
      </c>
    </row>
    <row r="2487" spans="1:21">
      <c r="A2487" s="14" t="s">
        <v>12005</v>
      </c>
      <c r="B2487" s="14">
        <v>326.4634157</v>
      </c>
      <c r="C2487" s="14">
        <v>490.6905004</v>
      </c>
      <c r="D2487" s="14">
        <v>162.236331</v>
      </c>
      <c r="E2487" s="14">
        <v>0.330320773</v>
      </c>
      <c r="F2487" s="14">
        <v>-1.598060397</v>
      </c>
      <c r="G2487" s="51" t="s">
        <v>12006</v>
      </c>
      <c r="H2487" s="51" t="s">
        <v>4866</v>
      </c>
      <c r="I2487" s="14" t="s">
        <v>147</v>
      </c>
      <c r="J2487" s="14">
        <v>3.907924146</v>
      </c>
      <c r="K2487" s="14">
        <v>4.413130476</v>
      </c>
      <c r="L2487" s="14">
        <v>3.372702176</v>
      </c>
      <c r="M2487" s="14">
        <v>8.685202775</v>
      </c>
      <c r="N2487" s="14">
        <v>8.039025858</v>
      </c>
      <c r="O2487" s="14">
        <v>12.72623814</v>
      </c>
      <c r="P2487" s="14" t="s">
        <v>3049</v>
      </c>
      <c r="Q2487" s="14" t="s">
        <v>3050</v>
      </c>
      <c r="T2487" s="14" t="s">
        <v>3051</v>
      </c>
      <c r="U2487" s="14" t="s">
        <v>3052</v>
      </c>
    </row>
    <row r="2488" spans="1:21">
      <c r="A2488" s="14" t="s">
        <v>12007</v>
      </c>
      <c r="B2488" s="14">
        <v>7.819134422</v>
      </c>
      <c r="C2488" s="14">
        <v>0.927266538</v>
      </c>
      <c r="D2488" s="14">
        <v>14.71100231</v>
      </c>
      <c r="E2488" s="14">
        <v>15.23552143</v>
      </c>
      <c r="F2488" s="14">
        <v>3.929366972</v>
      </c>
      <c r="G2488" s="14">
        <v>0.008753051</v>
      </c>
      <c r="H2488" s="14">
        <v>0.024083735</v>
      </c>
      <c r="I2488" s="14" t="s">
        <v>164</v>
      </c>
      <c r="J2488" s="14">
        <v>0.303470227</v>
      </c>
      <c r="K2488" s="14">
        <v>0.085526517</v>
      </c>
      <c r="L2488" s="14">
        <v>0.151941991</v>
      </c>
      <c r="M2488" s="14">
        <v>0</v>
      </c>
      <c r="N2488" s="14">
        <v>0</v>
      </c>
      <c r="O2488" s="14">
        <v>0.030484174</v>
      </c>
      <c r="P2488" s="14" t="s">
        <v>12008</v>
      </c>
      <c r="Q2488" s="14" t="s">
        <v>12009</v>
      </c>
      <c r="T2488" s="14" t="s">
        <v>7688</v>
      </c>
      <c r="U2488" s="14" t="s">
        <v>7689</v>
      </c>
    </row>
    <row r="2489" spans="1:21">
      <c r="A2489" s="14" t="s">
        <v>12010</v>
      </c>
      <c r="B2489" s="14">
        <v>862.7816209</v>
      </c>
      <c r="C2489" s="14">
        <v>1159.775731</v>
      </c>
      <c r="D2489" s="14">
        <v>565.7875112</v>
      </c>
      <c r="E2489" s="14">
        <v>0.487692617</v>
      </c>
      <c r="F2489" s="14">
        <v>-1.035955964</v>
      </c>
      <c r="G2489" s="51" t="s">
        <v>12011</v>
      </c>
      <c r="H2489" s="51" t="s">
        <v>1826</v>
      </c>
      <c r="I2489" s="14" t="s">
        <v>147</v>
      </c>
      <c r="J2489" s="14">
        <v>8.048631344</v>
      </c>
      <c r="K2489" s="14">
        <v>10.64815222</v>
      </c>
      <c r="L2489" s="14">
        <v>7.382687387</v>
      </c>
      <c r="M2489" s="14">
        <v>13.85098682</v>
      </c>
      <c r="N2489" s="14">
        <v>11.87445407</v>
      </c>
      <c r="O2489" s="14">
        <v>18.73230664</v>
      </c>
      <c r="P2489" s="14" t="s">
        <v>12012</v>
      </c>
      <c r="Q2489" s="14" t="s">
        <v>12013</v>
      </c>
      <c r="T2489" s="14" t="s">
        <v>12014</v>
      </c>
      <c r="U2489" s="14" t="s">
        <v>12015</v>
      </c>
    </row>
    <row r="2490" spans="1:21">
      <c r="A2490" s="14" t="s">
        <v>12016</v>
      </c>
      <c r="B2490" s="14">
        <v>346.0528007</v>
      </c>
      <c r="C2490" s="14">
        <v>216.5210907</v>
      </c>
      <c r="D2490" s="14">
        <v>475.5845106</v>
      </c>
      <c r="E2490" s="14">
        <v>2.194651121</v>
      </c>
      <c r="F2490" s="14">
        <v>1.133991616</v>
      </c>
      <c r="G2490" s="14">
        <v>0.002067252</v>
      </c>
      <c r="H2490" s="14">
        <v>0.006906219</v>
      </c>
      <c r="I2490" s="14" t="s">
        <v>164</v>
      </c>
      <c r="J2490" s="14">
        <v>2.919475615</v>
      </c>
      <c r="K2490" s="14">
        <v>1.908937534</v>
      </c>
      <c r="L2490" s="14">
        <v>3.151744599</v>
      </c>
      <c r="M2490" s="14">
        <v>0.704896386</v>
      </c>
      <c r="N2490" s="14">
        <v>0.753422081</v>
      </c>
      <c r="O2490" s="14">
        <v>1.592232418</v>
      </c>
      <c r="P2490" s="14" t="s">
        <v>10436</v>
      </c>
      <c r="Q2490" s="14" t="s">
        <v>10437</v>
      </c>
      <c r="T2490" s="14" t="s">
        <v>1429</v>
      </c>
      <c r="U2490" s="14" t="s">
        <v>1430</v>
      </c>
    </row>
    <row r="2491" spans="1:21">
      <c r="A2491" s="14" t="s">
        <v>12017</v>
      </c>
      <c r="B2491" s="14">
        <v>4582.289334</v>
      </c>
      <c r="C2491" s="14">
        <v>2542.025993</v>
      </c>
      <c r="D2491" s="14">
        <v>6622.552675</v>
      </c>
      <c r="E2491" s="14">
        <v>2.604916555</v>
      </c>
      <c r="F2491" s="14">
        <v>1.381237158</v>
      </c>
      <c r="G2491" s="51" t="s">
        <v>11508</v>
      </c>
      <c r="H2491" s="51" t="s">
        <v>11509</v>
      </c>
      <c r="I2491" s="14" t="s">
        <v>164</v>
      </c>
      <c r="J2491" s="14">
        <v>16.26587861</v>
      </c>
      <c r="K2491" s="14">
        <v>22.64385431</v>
      </c>
      <c r="L2491" s="14">
        <v>20.97698922</v>
      </c>
      <c r="M2491" s="14">
        <v>4.636445332</v>
      </c>
      <c r="N2491" s="14">
        <v>5.425969783</v>
      </c>
      <c r="O2491" s="14">
        <v>9.174911886</v>
      </c>
      <c r="P2491" s="14" t="s">
        <v>5072</v>
      </c>
      <c r="Q2491" s="14" t="s">
        <v>5073</v>
      </c>
      <c r="T2491" s="14" t="s">
        <v>5074</v>
      </c>
      <c r="U2491" s="14" t="s">
        <v>5075</v>
      </c>
    </row>
    <row r="2492" spans="1:15">
      <c r="A2492" s="14" t="s">
        <v>12018</v>
      </c>
      <c r="B2492" s="14">
        <v>180.5414501</v>
      </c>
      <c r="C2492" s="14">
        <v>45.55052547</v>
      </c>
      <c r="D2492" s="14">
        <v>315.5323748</v>
      </c>
      <c r="E2492" s="14">
        <v>6.940580539</v>
      </c>
      <c r="F2492" s="14">
        <v>2.795056341</v>
      </c>
      <c r="G2492" s="51" t="s">
        <v>12019</v>
      </c>
      <c r="H2492" s="51" t="s">
        <v>12020</v>
      </c>
      <c r="I2492" s="14" t="s">
        <v>164</v>
      </c>
      <c r="J2492" s="14">
        <v>76.64739315</v>
      </c>
      <c r="K2492" s="14">
        <v>68.10123245</v>
      </c>
      <c r="L2492" s="14">
        <v>94.23309624</v>
      </c>
      <c r="M2492" s="14">
        <v>8.330895873</v>
      </c>
      <c r="N2492" s="14">
        <v>12.09122635</v>
      </c>
      <c r="O2492" s="14">
        <v>7.73281868</v>
      </c>
    </row>
    <row r="2493" spans="1:21">
      <c r="A2493" s="14" t="s">
        <v>12021</v>
      </c>
      <c r="B2493" s="14">
        <v>1213.812568</v>
      </c>
      <c r="C2493" s="14">
        <v>537.0641023</v>
      </c>
      <c r="D2493" s="14">
        <v>1890.561033</v>
      </c>
      <c r="E2493" s="14">
        <v>3.520485742</v>
      </c>
      <c r="F2493" s="14">
        <v>1.8157745</v>
      </c>
      <c r="G2493" s="51" t="s">
        <v>12022</v>
      </c>
      <c r="H2493" s="51" t="s">
        <v>12023</v>
      </c>
      <c r="I2493" s="14" t="s">
        <v>164</v>
      </c>
      <c r="J2493" s="14">
        <v>33.84319734</v>
      </c>
      <c r="K2493" s="14">
        <v>11.79784107</v>
      </c>
      <c r="L2493" s="14">
        <v>17.3685515</v>
      </c>
      <c r="M2493" s="14">
        <v>4.877801378</v>
      </c>
      <c r="N2493" s="14">
        <v>5.330127581</v>
      </c>
      <c r="O2493" s="14">
        <v>4.459115458</v>
      </c>
      <c r="P2493" s="14" t="s">
        <v>5072</v>
      </c>
      <c r="Q2493" s="14" t="s">
        <v>5073</v>
      </c>
      <c r="T2493" s="14" t="s">
        <v>5074</v>
      </c>
      <c r="U2493" s="14" t="s">
        <v>5075</v>
      </c>
    </row>
    <row r="2494" spans="1:21">
      <c r="A2494" s="14" t="s">
        <v>12024</v>
      </c>
      <c r="B2494" s="14">
        <v>81.80551935</v>
      </c>
      <c r="C2494" s="14">
        <v>32.24224762</v>
      </c>
      <c r="D2494" s="14">
        <v>131.3687911</v>
      </c>
      <c r="E2494" s="14">
        <v>4.077375842</v>
      </c>
      <c r="F2494" s="14">
        <v>2.027640947</v>
      </c>
      <c r="G2494" s="14">
        <v>0.002551809</v>
      </c>
      <c r="H2494" s="14">
        <v>0.008269122</v>
      </c>
      <c r="I2494" s="14" t="s">
        <v>164</v>
      </c>
      <c r="J2494" s="14">
        <v>1.09636358</v>
      </c>
      <c r="K2494" s="14">
        <v>3.363749891</v>
      </c>
      <c r="L2494" s="14">
        <v>0.763108234</v>
      </c>
      <c r="M2494" s="14">
        <v>0.372956804</v>
      </c>
      <c r="N2494" s="14">
        <v>0.412021075</v>
      </c>
      <c r="O2494" s="14">
        <v>0.265377953</v>
      </c>
      <c r="P2494" s="14" t="s">
        <v>12025</v>
      </c>
      <c r="Q2494" s="14" t="s">
        <v>12026</v>
      </c>
      <c r="T2494" s="14" t="s">
        <v>12027</v>
      </c>
      <c r="U2494" s="14" t="s">
        <v>12028</v>
      </c>
    </row>
    <row r="2495" spans="1:21">
      <c r="A2495" s="14" t="s">
        <v>12029</v>
      </c>
      <c r="B2495" s="14">
        <v>139.9670489</v>
      </c>
      <c r="C2495" s="14">
        <v>39.48176063</v>
      </c>
      <c r="D2495" s="14">
        <v>240.4523372</v>
      </c>
      <c r="E2495" s="14">
        <v>6.09691843</v>
      </c>
      <c r="F2495" s="14">
        <v>2.608080244</v>
      </c>
      <c r="G2495" s="51" t="s">
        <v>12030</v>
      </c>
      <c r="H2495" s="51" t="s">
        <v>12031</v>
      </c>
      <c r="I2495" s="14" t="s">
        <v>164</v>
      </c>
      <c r="J2495" s="14">
        <v>6.574853663</v>
      </c>
      <c r="K2495" s="14">
        <v>4.095698547</v>
      </c>
      <c r="L2495" s="14">
        <v>4.928377855</v>
      </c>
      <c r="M2495" s="14">
        <v>0.549714328</v>
      </c>
      <c r="N2495" s="14">
        <v>1.019612229</v>
      </c>
      <c r="O2495" s="14">
        <v>0.519903574</v>
      </c>
      <c r="P2495" s="14" t="s">
        <v>3548</v>
      </c>
      <c r="Q2495" s="14" t="s">
        <v>3549</v>
      </c>
      <c r="T2495" s="14" t="s">
        <v>3550</v>
      </c>
      <c r="U2495" s="14" t="s">
        <v>3551</v>
      </c>
    </row>
    <row r="2496" spans="1:21">
      <c r="A2496" s="14" t="s">
        <v>12032</v>
      </c>
      <c r="B2496" s="14">
        <v>50.67559249</v>
      </c>
      <c r="C2496" s="14">
        <v>7.310174499</v>
      </c>
      <c r="D2496" s="14">
        <v>94.04101047</v>
      </c>
      <c r="E2496" s="14">
        <v>12.80141043</v>
      </c>
      <c r="F2496" s="14">
        <v>3.678230867</v>
      </c>
      <c r="G2496" s="51" t="s">
        <v>12033</v>
      </c>
      <c r="H2496" s="51" t="s">
        <v>12034</v>
      </c>
      <c r="I2496" s="14" t="s">
        <v>164</v>
      </c>
      <c r="J2496" s="14">
        <v>0.836615882</v>
      </c>
      <c r="K2496" s="14">
        <v>0.582977683</v>
      </c>
      <c r="L2496" s="14">
        <v>0.875244903</v>
      </c>
      <c r="M2496" s="14">
        <v>0.027530928</v>
      </c>
      <c r="N2496" s="14">
        <v>0.066031641</v>
      </c>
      <c r="O2496" s="14">
        <v>0.053871596</v>
      </c>
      <c r="P2496" s="14" t="s">
        <v>2334</v>
      </c>
      <c r="Q2496" s="14" t="s">
        <v>2335</v>
      </c>
      <c r="T2496" s="14" t="s">
        <v>2336</v>
      </c>
      <c r="U2496" s="14" t="s">
        <v>2337</v>
      </c>
    </row>
    <row r="2497" spans="1:15">
      <c r="A2497" s="14" t="s">
        <v>12035</v>
      </c>
      <c r="B2497" s="14">
        <v>1246.750502</v>
      </c>
      <c r="C2497" s="14">
        <v>1954.764799</v>
      </c>
      <c r="D2497" s="14">
        <v>538.7362047</v>
      </c>
      <c r="E2497" s="14">
        <v>0.275634647</v>
      </c>
      <c r="F2497" s="14">
        <v>-1.859170852</v>
      </c>
      <c r="G2497" s="51" t="s">
        <v>1716</v>
      </c>
      <c r="H2497" s="51" t="s">
        <v>1717</v>
      </c>
      <c r="I2497" s="14" t="s">
        <v>147</v>
      </c>
      <c r="J2497" s="14">
        <v>9.259369311</v>
      </c>
      <c r="K2497" s="14">
        <v>13.06089102</v>
      </c>
      <c r="L2497" s="14">
        <v>13.16378661</v>
      </c>
      <c r="M2497" s="14">
        <v>38.71868674</v>
      </c>
      <c r="N2497" s="14">
        <v>44.37178694</v>
      </c>
      <c r="O2497" s="14">
        <v>21.08785141</v>
      </c>
    </row>
    <row r="2498" spans="1:15">
      <c r="A2498" s="14" t="s">
        <v>12036</v>
      </c>
      <c r="B2498" s="14">
        <v>751.458576</v>
      </c>
      <c r="C2498" s="14">
        <v>1204.105365</v>
      </c>
      <c r="D2498" s="14">
        <v>298.811787</v>
      </c>
      <c r="E2498" s="14">
        <v>0.248030629</v>
      </c>
      <c r="F2498" s="14">
        <v>-2.011409805</v>
      </c>
      <c r="G2498" s="51" t="s">
        <v>4852</v>
      </c>
      <c r="H2498" s="51" t="s">
        <v>4853</v>
      </c>
      <c r="I2498" s="14" t="s">
        <v>147</v>
      </c>
      <c r="J2498" s="14">
        <v>5.189568852</v>
      </c>
      <c r="K2498" s="14">
        <v>5.177902664</v>
      </c>
      <c r="L2498" s="14">
        <v>3.253712943</v>
      </c>
      <c r="M2498" s="14">
        <v>14.41763727</v>
      </c>
      <c r="N2498" s="14">
        <v>14.3149553</v>
      </c>
      <c r="O2498" s="14">
        <v>16.66954925</v>
      </c>
    </row>
    <row r="2499" spans="1:21">
      <c r="A2499" s="14" t="s">
        <v>12037</v>
      </c>
      <c r="B2499" s="14">
        <v>29.50700922</v>
      </c>
      <c r="C2499" s="14">
        <v>46.48789055</v>
      </c>
      <c r="D2499" s="14">
        <v>12.52612788</v>
      </c>
      <c r="E2499" s="14">
        <v>0.268545128</v>
      </c>
      <c r="F2499" s="14">
        <v>-1.896763546</v>
      </c>
      <c r="G2499" s="14">
        <v>0.000401782</v>
      </c>
      <c r="H2499" s="14">
        <v>0.001638496</v>
      </c>
      <c r="I2499" s="14" t="s">
        <v>147</v>
      </c>
      <c r="J2499" s="14">
        <v>0.293830983</v>
      </c>
      <c r="K2499" s="14">
        <v>0.186789259</v>
      </c>
      <c r="L2499" s="14">
        <v>0.104231841</v>
      </c>
      <c r="M2499" s="14">
        <v>0.516032055</v>
      </c>
      <c r="N2499" s="14">
        <v>0.622012902</v>
      </c>
      <c r="O2499" s="14">
        <v>0.660223916</v>
      </c>
      <c r="P2499" s="14" t="s">
        <v>12038</v>
      </c>
      <c r="Q2499" s="14" t="s">
        <v>12039</v>
      </c>
      <c r="T2499" s="14" t="s">
        <v>12040</v>
      </c>
      <c r="U2499" s="14" t="s">
        <v>12041</v>
      </c>
    </row>
    <row r="2500" spans="1:21">
      <c r="A2500" s="14" t="s">
        <v>12042</v>
      </c>
      <c r="B2500" s="14">
        <v>22960.02745</v>
      </c>
      <c r="C2500" s="14">
        <v>34401.38161</v>
      </c>
      <c r="D2500" s="14">
        <v>11518.6733</v>
      </c>
      <c r="E2500" s="14">
        <v>0.334832462</v>
      </c>
      <c r="F2500" s="14">
        <v>-1.578488693</v>
      </c>
      <c r="G2500" s="51" t="s">
        <v>12043</v>
      </c>
      <c r="H2500" s="51" t="s">
        <v>6353</v>
      </c>
      <c r="I2500" s="14" t="s">
        <v>147</v>
      </c>
      <c r="J2500" s="14">
        <v>168.9603557</v>
      </c>
      <c r="K2500" s="14">
        <v>231.4005036</v>
      </c>
      <c r="L2500" s="14">
        <v>169.6298757</v>
      </c>
      <c r="M2500" s="14">
        <v>518.1709796</v>
      </c>
      <c r="N2500" s="14">
        <v>523.5642795</v>
      </c>
      <c r="O2500" s="14">
        <v>345.018832</v>
      </c>
      <c r="Q2500" s="14" t="s">
        <v>12044</v>
      </c>
      <c r="R2500" s="14" t="s">
        <v>5864</v>
      </c>
      <c r="S2500" s="14" t="s">
        <v>5865</v>
      </c>
      <c r="T2500" s="14" t="s">
        <v>12045</v>
      </c>
      <c r="U2500" s="14" t="s">
        <v>12046</v>
      </c>
    </row>
    <row r="2501" spans="1:21">
      <c r="A2501" s="14" t="s">
        <v>12047</v>
      </c>
      <c r="B2501" s="14">
        <v>145.5722726</v>
      </c>
      <c r="C2501" s="14">
        <v>62.63267343</v>
      </c>
      <c r="D2501" s="14">
        <v>228.5118718</v>
      </c>
      <c r="E2501" s="14">
        <v>3.654329601</v>
      </c>
      <c r="F2501" s="14">
        <v>1.869606763</v>
      </c>
      <c r="G2501" s="14">
        <v>0.001615236</v>
      </c>
      <c r="H2501" s="14">
        <v>0.005574928</v>
      </c>
      <c r="I2501" s="14" t="s">
        <v>164</v>
      </c>
      <c r="J2501" s="14">
        <v>3.298497691</v>
      </c>
      <c r="K2501" s="14">
        <v>2.444880399</v>
      </c>
      <c r="L2501" s="14">
        <v>3.827094201</v>
      </c>
      <c r="M2501" s="14">
        <v>0.791154263</v>
      </c>
      <c r="N2501" s="14">
        <v>1.076220388</v>
      </c>
      <c r="O2501" s="14">
        <v>0.231060319</v>
      </c>
      <c r="P2501" s="14" t="s">
        <v>12048</v>
      </c>
      <c r="Q2501" s="14" t="s">
        <v>12049</v>
      </c>
      <c r="T2501" s="14" t="s">
        <v>9523</v>
      </c>
      <c r="U2501" s="14" t="s">
        <v>9524</v>
      </c>
    </row>
    <row r="2502" spans="1:21">
      <c r="A2502" s="14" t="s">
        <v>12050</v>
      </c>
      <c r="B2502" s="14">
        <v>5415.436192</v>
      </c>
      <c r="C2502" s="14">
        <v>7480.861781</v>
      </c>
      <c r="D2502" s="14">
        <v>3350.010603</v>
      </c>
      <c r="E2502" s="14">
        <v>0.447822722</v>
      </c>
      <c r="F2502" s="14">
        <v>-1.159000364</v>
      </c>
      <c r="G2502" s="14">
        <v>0.000761237</v>
      </c>
      <c r="H2502" s="14">
        <v>0.002880797</v>
      </c>
      <c r="I2502" s="14" t="s">
        <v>147</v>
      </c>
      <c r="J2502" s="14">
        <v>29.14211991</v>
      </c>
      <c r="K2502" s="14">
        <v>31.56041451</v>
      </c>
      <c r="L2502" s="14">
        <v>27.66509717</v>
      </c>
      <c r="M2502" s="14">
        <v>66.19696811</v>
      </c>
      <c r="N2502" s="14">
        <v>62.27774247</v>
      </c>
      <c r="O2502" s="14">
        <v>31.07717696</v>
      </c>
      <c r="P2502" s="14" t="s">
        <v>12051</v>
      </c>
      <c r="Q2502" s="14" t="s">
        <v>12052</v>
      </c>
      <c r="T2502" s="14" t="s">
        <v>12053</v>
      </c>
      <c r="U2502" s="14" t="s">
        <v>12054</v>
      </c>
    </row>
    <row r="2503" spans="1:21">
      <c r="A2503" s="14" t="s">
        <v>12055</v>
      </c>
      <c r="B2503" s="14">
        <v>1308.267973</v>
      </c>
      <c r="C2503" s="14">
        <v>1784.075119</v>
      </c>
      <c r="D2503" s="14">
        <v>832.4608281</v>
      </c>
      <c r="E2503" s="14">
        <v>0.466490323</v>
      </c>
      <c r="F2503" s="14">
        <v>-1.100080943</v>
      </c>
      <c r="G2503" s="51" t="s">
        <v>12056</v>
      </c>
      <c r="H2503" s="51" t="s">
        <v>12057</v>
      </c>
      <c r="I2503" s="14" t="s">
        <v>147</v>
      </c>
      <c r="J2503" s="14">
        <v>11.49602427</v>
      </c>
      <c r="K2503" s="14">
        <v>11.24244541</v>
      </c>
      <c r="L2503" s="14">
        <v>11.56671534</v>
      </c>
      <c r="M2503" s="14">
        <v>18.17029391</v>
      </c>
      <c r="N2503" s="14">
        <v>18.28095876</v>
      </c>
      <c r="O2503" s="14">
        <v>24.47397252</v>
      </c>
      <c r="P2503" s="14" t="s">
        <v>12058</v>
      </c>
      <c r="Q2503" s="14" t="s">
        <v>12059</v>
      </c>
      <c r="R2503" s="14" t="s">
        <v>12060</v>
      </c>
      <c r="S2503" s="14" t="s">
        <v>12061</v>
      </c>
      <c r="T2503" s="14" t="s">
        <v>12062</v>
      </c>
      <c r="U2503" s="14" t="s">
        <v>12063</v>
      </c>
    </row>
    <row r="2504" spans="1:17">
      <c r="A2504" s="14" t="s">
        <v>12064</v>
      </c>
      <c r="B2504" s="14">
        <v>2495.283719</v>
      </c>
      <c r="C2504" s="14">
        <v>3528.836481</v>
      </c>
      <c r="D2504" s="14">
        <v>1461.730956</v>
      </c>
      <c r="E2504" s="14">
        <v>0.414192884</v>
      </c>
      <c r="F2504" s="14">
        <v>-1.271625326</v>
      </c>
      <c r="G2504" s="51" t="s">
        <v>12065</v>
      </c>
      <c r="H2504" s="51" t="s">
        <v>12066</v>
      </c>
      <c r="I2504" s="14" t="s">
        <v>147</v>
      </c>
      <c r="J2504" s="14">
        <v>54.59151331</v>
      </c>
      <c r="K2504" s="14">
        <v>53.37804623</v>
      </c>
      <c r="L2504" s="14">
        <v>52.59833371</v>
      </c>
      <c r="M2504" s="14">
        <v>95.80614134</v>
      </c>
      <c r="N2504" s="14">
        <v>111.2681988</v>
      </c>
      <c r="O2504" s="14">
        <v>112.4700015</v>
      </c>
      <c r="P2504" s="14" t="s">
        <v>12067</v>
      </c>
      <c r="Q2504" s="14" t="s">
        <v>12068</v>
      </c>
    </row>
    <row r="2505" spans="1:21">
      <c r="A2505" s="14" t="s">
        <v>12069</v>
      </c>
      <c r="B2505" s="14">
        <v>1844.637263</v>
      </c>
      <c r="C2505" s="14">
        <v>2908.764077</v>
      </c>
      <c r="D2505" s="14">
        <v>780.5104489</v>
      </c>
      <c r="E2505" s="14">
        <v>0.268339884</v>
      </c>
      <c r="F2505" s="14">
        <v>-1.897866595</v>
      </c>
      <c r="G2505" s="51" t="s">
        <v>12070</v>
      </c>
      <c r="H2505" s="51" t="s">
        <v>12071</v>
      </c>
      <c r="I2505" s="14" t="s">
        <v>147</v>
      </c>
      <c r="J2505" s="14">
        <v>10.5144142</v>
      </c>
      <c r="K2505" s="14">
        <v>9.944768454</v>
      </c>
      <c r="L2505" s="14">
        <v>9.513194787</v>
      </c>
      <c r="M2505" s="14">
        <v>30.79718543</v>
      </c>
      <c r="N2505" s="14">
        <v>32.81527786</v>
      </c>
      <c r="O2505" s="14">
        <v>27.93370153</v>
      </c>
      <c r="P2505" s="14" t="s">
        <v>12072</v>
      </c>
      <c r="Q2505" s="14" t="s">
        <v>12073</v>
      </c>
      <c r="T2505" s="14" t="s">
        <v>12074</v>
      </c>
      <c r="U2505" s="14" t="s">
        <v>12075</v>
      </c>
    </row>
    <row r="2506" spans="1:15">
      <c r="A2506" s="14" t="s">
        <v>12076</v>
      </c>
      <c r="B2506" s="14">
        <v>901.1123764</v>
      </c>
      <c r="C2506" s="14">
        <v>583.7191473</v>
      </c>
      <c r="D2506" s="14">
        <v>1218.505605</v>
      </c>
      <c r="E2506" s="14">
        <v>2.086073878</v>
      </c>
      <c r="F2506" s="14">
        <v>1.060790252</v>
      </c>
      <c r="G2506" s="51" t="s">
        <v>12077</v>
      </c>
      <c r="H2506" s="51" t="s">
        <v>12078</v>
      </c>
      <c r="I2506" s="14" t="s">
        <v>164</v>
      </c>
      <c r="J2506" s="14">
        <v>9.480520899</v>
      </c>
      <c r="K2506" s="14">
        <v>9.526483558</v>
      </c>
      <c r="L2506" s="14">
        <v>10.23408327</v>
      </c>
      <c r="M2506" s="14">
        <v>3.17140706</v>
      </c>
      <c r="N2506" s="14">
        <v>3.465170313</v>
      </c>
      <c r="O2506" s="14">
        <v>5.01229859</v>
      </c>
    </row>
    <row r="2507" spans="1:15">
      <c r="A2507" s="14" t="s">
        <v>12079</v>
      </c>
      <c r="B2507" s="14">
        <v>13.94500741</v>
      </c>
      <c r="C2507" s="14">
        <v>0.361896244</v>
      </c>
      <c r="D2507" s="14">
        <v>27.52811857</v>
      </c>
      <c r="E2507" s="14">
        <v>76.22786875</v>
      </c>
      <c r="F2507" s="14">
        <v>6.252246635</v>
      </c>
      <c r="G2507" s="14">
        <v>0.000209735</v>
      </c>
      <c r="H2507" s="14">
        <v>0.000914344</v>
      </c>
      <c r="I2507" s="14" t="s">
        <v>164</v>
      </c>
      <c r="J2507" s="14">
        <v>3.283255352</v>
      </c>
      <c r="K2507" s="14">
        <v>0.336070635</v>
      </c>
      <c r="L2507" s="14">
        <v>1.018039505</v>
      </c>
      <c r="M2507" s="14">
        <v>0.047612473</v>
      </c>
      <c r="N2507" s="14">
        <v>0</v>
      </c>
      <c r="O2507" s="14">
        <v>0</v>
      </c>
    </row>
    <row r="2508" spans="1:21">
      <c r="A2508" s="14" t="s">
        <v>12080</v>
      </c>
      <c r="B2508" s="14">
        <v>9.990291356</v>
      </c>
      <c r="C2508" s="14">
        <v>0</v>
      </c>
      <c r="D2508" s="14">
        <v>19.98058271</v>
      </c>
      <c r="E2508" s="14">
        <v>107.7668733</v>
      </c>
      <c r="F2508" s="14">
        <v>6.751769962</v>
      </c>
      <c r="G2508" s="14">
        <v>0.000509906</v>
      </c>
      <c r="H2508" s="14">
        <v>0.002018434</v>
      </c>
      <c r="I2508" s="14" t="s">
        <v>164</v>
      </c>
      <c r="J2508" s="14">
        <v>1.061242514</v>
      </c>
      <c r="K2508" s="14">
        <v>0.072829929</v>
      </c>
      <c r="L2508" s="14">
        <v>0.325123514</v>
      </c>
      <c r="M2508" s="14">
        <v>0</v>
      </c>
      <c r="N2508" s="14">
        <v>0</v>
      </c>
      <c r="O2508" s="14">
        <v>0</v>
      </c>
      <c r="P2508" s="14" t="s">
        <v>12081</v>
      </c>
      <c r="Q2508" s="14" t="s">
        <v>12082</v>
      </c>
      <c r="T2508" s="14" t="s">
        <v>399</v>
      </c>
      <c r="U2508" s="14" t="s">
        <v>400</v>
      </c>
    </row>
    <row r="2509" spans="1:15">
      <c r="A2509" s="14" t="s">
        <v>12083</v>
      </c>
      <c r="B2509" s="14">
        <v>8.405233517</v>
      </c>
      <c r="C2509" s="14">
        <v>0</v>
      </c>
      <c r="D2509" s="14">
        <v>16.81046703</v>
      </c>
      <c r="E2509" s="14">
        <v>90.64709234</v>
      </c>
      <c r="F2509" s="14">
        <v>6.502188839</v>
      </c>
      <c r="G2509" s="14">
        <v>0.000634966</v>
      </c>
      <c r="H2509" s="14">
        <v>0.002456167</v>
      </c>
      <c r="I2509" s="14" t="s">
        <v>164</v>
      </c>
      <c r="J2509" s="14">
        <v>1.950167115</v>
      </c>
      <c r="K2509" s="14">
        <v>0.309931808</v>
      </c>
      <c r="L2509" s="14">
        <v>0.345895294</v>
      </c>
      <c r="M2509" s="14">
        <v>0</v>
      </c>
      <c r="N2509" s="14">
        <v>0</v>
      </c>
      <c r="O2509" s="14">
        <v>0</v>
      </c>
    </row>
    <row r="2510" spans="1:21">
      <c r="A2510" s="14" t="s">
        <v>12084</v>
      </c>
      <c r="B2510" s="14">
        <v>4321.687179</v>
      </c>
      <c r="C2510" s="14">
        <v>2569.357351</v>
      </c>
      <c r="D2510" s="14">
        <v>6074.017007</v>
      </c>
      <c r="E2510" s="14">
        <v>2.364440627</v>
      </c>
      <c r="F2510" s="14">
        <v>1.241498915</v>
      </c>
      <c r="G2510" s="51" t="s">
        <v>12085</v>
      </c>
      <c r="H2510" s="51" t="s">
        <v>12086</v>
      </c>
      <c r="I2510" s="14" t="s">
        <v>164</v>
      </c>
      <c r="J2510" s="14">
        <v>22.54272104</v>
      </c>
      <c r="K2510" s="14">
        <v>21.35652802</v>
      </c>
      <c r="L2510" s="14">
        <v>23.83112739</v>
      </c>
      <c r="M2510" s="14">
        <v>7.742049776</v>
      </c>
      <c r="N2510" s="14">
        <v>8.167616882</v>
      </c>
      <c r="O2510" s="14">
        <v>7.602415285</v>
      </c>
      <c r="P2510" s="14" t="s">
        <v>2381</v>
      </c>
      <c r="Q2510" s="14" t="s">
        <v>2382</v>
      </c>
      <c r="T2510" s="14" t="s">
        <v>2383</v>
      </c>
      <c r="U2510" s="14" t="s">
        <v>2384</v>
      </c>
    </row>
    <row r="2511" spans="1:15">
      <c r="A2511" s="14" t="s">
        <v>12087</v>
      </c>
      <c r="B2511" s="14">
        <v>106.2838277</v>
      </c>
      <c r="C2511" s="14">
        <v>9.272665379</v>
      </c>
      <c r="D2511" s="14">
        <v>203.29499</v>
      </c>
      <c r="E2511" s="14">
        <v>21.80683867</v>
      </c>
      <c r="F2511" s="14">
        <v>4.446708733</v>
      </c>
      <c r="G2511" s="14">
        <v>0.002792785</v>
      </c>
      <c r="H2511" s="14">
        <v>0.008937814</v>
      </c>
      <c r="I2511" s="14" t="s">
        <v>164</v>
      </c>
      <c r="J2511" s="14">
        <v>4.44774956</v>
      </c>
      <c r="K2511" s="14">
        <v>4.821161461</v>
      </c>
      <c r="L2511" s="14">
        <v>8.345410262</v>
      </c>
      <c r="M2511" s="14">
        <v>0</v>
      </c>
      <c r="N2511" s="14">
        <v>0</v>
      </c>
      <c r="O2511" s="14">
        <v>0.71600173</v>
      </c>
    </row>
    <row r="2512" spans="1:21">
      <c r="A2512" s="14" t="s">
        <v>12088</v>
      </c>
      <c r="B2512" s="14">
        <v>979.0501295</v>
      </c>
      <c r="C2512" s="14">
        <v>1367.384974</v>
      </c>
      <c r="D2512" s="14">
        <v>590.7152854</v>
      </c>
      <c r="E2512" s="14">
        <v>0.431981319</v>
      </c>
      <c r="F2512" s="14">
        <v>-1.210959169</v>
      </c>
      <c r="G2512" s="51" t="s">
        <v>12089</v>
      </c>
      <c r="H2512" s="51" t="s">
        <v>3601</v>
      </c>
      <c r="I2512" s="14" t="s">
        <v>147</v>
      </c>
      <c r="J2512" s="14">
        <v>1.110770308</v>
      </c>
      <c r="K2512" s="14">
        <v>1.286367456</v>
      </c>
      <c r="L2512" s="14">
        <v>0.84895207</v>
      </c>
      <c r="M2512" s="14">
        <v>2.029839267</v>
      </c>
      <c r="N2512" s="14">
        <v>2.436848687</v>
      </c>
      <c r="O2512" s="14">
        <v>1.681598919</v>
      </c>
      <c r="P2512" s="14" t="s">
        <v>2352</v>
      </c>
      <c r="Q2512" s="14" t="s">
        <v>2353</v>
      </c>
      <c r="T2512" s="14" t="s">
        <v>2354</v>
      </c>
      <c r="U2512" s="14" t="s">
        <v>2355</v>
      </c>
    </row>
    <row r="2513" spans="1:21">
      <c r="A2513" s="14" t="s">
        <v>12090</v>
      </c>
      <c r="B2513" s="14">
        <v>700.1298419</v>
      </c>
      <c r="C2513" s="14">
        <v>283.8484531</v>
      </c>
      <c r="D2513" s="14">
        <v>1116.411231</v>
      </c>
      <c r="E2513" s="14">
        <v>3.935083337</v>
      </c>
      <c r="F2513" s="14">
        <v>1.976394189</v>
      </c>
      <c r="G2513" s="51" t="s">
        <v>12091</v>
      </c>
      <c r="H2513" s="14">
        <v>0.000424496</v>
      </c>
      <c r="I2513" s="14" t="s">
        <v>164</v>
      </c>
      <c r="J2513" s="14">
        <v>15.41052105</v>
      </c>
      <c r="K2513" s="14">
        <v>24.71628824</v>
      </c>
      <c r="L2513" s="14">
        <v>14.77533776</v>
      </c>
      <c r="M2513" s="14">
        <v>5.026233171</v>
      </c>
      <c r="N2513" s="14">
        <v>4.648425923</v>
      </c>
      <c r="O2513" s="14">
        <v>1.552920721</v>
      </c>
      <c r="P2513" s="14" t="s">
        <v>2904</v>
      </c>
      <c r="Q2513" s="14" t="s">
        <v>2905</v>
      </c>
      <c r="T2513" s="14" t="s">
        <v>2906</v>
      </c>
      <c r="U2513" s="14" t="s">
        <v>2907</v>
      </c>
    </row>
    <row r="2514" spans="1:21">
      <c r="A2514" s="14" t="s">
        <v>12092</v>
      </c>
      <c r="B2514" s="14">
        <v>17.90764214</v>
      </c>
      <c r="C2514" s="14">
        <v>4.575363126</v>
      </c>
      <c r="D2514" s="14">
        <v>31.23992115</v>
      </c>
      <c r="E2514" s="14">
        <v>6.747087899</v>
      </c>
      <c r="F2514" s="14">
        <v>2.754264957</v>
      </c>
      <c r="G2514" s="51" t="s">
        <v>12093</v>
      </c>
      <c r="H2514" s="14">
        <v>0.000393106</v>
      </c>
      <c r="I2514" s="14" t="s">
        <v>164</v>
      </c>
      <c r="J2514" s="14">
        <v>0.276605703</v>
      </c>
      <c r="K2514" s="14">
        <v>0.165542212</v>
      </c>
      <c r="L2514" s="14">
        <v>0.266329645</v>
      </c>
      <c r="M2514" s="14">
        <v>0.019188841</v>
      </c>
      <c r="N2514" s="14">
        <v>0.018409415</v>
      </c>
      <c r="O2514" s="14">
        <v>0.050064108</v>
      </c>
      <c r="P2514" s="14" t="s">
        <v>2334</v>
      </c>
      <c r="Q2514" s="14" t="s">
        <v>2335</v>
      </c>
      <c r="T2514" s="14" t="s">
        <v>2336</v>
      </c>
      <c r="U2514" s="14" t="s">
        <v>2337</v>
      </c>
    </row>
    <row r="2515" spans="1:21">
      <c r="A2515" s="14" t="s">
        <v>12094</v>
      </c>
      <c r="B2515" s="14">
        <v>126.8485011</v>
      </c>
      <c r="C2515" s="14">
        <v>178.6067643</v>
      </c>
      <c r="D2515" s="14">
        <v>75.09023796</v>
      </c>
      <c r="E2515" s="14">
        <v>0.420539799</v>
      </c>
      <c r="F2515" s="14">
        <v>-1.249685756</v>
      </c>
      <c r="G2515" s="14">
        <v>0.005132294</v>
      </c>
      <c r="H2515" s="14">
        <v>0.015158954</v>
      </c>
      <c r="I2515" s="14" t="s">
        <v>147</v>
      </c>
      <c r="J2515" s="14">
        <v>1.899984217</v>
      </c>
      <c r="K2515" s="14">
        <v>1.313561403</v>
      </c>
      <c r="L2515" s="14">
        <v>1.145684056</v>
      </c>
      <c r="M2515" s="14">
        <v>2.9720866</v>
      </c>
      <c r="N2515" s="14">
        <v>3.733554293</v>
      </c>
      <c r="O2515" s="14">
        <v>1.702933754</v>
      </c>
      <c r="P2515" s="14" t="s">
        <v>2904</v>
      </c>
      <c r="Q2515" s="14" t="s">
        <v>2905</v>
      </c>
      <c r="T2515" s="14" t="s">
        <v>2906</v>
      </c>
      <c r="U2515" s="14" t="s">
        <v>2907</v>
      </c>
    </row>
    <row r="2516" spans="1:15">
      <c r="A2516" s="14" t="s">
        <v>12095</v>
      </c>
      <c r="B2516" s="14">
        <v>121.3465448</v>
      </c>
      <c r="C2516" s="14">
        <v>33.00842907</v>
      </c>
      <c r="D2516" s="14">
        <v>209.6846605</v>
      </c>
      <c r="E2516" s="14">
        <v>6.335673947</v>
      </c>
      <c r="F2516" s="14">
        <v>2.663498092</v>
      </c>
      <c r="G2516" s="14">
        <v>0.008188623</v>
      </c>
      <c r="H2516" s="14">
        <v>0.022716703</v>
      </c>
      <c r="I2516" s="14" t="s">
        <v>164</v>
      </c>
      <c r="J2516" s="14">
        <v>18.40928431</v>
      </c>
      <c r="K2516" s="14">
        <v>9.364368204</v>
      </c>
      <c r="L2516" s="14">
        <v>14.16758887</v>
      </c>
      <c r="M2516" s="14">
        <v>0.112909578</v>
      </c>
      <c r="N2516" s="14">
        <v>0.812425015</v>
      </c>
      <c r="O2516" s="14">
        <v>4.860628885</v>
      </c>
    </row>
    <row r="2517" spans="1:21">
      <c r="A2517" s="14" t="s">
        <v>12096</v>
      </c>
      <c r="B2517" s="14">
        <v>399.0630698</v>
      </c>
      <c r="C2517" s="14">
        <v>167.5091066</v>
      </c>
      <c r="D2517" s="14">
        <v>630.6170329</v>
      </c>
      <c r="E2517" s="14">
        <v>3.767845655</v>
      </c>
      <c r="F2517" s="14">
        <v>1.913739868</v>
      </c>
      <c r="G2517" s="51" t="s">
        <v>12097</v>
      </c>
      <c r="H2517" s="51" t="s">
        <v>2158</v>
      </c>
      <c r="I2517" s="14" t="s">
        <v>164</v>
      </c>
      <c r="J2517" s="14">
        <v>7.655198646</v>
      </c>
      <c r="K2517" s="14">
        <v>9.27072744</v>
      </c>
      <c r="L2517" s="14">
        <v>8.907473032</v>
      </c>
      <c r="M2517" s="14">
        <v>1.897806666</v>
      </c>
      <c r="N2517" s="14">
        <v>2.631162713</v>
      </c>
      <c r="O2517" s="14">
        <v>1.018965858</v>
      </c>
      <c r="P2517" s="14" t="s">
        <v>12098</v>
      </c>
      <c r="Q2517" s="14" t="s">
        <v>12099</v>
      </c>
      <c r="T2517" s="14" t="s">
        <v>12100</v>
      </c>
      <c r="U2517" s="14" t="s">
        <v>12101</v>
      </c>
    </row>
    <row r="2518" spans="1:21">
      <c r="A2518" s="14" t="s">
        <v>12102</v>
      </c>
      <c r="B2518" s="14">
        <v>50021.56628</v>
      </c>
      <c r="C2518" s="14">
        <v>91740.40332</v>
      </c>
      <c r="D2518" s="14">
        <v>8302.729228</v>
      </c>
      <c r="E2518" s="14">
        <v>0.090503268</v>
      </c>
      <c r="F2518" s="14">
        <v>-3.465886307</v>
      </c>
      <c r="G2518" s="14">
        <v>0.001778866</v>
      </c>
      <c r="H2518" s="14">
        <v>0.006055216</v>
      </c>
      <c r="I2518" s="14" t="s">
        <v>147</v>
      </c>
      <c r="J2518" s="14">
        <v>172.3667885</v>
      </c>
      <c r="K2518" s="14">
        <v>602.9910955</v>
      </c>
      <c r="L2518" s="14">
        <v>262.6854278</v>
      </c>
      <c r="M2518" s="14">
        <v>4125.751414</v>
      </c>
      <c r="N2518" s="14">
        <v>4715.615955</v>
      </c>
      <c r="O2518" s="14">
        <v>291.8358835</v>
      </c>
      <c r="Q2518" s="14" t="s">
        <v>10303</v>
      </c>
      <c r="T2518" s="14" t="s">
        <v>10304</v>
      </c>
      <c r="U2518" s="14" t="s">
        <v>10305</v>
      </c>
    </row>
    <row r="2519" spans="1:21">
      <c r="A2519" s="14" t="s">
        <v>12103</v>
      </c>
      <c r="B2519" s="14">
        <v>158.8774349</v>
      </c>
      <c r="C2519" s="14">
        <v>33.59355147</v>
      </c>
      <c r="D2519" s="14">
        <v>284.1613184</v>
      </c>
      <c r="E2519" s="14">
        <v>8.442867055</v>
      </c>
      <c r="F2519" s="14">
        <v>3.077732997</v>
      </c>
      <c r="G2519" s="51" t="s">
        <v>12104</v>
      </c>
      <c r="H2519" s="51" t="s">
        <v>12105</v>
      </c>
      <c r="I2519" s="14" t="s">
        <v>164</v>
      </c>
      <c r="J2519" s="14">
        <v>7.877683557</v>
      </c>
      <c r="K2519" s="14">
        <v>3.841556401</v>
      </c>
      <c r="L2519" s="14">
        <v>4.453259432</v>
      </c>
      <c r="M2519" s="14">
        <v>0.450412698</v>
      </c>
      <c r="N2519" s="14">
        <v>0.462983048</v>
      </c>
      <c r="O2519" s="14">
        <v>0.676752788</v>
      </c>
      <c r="P2519" s="14" t="s">
        <v>12106</v>
      </c>
      <c r="Q2519" s="14" t="s">
        <v>12107</v>
      </c>
      <c r="R2519" s="14" t="s">
        <v>5148</v>
      </c>
      <c r="S2519" s="14" t="s">
        <v>5149</v>
      </c>
      <c r="T2519" s="14" t="s">
        <v>12108</v>
      </c>
      <c r="U2519" s="14" t="s">
        <v>12109</v>
      </c>
    </row>
    <row r="2520" spans="1:21">
      <c r="A2520" s="14" t="s">
        <v>12110</v>
      </c>
      <c r="B2520" s="14">
        <v>545.2311928</v>
      </c>
      <c r="C2520" s="14">
        <v>255.8870029</v>
      </c>
      <c r="D2520" s="14">
        <v>834.5753828</v>
      </c>
      <c r="E2520" s="14">
        <v>3.262824106</v>
      </c>
      <c r="F2520" s="14">
        <v>1.706121216</v>
      </c>
      <c r="G2520" s="51" t="s">
        <v>12111</v>
      </c>
      <c r="H2520" s="51" t="s">
        <v>5942</v>
      </c>
      <c r="I2520" s="14" t="s">
        <v>164</v>
      </c>
      <c r="J2520" s="14">
        <v>19.84104658</v>
      </c>
      <c r="K2520" s="14">
        <v>25.34442367</v>
      </c>
      <c r="L2520" s="14">
        <v>17.47807325</v>
      </c>
      <c r="M2520" s="14">
        <v>5.269113629</v>
      </c>
      <c r="N2520" s="14">
        <v>5.585057988</v>
      </c>
      <c r="O2520" s="14">
        <v>4.926553837</v>
      </c>
      <c r="P2520" s="14" t="s">
        <v>9297</v>
      </c>
      <c r="Q2520" s="14" t="s">
        <v>9298</v>
      </c>
      <c r="T2520" s="14" t="s">
        <v>9299</v>
      </c>
      <c r="U2520" s="14" t="s">
        <v>9300</v>
      </c>
    </row>
    <row r="2521" spans="1:21">
      <c r="A2521" s="14" t="s">
        <v>12112</v>
      </c>
      <c r="B2521" s="14">
        <v>304.4603847</v>
      </c>
      <c r="C2521" s="14">
        <v>446.9634788</v>
      </c>
      <c r="D2521" s="14">
        <v>161.9572906</v>
      </c>
      <c r="E2521" s="14">
        <v>0.362441875</v>
      </c>
      <c r="F2521" s="14">
        <v>-1.464178448</v>
      </c>
      <c r="G2521" s="14">
        <v>0.006184586</v>
      </c>
      <c r="H2521" s="14">
        <v>0.017808928</v>
      </c>
      <c r="I2521" s="14" t="s">
        <v>147</v>
      </c>
      <c r="J2521" s="14">
        <v>1.234462468</v>
      </c>
      <c r="K2521" s="14">
        <v>1.391940712</v>
      </c>
      <c r="L2521" s="14">
        <v>1.203647081</v>
      </c>
      <c r="M2521" s="14">
        <v>3.696698412</v>
      </c>
      <c r="N2521" s="14">
        <v>3.751768183</v>
      </c>
      <c r="O2521" s="14">
        <v>1.026827629</v>
      </c>
      <c r="P2521" s="14" t="s">
        <v>2880</v>
      </c>
      <c r="Q2521" s="14" t="s">
        <v>2881</v>
      </c>
      <c r="T2521" s="14" t="s">
        <v>2882</v>
      </c>
      <c r="U2521" s="14" t="s">
        <v>2883</v>
      </c>
    </row>
    <row r="2522" spans="1:21">
      <c r="A2522" s="14" t="s">
        <v>12113</v>
      </c>
      <c r="B2522" s="14">
        <v>538.3909945</v>
      </c>
      <c r="C2522" s="14">
        <v>854.1326237</v>
      </c>
      <c r="D2522" s="14">
        <v>222.6493654</v>
      </c>
      <c r="E2522" s="14">
        <v>0.26068964</v>
      </c>
      <c r="F2522" s="14">
        <v>-1.939594845</v>
      </c>
      <c r="G2522" s="14">
        <v>0.002805798</v>
      </c>
      <c r="H2522" s="14">
        <v>0.008974624</v>
      </c>
      <c r="I2522" s="14" t="s">
        <v>147</v>
      </c>
      <c r="J2522" s="14">
        <v>2.848832291</v>
      </c>
      <c r="K2522" s="14">
        <v>5.124055077</v>
      </c>
      <c r="L2522" s="14">
        <v>3.375995776</v>
      </c>
      <c r="M2522" s="14">
        <v>15.21600788</v>
      </c>
      <c r="N2522" s="14">
        <v>16.75651302</v>
      </c>
      <c r="O2522" s="14">
        <v>2.822196599</v>
      </c>
      <c r="P2522" s="14" t="s">
        <v>2880</v>
      </c>
      <c r="Q2522" s="14" t="s">
        <v>2881</v>
      </c>
      <c r="T2522" s="14" t="s">
        <v>2882</v>
      </c>
      <c r="U2522" s="14" t="s">
        <v>2883</v>
      </c>
    </row>
    <row r="2523" spans="1:21">
      <c r="A2523" s="14" t="s">
        <v>12114</v>
      </c>
      <c r="B2523" s="14">
        <v>1988.943926</v>
      </c>
      <c r="C2523" s="14">
        <v>1113.006609</v>
      </c>
      <c r="D2523" s="14">
        <v>2864.881243</v>
      </c>
      <c r="E2523" s="14">
        <v>2.57352747</v>
      </c>
      <c r="F2523" s="14">
        <v>1.363747182</v>
      </c>
      <c r="G2523" s="51" t="s">
        <v>12115</v>
      </c>
      <c r="H2523" s="51" t="s">
        <v>12116</v>
      </c>
      <c r="I2523" s="14" t="s">
        <v>164</v>
      </c>
      <c r="J2523" s="14">
        <v>47.69055289</v>
      </c>
      <c r="K2523" s="14">
        <v>32.87490965</v>
      </c>
      <c r="L2523" s="14">
        <v>51.79795599</v>
      </c>
      <c r="M2523" s="14">
        <v>10.86537552</v>
      </c>
      <c r="N2523" s="14">
        <v>13.23627832</v>
      </c>
      <c r="O2523" s="14">
        <v>18.64798966</v>
      </c>
      <c r="P2523" s="14" t="s">
        <v>5072</v>
      </c>
      <c r="Q2523" s="14" t="s">
        <v>5073</v>
      </c>
      <c r="T2523" s="14" t="s">
        <v>5074</v>
      </c>
      <c r="U2523" s="14" t="s">
        <v>5075</v>
      </c>
    </row>
    <row r="2524" spans="1:21">
      <c r="A2524" s="14" t="s">
        <v>12117</v>
      </c>
      <c r="B2524" s="14">
        <v>417.0923481</v>
      </c>
      <c r="C2524" s="14">
        <v>225.3744631</v>
      </c>
      <c r="D2524" s="14">
        <v>608.810233</v>
      </c>
      <c r="E2524" s="14">
        <v>2.698832499</v>
      </c>
      <c r="F2524" s="14">
        <v>1.43233544</v>
      </c>
      <c r="G2524" s="14">
        <v>0.001550082</v>
      </c>
      <c r="H2524" s="14">
        <v>0.005377139</v>
      </c>
      <c r="I2524" s="14" t="s">
        <v>164</v>
      </c>
      <c r="J2524" s="14">
        <v>16.69879938</v>
      </c>
      <c r="K2524" s="14">
        <v>17.28465853</v>
      </c>
      <c r="L2524" s="14">
        <v>20.66819406</v>
      </c>
      <c r="M2524" s="14">
        <v>2.659889092</v>
      </c>
      <c r="N2524" s="14">
        <v>4.32598961</v>
      </c>
      <c r="O2524" s="14">
        <v>10.18650153</v>
      </c>
      <c r="P2524" s="14" t="s">
        <v>12118</v>
      </c>
      <c r="Q2524" s="14" t="s">
        <v>12119</v>
      </c>
      <c r="T2524" s="14" t="s">
        <v>12120</v>
      </c>
      <c r="U2524" s="14" t="s">
        <v>12121</v>
      </c>
    </row>
    <row r="2525" spans="1:15">
      <c r="A2525" s="14" t="s">
        <v>12122</v>
      </c>
      <c r="B2525" s="14">
        <v>530.3106362</v>
      </c>
      <c r="C2525" s="14">
        <v>182.483548</v>
      </c>
      <c r="D2525" s="14">
        <v>878.1377244</v>
      </c>
      <c r="E2525" s="14">
        <v>4.815801502</v>
      </c>
      <c r="F2525" s="14">
        <v>2.267775928</v>
      </c>
      <c r="G2525" s="51" t="s">
        <v>6275</v>
      </c>
      <c r="H2525" s="51" t="s">
        <v>7621</v>
      </c>
      <c r="I2525" s="14" t="s">
        <v>164</v>
      </c>
      <c r="J2525" s="14">
        <v>169.4147162</v>
      </c>
      <c r="K2525" s="14">
        <v>128.5924615</v>
      </c>
      <c r="L2525" s="14">
        <v>165.9738011</v>
      </c>
      <c r="M2525" s="14">
        <v>28.93041634</v>
      </c>
      <c r="N2525" s="14">
        <v>37.34089314</v>
      </c>
      <c r="O2525" s="14">
        <v>11.23447242</v>
      </c>
    </row>
    <row r="2526" spans="1:21">
      <c r="A2526" s="14" t="s">
        <v>12123</v>
      </c>
      <c r="B2526" s="14">
        <v>251.4502282</v>
      </c>
      <c r="C2526" s="14">
        <v>96.61414741</v>
      </c>
      <c r="D2526" s="14">
        <v>406.286309</v>
      </c>
      <c r="E2526" s="14">
        <v>4.208611485</v>
      </c>
      <c r="F2526" s="14">
        <v>2.073344334</v>
      </c>
      <c r="G2526" s="51" t="s">
        <v>12124</v>
      </c>
      <c r="H2526" s="14">
        <v>0.000270421</v>
      </c>
      <c r="I2526" s="14" t="s">
        <v>164</v>
      </c>
      <c r="J2526" s="14">
        <v>16.29639076</v>
      </c>
      <c r="K2526" s="14">
        <v>6.215480284</v>
      </c>
      <c r="L2526" s="14">
        <v>14.64683954</v>
      </c>
      <c r="M2526" s="14">
        <v>2.26800978</v>
      </c>
      <c r="N2526" s="14">
        <v>3.46163702</v>
      </c>
      <c r="O2526" s="14">
        <v>1.412079933</v>
      </c>
      <c r="P2526" s="14" t="s">
        <v>12125</v>
      </c>
      <c r="Q2526" s="14" t="s">
        <v>12126</v>
      </c>
      <c r="R2526" s="14" t="s">
        <v>1953</v>
      </c>
      <c r="S2526" s="14" t="s">
        <v>1954</v>
      </c>
      <c r="T2526" s="14" t="s">
        <v>12127</v>
      </c>
      <c r="U2526" s="14" t="s">
        <v>12128</v>
      </c>
    </row>
    <row r="2527" spans="1:21">
      <c r="A2527" s="14" t="s">
        <v>12129</v>
      </c>
      <c r="B2527" s="14">
        <v>69.04986282</v>
      </c>
      <c r="C2527" s="14">
        <v>114.5582829</v>
      </c>
      <c r="D2527" s="14">
        <v>23.5414427</v>
      </c>
      <c r="E2527" s="14">
        <v>0.205682782</v>
      </c>
      <c r="F2527" s="14">
        <v>-2.281507064</v>
      </c>
      <c r="G2527" s="51" t="s">
        <v>12130</v>
      </c>
      <c r="H2527" s="51" t="s">
        <v>12131</v>
      </c>
      <c r="I2527" s="14" t="s">
        <v>147</v>
      </c>
      <c r="J2527" s="14">
        <v>0.146723205</v>
      </c>
      <c r="K2527" s="14">
        <v>0.076078239</v>
      </c>
      <c r="L2527" s="14">
        <v>0.09418157</v>
      </c>
      <c r="M2527" s="14">
        <v>0.574420457</v>
      </c>
      <c r="N2527" s="14">
        <v>0.408754187</v>
      </c>
      <c r="O2527" s="14">
        <v>0.264253229</v>
      </c>
      <c r="P2527" s="14" t="s">
        <v>12132</v>
      </c>
      <c r="Q2527" s="14" t="s">
        <v>12133</v>
      </c>
      <c r="R2527" s="14" t="s">
        <v>12134</v>
      </c>
      <c r="S2527" s="14" t="s">
        <v>12135</v>
      </c>
      <c r="T2527" s="14" t="s">
        <v>12136</v>
      </c>
      <c r="U2527" s="14" t="s">
        <v>12137</v>
      </c>
    </row>
    <row r="2528" spans="1:21">
      <c r="A2528" s="14" t="s">
        <v>12138</v>
      </c>
      <c r="B2528" s="14">
        <v>207.2649555</v>
      </c>
      <c r="C2528" s="14">
        <v>77.47130941</v>
      </c>
      <c r="D2528" s="14">
        <v>337.0586016</v>
      </c>
      <c r="E2528" s="14">
        <v>4.344691705</v>
      </c>
      <c r="F2528" s="14">
        <v>2.119253809</v>
      </c>
      <c r="G2528" s="14">
        <v>0.000907865</v>
      </c>
      <c r="H2528" s="14">
        <v>0.003362821</v>
      </c>
      <c r="I2528" s="14" t="s">
        <v>164</v>
      </c>
      <c r="J2528" s="14">
        <v>1.12925324</v>
      </c>
      <c r="K2528" s="14">
        <v>2.025262862</v>
      </c>
      <c r="L2528" s="14">
        <v>2.090582992</v>
      </c>
      <c r="M2528" s="14">
        <v>0.237154031</v>
      </c>
      <c r="N2528" s="14">
        <v>0.10533386</v>
      </c>
      <c r="O2528" s="14">
        <v>0.687488973</v>
      </c>
      <c r="P2528" s="14" t="s">
        <v>6855</v>
      </c>
      <c r="Q2528" s="14" t="s">
        <v>6856</v>
      </c>
      <c r="T2528" s="14" t="s">
        <v>6857</v>
      </c>
      <c r="U2528" s="14" t="s">
        <v>6858</v>
      </c>
    </row>
    <row r="2529" spans="1:21">
      <c r="A2529" s="14" t="s">
        <v>12139</v>
      </c>
      <c r="B2529" s="14">
        <v>639.6743916</v>
      </c>
      <c r="C2529" s="14">
        <v>271.3433732</v>
      </c>
      <c r="D2529" s="14">
        <v>1008.00541</v>
      </c>
      <c r="E2529" s="14">
        <v>3.71669504</v>
      </c>
      <c r="F2529" s="14">
        <v>1.894020318</v>
      </c>
      <c r="G2529" s="51" t="s">
        <v>12140</v>
      </c>
      <c r="H2529" s="51" t="s">
        <v>2101</v>
      </c>
      <c r="I2529" s="14" t="s">
        <v>164</v>
      </c>
      <c r="J2529" s="14">
        <v>5.836954781</v>
      </c>
      <c r="K2529" s="14">
        <v>5.608020728</v>
      </c>
      <c r="L2529" s="14">
        <v>7.876667391</v>
      </c>
      <c r="M2529" s="14">
        <v>1.291755575</v>
      </c>
      <c r="N2529" s="14">
        <v>1.985968968</v>
      </c>
      <c r="O2529" s="14">
        <v>0.941264002</v>
      </c>
      <c r="P2529" s="14" t="s">
        <v>2619</v>
      </c>
      <c r="Q2529" s="14" t="s">
        <v>2620</v>
      </c>
      <c r="T2529" s="14" t="s">
        <v>2621</v>
      </c>
      <c r="U2529" s="14" t="s">
        <v>2622</v>
      </c>
    </row>
    <row r="2530" spans="1:21">
      <c r="A2530" s="14" t="s">
        <v>12141</v>
      </c>
      <c r="B2530" s="14">
        <v>223.6089105</v>
      </c>
      <c r="C2530" s="14">
        <v>99.2763509</v>
      </c>
      <c r="D2530" s="14">
        <v>347.9414702</v>
      </c>
      <c r="E2530" s="14">
        <v>3.509090719</v>
      </c>
      <c r="F2530" s="14">
        <v>1.811097246</v>
      </c>
      <c r="G2530" s="51" t="s">
        <v>12142</v>
      </c>
      <c r="H2530" s="51" t="s">
        <v>8506</v>
      </c>
      <c r="I2530" s="14" t="s">
        <v>164</v>
      </c>
      <c r="J2530" s="14">
        <v>2.874212852</v>
      </c>
      <c r="K2530" s="14">
        <v>2.424886004</v>
      </c>
      <c r="L2530" s="14">
        <v>2.738071529</v>
      </c>
      <c r="M2530" s="14">
        <v>0.574021732</v>
      </c>
      <c r="N2530" s="14">
        <v>0.851090635</v>
      </c>
      <c r="O2530" s="14">
        <v>0.440355837</v>
      </c>
      <c r="P2530" s="14" t="s">
        <v>2619</v>
      </c>
      <c r="Q2530" s="14" t="s">
        <v>2620</v>
      </c>
      <c r="T2530" s="14" t="s">
        <v>2621</v>
      </c>
      <c r="U2530" s="14" t="s">
        <v>2622</v>
      </c>
    </row>
    <row r="2531" spans="1:15">
      <c r="A2531" s="14" t="s">
        <v>12143</v>
      </c>
      <c r="B2531" s="14">
        <v>863.1045244</v>
      </c>
      <c r="C2531" s="14">
        <v>1383.465409</v>
      </c>
      <c r="D2531" s="14">
        <v>342.7436398</v>
      </c>
      <c r="E2531" s="14">
        <v>0.247744666</v>
      </c>
      <c r="F2531" s="14">
        <v>-2.013074101</v>
      </c>
      <c r="G2531" s="51" t="s">
        <v>12144</v>
      </c>
      <c r="H2531" s="51" t="s">
        <v>12145</v>
      </c>
      <c r="I2531" s="14" t="s">
        <v>147</v>
      </c>
      <c r="J2531" s="14">
        <v>4.455698784</v>
      </c>
      <c r="K2531" s="14">
        <v>5.171771019</v>
      </c>
      <c r="L2531" s="14">
        <v>3.719798034</v>
      </c>
      <c r="M2531" s="14">
        <v>16.27377497</v>
      </c>
      <c r="N2531" s="14">
        <v>18.75221903</v>
      </c>
      <c r="O2531" s="14">
        <v>8.634741305</v>
      </c>
    </row>
    <row r="2532" spans="1:21">
      <c r="A2532" s="14" t="s">
        <v>12146</v>
      </c>
      <c r="B2532" s="14">
        <v>1239.041047</v>
      </c>
      <c r="C2532" s="14">
        <v>1736.488711</v>
      </c>
      <c r="D2532" s="14">
        <v>741.5933827</v>
      </c>
      <c r="E2532" s="14">
        <v>0.426894674</v>
      </c>
      <c r="F2532" s="14">
        <v>-1.228047933</v>
      </c>
      <c r="G2532" s="51" t="s">
        <v>12147</v>
      </c>
      <c r="H2532" s="51" t="s">
        <v>12148</v>
      </c>
      <c r="I2532" s="14" t="s">
        <v>147</v>
      </c>
      <c r="J2532" s="14">
        <v>1.97151485</v>
      </c>
      <c r="K2532" s="14">
        <v>1.994846496</v>
      </c>
      <c r="L2532" s="14">
        <v>1.865758742</v>
      </c>
      <c r="M2532" s="14">
        <v>3.366968054</v>
      </c>
      <c r="N2532" s="14">
        <v>3.554292811</v>
      </c>
      <c r="O2532" s="14">
        <v>4.38354929</v>
      </c>
      <c r="P2532" s="14" t="s">
        <v>12149</v>
      </c>
      <c r="Q2532" s="14" t="s">
        <v>12150</v>
      </c>
      <c r="T2532" s="14" t="s">
        <v>12151</v>
      </c>
      <c r="U2532" s="14" t="s">
        <v>12152</v>
      </c>
    </row>
    <row r="2533" spans="1:21">
      <c r="A2533" s="14" t="s">
        <v>12153</v>
      </c>
      <c r="B2533" s="14">
        <v>5540.00992</v>
      </c>
      <c r="C2533" s="14">
        <v>1200.038351</v>
      </c>
      <c r="D2533" s="14">
        <v>9879.981488</v>
      </c>
      <c r="E2533" s="14">
        <v>8.231542222</v>
      </c>
      <c r="F2533" s="14">
        <v>3.041162752</v>
      </c>
      <c r="G2533" s="51" t="s">
        <v>12154</v>
      </c>
      <c r="H2533" s="51" t="s">
        <v>4729</v>
      </c>
      <c r="I2533" s="14" t="s">
        <v>164</v>
      </c>
      <c r="J2533" s="14">
        <v>244.4750501</v>
      </c>
      <c r="K2533" s="14">
        <v>167.7235622</v>
      </c>
      <c r="L2533" s="14">
        <v>303.9511801</v>
      </c>
      <c r="M2533" s="14">
        <v>13.49955081</v>
      </c>
      <c r="N2533" s="14">
        <v>19.35824773</v>
      </c>
      <c r="O2533" s="14">
        <v>40.46242333</v>
      </c>
      <c r="P2533" s="14" t="s">
        <v>4209</v>
      </c>
      <c r="Q2533" s="14" t="s">
        <v>4210</v>
      </c>
      <c r="T2533" s="14" t="s">
        <v>4211</v>
      </c>
      <c r="U2533" s="14" t="s">
        <v>4212</v>
      </c>
    </row>
    <row r="2534" spans="1:21">
      <c r="A2534" s="14" t="s">
        <v>12155</v>
      </c>
      <c r="B2534" s="14">
        <v>210.1106843</v>
      </c>
      <c r="C2534" s="14">
        <v>325.1773212</v>
      </c>
      <c r="D2534" s="14">
        <v>95.04404738</v>
      </c>
      <c r="E2534" s="14">
        <v>0.292308613</v>
      </c>
      <c r="F2534" s="14">
        <v>-1.774435756</v>
      </c>
      <c r="G2534" s="14">
        <v>0.014910926</v>
      </c>
      <c r="H2534" s="14">
        <v>0.037922376</v>
      </c>
      <c r="I2534" s="14" t="s">
        <v>147</v>
      </c>
      <c r="J2534" s="14">
        <v>0.732038897</v>
      </c>
      <c r="K2534" s="14">
        <v>1.012114033</v>
      </c>
      <c r="L2534" s="14">
        <v>0.565423698</v>
      </c>
      <c r="M2534" s="14">
        <v>2.81503734</v>
      </c>
      <c r="N2534" s="14">
        <v>3.083677648</v>
      </c>
      <c r="O2534" s="14">
        <v>0.41077092</v>
      </c>
      <c r="P2534" s="14" t="s">
        <v>12156</v>
      </c>
      <c r="Q2534" s="14" t="s">
        <v>12157</v>
      </c>
      <c r="R2534" s="14" t="s">
        <v>4730</v>
      </c>
      <c r="S2534" s="14" t="s">
        <v>4731</v>
      </c>
      <c r="T2534" s="14" t="s">
        <v>12158</v>
      </c>
      <c r="U2534" s="14" t="s">
        <v>12159</v>
      </c>
    </row>
    <row r="2535" spans="1:15">
      <c r="A2535" s="14" t="s">
        <v>12160</v>
      </c>
      <c r="B2535" s="14">
        <v>328.6592137</v>
      </c>
      <c r="C2535" s="14">
        <v>618.1306738</v>
      </c>
      <c r="D2535" s="14">
        <v>39.1877535</v>
      </c>
      <c r="E2535" s="14">
        <v>0.063360793</v>
      </c>
      <c r="F2535" s="14">
        <v>-3.980265791</v>
      </c>
      <c r="G2535" s="51" t="s">
        <v>12161</v>
      </c>
      <c r="H2535" s="51" t="s">
        <v>12162</v>
      </c>
      <c r="I2535" s="14" t="s">
        <v>147</v>
      </c>
      <c r="J2535" s="14">
        <v>1.663481931</v>
      </c>
      <c r="K2535" s="14">
        <v>1.638719905</v>
      </c>
      <c r="L2535" s="14">
        <v>0.886037206</v>
      </c>
      <c r="M2535" s="14">
        <v>23.74129359</v>
      </c>
      <c r="N2535" s="14">
        <v>23.09652725</v>
      </c>
      <c r="O2535" s="14">
        <v>6.221808134</v>
      </c>
    </row>
    <row r="2536" spans="1:15">
      <c r="A2536" s="14" t="s">
        <v>12163</v>
      </c>
      <c r="B2536" s="14">
        <v>50.59699486</v>
      </c>
      <c r="C2536" s="14">
        <v>26.49925421</v>
      </c>
      <c r="D2536" s="14">
        <v>74.69473551</v>
      </c>
      <c r="E2536" s="14">
        <v>2.831981273</v>
      </c>
      <c r="F2536" s="14">
        <v>1.501811726</v>
      </c>
      <c r="G2536" s="14">
        <v>0.004175565</v>
      </c>
      <c r="H2536" s="14">
        <v>0.012664625</v>
      </c>
      <c r="I2536" s="14" t="s">
        <v>164</v>
      </c>
      <c r="J2536" s="14">
        <v>4.724591283</v>
      </c>
      <c r="K2536" s="14">
        <v>5.465209747</v>
      </c>
      <c r="L2536" s="14">
        <v>5.771208282</v>
      </c>
      <c r="M2536" s="14">
        <v>1.991000952</v>
      </c>
      <c r="N2536" s="14">
        <v>1.852246345</v>
      </c>
      <c r="O2536" s="14">
        <v>0.708349803</v>
      </c>
    </row>
    <row r="2537" spans="1:21">
      <c r="A2537" s="14" t="s">
        <v>12164</v>
      </c>
      <c r="B2537" s="14">
        <v>33.48663693</v>
      </c>
      <c r="C2537" s="14">
        <v>45.40878586</v>
      </c>
      <c r="D2537" s="14">
        <v>21.56448799</v>
      </c>
      <c r="E2537" s="14">
        <v>0.475679104</v>
      </c>
      <c r="F2537" s="14">
        <v>-1.071939443</v>
      </c>
      <c r="G2537" s="14">
        <v>0.014152385</v>
      </c>
      <c r="H2537" s="14">
        <v>0.036288532</v>
      </c>
      <c r="I2537" s="14" t="s">
        <v>147</v>
      </c>
      <c r="J2537" s="14">
        <v>0.206164887</v>
      </c>
      <c r="K2537" s="14">
        <v>0.262119305</v>
      </c>
      <c r="L2537" s="14">
        <v>0.240296428</v>
      </c>
      <c r="M2537" s="14">
        <v>0.41777428</v>
      </c>
      <c r="N2537" s="14">
        <v>0.480965788</v>
      </c>
      <c r="O2537" s="14">
        <v>0.317911496</v>
      </c>
      <c r="P2537" s="14" t="s">
        <v>12165</v>
      </c>
      <c r="Q2537" s="14" t="s">
        <v>12166</v>
      </c>
      <c r="T2537" s="14" t="s">
        <v>12167</v>
      </c>
      <c r="U2537" s="14" t="s">
        <v>12168</v>
      </c>
    </row>
    <row r="2538" spans="1:21">
      <c r="A2538" s="14" t="s">
        <v>12169</v>
      </c>
      <c r="B2538" s="14">
        <v>2303.765998</v>
      </c>
      <c r="C2538" s="14">
        <v>3114.818176</v>
      </c>
      <c r="D2538" s="14">
        <v>1492.713821</v>
      </c>
      <c r="E2538" s="14">
        <v>0.47925498</v>
      </c>
      <c r="F2538" s="14">
        <v>-1.061134673</v>
      </c>
      <c r="G2538" s="51" t="s">
        <v>12170</v>
      </c>
      <c r="H2538" s="51" t="s">
        <v>8584</v>
      </c>
      <c r="I2538" s="14" t="s">
        <v>147</v>
      </c>
      <c r="J2538" s="14">
        <v>13.03106631</v>
      </c>
      <c r="K2538" s="14">
        <v>12.9986743</v>
      </c>
      <c r="L2538" s="14">
        <v>11.63984936</v>
      </c>
      <c r="M2538" s="14">
        <v>22.72661916</v>
      </c>
      <c r="N2538" s="14">
        <v>21.37235048</v>
      </c>
      <c r="O2538" s="14">
        <v>20.39286659</v>
      </c>
      <c r="P2538" s="14" t="s">
        <v>12171</v>
      </c>
      <c r="Q2538" s="14" t="s">
        <v>12172</v>
      </c>
      <c r="T2538" s="14" t="s">
        <v>12173</v>
      </c>
      <c r="U2538" s="14" t="s">
        <v>12174</v>
      </c>
    </row>
    <row r="2539" spans="1:21">
      <c r="A2539" s="14" t="s">
        <v>12175</v>
      </c>
      <c r="B2539" s="14">
        <v>4.076649527</v>
      </c>
      <c r="C2539" s="14">
        <v>0</v>
      </c>
      <c r="D2539" s="14">
        <v>8.153299054</v>
      </c>
      <c r="E2539" s="14">
        <v>43.98425382</v>
      </c>
      <c r="F2539" s="14">
        <v>5.458915232</v>
      </c>
      <c r="G2539" s="14">
        <v>0.002130644</v>
      </c>
      <c r="H2539" s="14">
        <v>0.007091396</v>
      </c>
      <c r="I2539" s="14" t="s">
        <v>164</v>
      </c>
      <c r="J2539" s="14">
        <v>0.300139723</v>
      </c>
      <c r="K2539" s="14">
        <v>0.234966353</v>
      </c>
      <c r="L2539" s="14">
        <v>0.288989364</v>
      </c>
      <c r="M2539" s="14">
        <v>0</v>
      </c>
      <c r="N2539" s="14">
        <v>0</v>
      </c>
      <c r="O2539" s="14">
        <v>0</v>
      </c>
      <c r="P2539" s="14" t="s">
        <v>12176</v>
      </c>
      <c r="Q2539" s="14" t="s">
        <v>12177</v>
      </c>
      <c r="T2539" s="14" t="s">
        <v>12178</v>
      </c>
      <c r="U2539" s="14" t="s">
        <v>12179</v>
      </c>
    </row>
    <row r="2540" spans="1:15">
      <c r="A2540" s="14" t="s">
        <v>12180</v>
      </c>
      <c r="B2540" s="14">
        <v>1675.410998</v>
      </c>
      <c r="C2540" s="14">
        <v>2936.55427</v>
      </c>
      <c r="D2540" s="14">
        <v>414.2677258</v>
      </c>
      <c r="E2540" s="14">
        <v>0.141066244</v>
      </c>
      <c r="F2540" s="14">
        <v>-2.825555295</v>
      </c>
      <c r="G2540" s="51" t="s">
        <v>12181</v>
      </c>
      <c r="H2540" s="51" t="s">
        <v>12182</v>
      </c>
      <c r="I2540" s="14" t="s">
        <v>147</v>
      </c>
      <c r="J2540" s="14">
        <v>3.685603216</v>
      </c>
      <c r="K2540" s="14">
        <v>6.919960832</v>
      </c>
      <c r="L2540" s="14">
        <v>4.185623723</v>
      </c>
      <c r="M2540" s="14">
        <v>33.95950472</v>
      </c>
      <c r="N2540" s="14">
        <v>34.04427893</v>
      </c>
      <c r="O2540" s="14">
        <v>16.96869163</v>
      </c>
    </row>
    <row r="2541" spans="1:21">
      <c r="A2541" s="14" t="s">
        <v>12183</v>
      </c>
      <c r="B2541" s="14">
        <v>3901.585522</v>
      </c>
      <c r="C2541" s="14">
        <v>5572.749002</v>
      </c>
      <c r="D2541" s="14">
        <v>2230.422043</v>
      </c>
      <c r="E2541" s="14">
        <v>0.400222642</v>
      </c>
      <c r="F2541" s="14">
        <v>-1.321125306</v>
      </c>
      <c r="G2541" s="51" t="s">
        <v>12184</v>
      </c>
      <c r="H2541" s="51" t="s">
        <v>12185</v>
      </c>
      <c r="I2541" s="14" t="s">
        <v>147</v>
      </c>
      <c r="J2541" s="14">
        <v>29.02788134</v>
      </c>
      <c r="K2541" s="14">
        <v>29.93487708</v>
      </c>
      <c r="L2541" s="14">
        <v>23.96176774</v>
      </c>
      <c r="M2541" s="14">
        <v>57.16929872</v>
      </c>
      <c r="N2541" s="14">
        <v>57.74234235</v>
      </c>
      <c r="O2541" s="14">
        <v>55.40881784</v>
      </c>
      <c r="P2541" s="14" t="s">
        <v>12186</v>
      </c>
      <c r="Q2541" s="14" t="s">
        <v>12187</v>
      </c>
      <c r="T2541" s="14" t="s">
        <v>12188</v>
      </c>
      <c r="U2541" s="14" t="s">
        <v>12189</v>
      </c>
    </row>
    <row r="2542" spans="1:21">
      <c r="A2542" s="14" t="s">
        <v>12190</v>
      </c>
      <c r="B2542" s="14">
        <v>572.1236593</v>
      </c>
      <c r="C2542" s="14">
        <v>165.096754</v>
      </c>
      <c r="D2542" s="14">
        <v>979.1505645</v>
      </c>
      <c r="E2542" s="14">
        <v>5.92767088</v>
      </c>
      <c r="F2542" s="14">
        <v>2.567465348</v>
      </c>
      <c r="G2542" s="14">
        <v>0.00018745</v>
      </c>
      <c r="H2542" s="14">
        <v>0.000828958</v>
      </c>
      <c r="I2542" s="14" t="s">
        <v>164</v>
      </c>
      <c r="J2542" s="14">
        <v>23.52816525</v>
      </c>
      <c r="K2542" s="14">
        <v>9.189952665</v>
      </c>
      <c r="L2542" s="14">
        <v>54.74736161</v>
      </c>
      <c r="M2542" s="14">
        <v>2.1532703</v>
      </c>
      <c r="N2542" s="14">
        <v>2.59426953</v>
      </c>
      <c r="O2542" s="14">
        <v>7.71648749</v>
      </c>
      <c r="Q2542" s="14" t="s">
        <v>12191</v>
      </c>
      <c r="T2542" s="14" t="s">
        <v>11500</v>
      </c>
      <c r="U2542" s="14" t="s">
        <v>11501</v>
      </c>
    </row>
    <row r="2543" spans="1:21">
      <c r="A2543" s="14" t="s">
        <v>12192</v>
      </c>
      <c r="B2543" s="14">
        <v>951.8179387</v>
      </c>
      <c r="C2543" s="14">
        <v>1385.460166</v>
      </c>
      <c r="D2543" s="14">
        <v>518.1757117</v>
      </c>
      <c r="E2543" s="14">
        <v>0.374054342</v>
      </c>
      <c r="F2543" s="14">
        <v>-1.418680216</v>
      </c>
      <c r="G2543" s="51" t="s">
        <v>12193</v>
      </c>
      <c r="H2543" s="51" t="s">
        <v>12194</v>
      </c>
      <c r="I2543" s="14" t="s">
        <v>147</v>
      </c>
      <c r="J2543" s="14">
        <v>4.341660534</v>
      </c>
      <c r="K2543" s="14">
        <v>4.040198859</v>
      </c>
      <c r="L2543" s="14">
        <v>4.480089713</v>
      </c>
      <c r="M2543" s="14">
        <v>9.132559198</v>
      </c>
      <c r="N2543" s="14">
        <v>8.674192002</v>
      </c>
      <c r="O2543" s="14">
        <v>10.57405238</v>
      </c>
      <c r="P2543" s="14" t="s">
        <v>12195</v>
      </c>
      <c r="Q2543" s="14" t="s">
        <v>12196</v>
      </c>
      <c r="T2543" s="14" t="s">
        <v>12197</v>
      </c>
      <c r="U2543" s="14" t="s">
        <v>12198</v>
      </c>
    </row>
    <row r="2544" spans="1:21">
      <c r="A2544" s="14" t="s">
        <v>12199</v>
      </c>
      <c r="B2544" s="14">
        <v>7.04615086</v>
      </c>
      <c r="C2544" s="14">
        <v>12.13559329</v>
      </c>
      <c r="D2544" s="14">
        <v>1.956708431</v>
      </c>
      <c r="E2544" s="14">
        <v>0.161533609</v>
      </c>
      <c r="F2544" s="14">
        <v>-2.630093725</v>
      </c>
      <c r="G2544" s="14">
        <v>0.006626983</v>
      </c>
      <c r="H2544" s="14">
        <v>0.018881389</v>
      </c>
      <c r="I2544" s="14" t="s">
        <v>147</v>
      </c>
      <c r="J2544" s="14">
        <v>0.090074435</v>
      </c>
      <c r="K2544" s="14">
        <v>0.03022087</v>
      </c>
      <c r="L2544" s="14">
        <v>0.057818746</v>
      </c>
      <c r="M2544" s="14">
        <v>0.359646976</v>
      </c>
      <c r="N2544" s="14">
        <v>0.221810513</v>
      </c>
      <c r="O2544" s="14">
        <v>0.326738817</v>
      </c>
      <c r="P2544" s="14" t="s">
        <v>12200</v>
      </c>
      <c r="Q2544" s="14" t="s">
        <v>12201</v>
      </c>
      <c r="T2544" s="14" t="s">
        <v>12202</v>
      </c>
      <c r="U2544" s="14" t="s">
        <v>12203</v>
      </c>
    </row>
    <row r="2545" spans="1:19">
      <c r="A2545" s="14" t="s">
        <v>12204</v>
      </c>
      <c r="B2545" s="14">
        <v>77.13510567</v>
      </c>
      <c r="C2545" s="14">
        <v>13.42358457</v>
      </c>
      <c r="D2545" s="14">
        <v>140.8466268</v>
      </c>
      <c r="E2545" s="14">
        <v>10.60833934</v>
      </c>
      <c r="F2545" s="14">
        <v>3.407126926</v>
      </c>
      <c r="G2545" s="51" t="s">
        <v>12205</v>
      </c>
      <c r="H2545" s="51" t="s">
        <v>12206</v>
      </c>
      <c r="I2545" s="14" t="s">
        <v>164</v>
      </c>
      <c r="J2545" s="14">
        <v>10.75811378</v>
      </c>
      <c r="K2545" s="14">
        <v>13.60042376</v>
      </c>
      <c r="L2545" s="14">
        <v>12.34726501</v>
      </c>
      <c r="M2545" s="14">
        <v>1.325460261</v>
      </c>
      <c r="N2545" s="14">
        <v>0.989039149</v>
      </c>
      <c r="O2545" s="14">
        <v>0.504314262</v>
      </c>
      <c r="R2545" s="14" t="s">
        <v>12207</v>
      </c>
      <c r="S2545" s="14" t="s">
        <v>12208</v>
      </c>
    </row>
    <row r="2546" spans="1:21">
      <c r="A2546" s="14" t="s">
        <v>12209</v>
      </c>
      <c r="B2546" s="14">
        <v>163.8701829</v>
      </c>
      <c r="C2546" s="14">
        <v>63.65820585</v>
      </c>
      <c r="D2546" s="14">
        <v>264.08216</v>
      </c>
      <c r="E2546" s="14">
        <v>4.153454197</v>
      </c>
      <c r="F2546" s="14">
        <v>2.054311645</v>
      </c>
      <c r="G2546" s="51" t="s">
        <v>12210</v>
      </c>
      <c r="H2546" s="51" t="s">
        <v>12211</v>
      </c>
      <c r="I2546" s="14" t="s">
        <v>164</v>
      </c>
      <c r="J2546" s="14">
        <v>8.149122725</v>
      </c>
      <c r="K2546" s="14">
        <v>8.528059945</v>
      </c>
      <c r="L2546" s="14">
        <v>6.826632322</v>
      </c>
      <c r="M2546" s="14">
        <v>1.334059024</v>
      </c>
      <c r="N2546" s="14">
        <v>2.221663311</v>
      </c>
      <c r="O2546" s="14">
        <v>1.058952877</v>
      </c>
      <c r="P2546" s="14" t="s">
        <v>12212</v>
      </c>
      <c r="Q2546" s="14" t="s">
        <v>12213</v>
      </c>
      <c r="T2546" s="14" t="s">
        <v>12214</v>
      </c>
      <c r="U2546" s="14" t="s">
        <v>12215</v>
      </c>
    </row>
    <row r="2547" spans="1:21">
      <c r="A2547" s="14" t="s">
        <v>12216</v>
      </c>
      <c r="B2547" s="14">
        <v>30.56360291</v>
      </c>
      <c r="C2547" s="14">
        <v>57.17121285</v>
      </c>
      <c r="D2547" s="14">
        <v>3.95599297</v>
      </c>
      <c r="E2547" s="14">
        <v>0.068990601</v>
      </c>
      <c r="F2547" s="14">
        <v>-3.857456354</v>
      </c>
      <c r="G2547" s="51" t="s">
        <v>1222</v>
      </c>
      <c r="H2547" s="51" t="s">
        <v>1223</v>
      </c>
      <c r="I2547" s="14" t="s">
        <v>147</v>
      </c>
      <c r="J2547" s="14">
        <v>0.093715125</v>
      </c>
      <c r="K2547" s="14">
        <v>0.040425888</v>
      </c>
      <c r="L2547" s="14">
        <v>0.025781016</v>
      </c>
      <c r="M2547" s="14">
        <v>0.698730286</v>
      </c>
      <c r="N2547" s="14">
        <v>0.857167262</v>
      </c>
      <c r="O2547" s="14">
        <v>0.313795541</v>
      </c>
      <c r="P2547" s="14" t="s">
        <v>12217</v>
      </c>
      <c r="Q2547" s="14" t="s">
        <v>12218</v>
      </c>
      <c r="T2547" s="14" t="s">
        <v>8130</v>
      </c>
      <c r="U2547" s="14" t="s">
        <v>8131</v>
      </c>
    </row>
    <row r="2548" spans="1:15">
      <c r="A2548" s="14" t="s">
        <v>12219</v>
      </c>
      <c r="B2548" s="14">
        <v>2780.488966</v>
      </c>
      <c r="C2548" s="14">
        <v>1656.338061</v>
      </c>
      <c r="D2548" s="14">
        <v>3904.639872</v>
      </c>
      <c r="E2548" s="14">
        <v>2.357298044</v>
      </c>
      <c r="F2548" s="14">
        <v>1.237134177</v>
      </c>
      <c r="G2548" s="51" t="s">
        <v>12220</v>
      </c>
      <c r="H2548" s="51" t="s">
        <v>12221</v>
      </c>
      <c r="I2548" s="14" t="s">
        <v>164</v>
      </c>
      <c r="J2548" s="14">
        <v>30.30756641</v>
      </c>
      <c r="K2548" s="14">
        <v>29.58511499</v>
      </c>
      <c r="L2548" s="14">
        <v>32.57536026</v>
      </c>
      <c r="M2548" s="14">
        <v>9.956485018</v>
      </c>
      <c r="N2548" s="14">
        <v>10.63621514</v>
      </c>
      <c r="O2548" s="14">
        <v>11.75623957</v>
      </c>
    </row>
    <row r="2549" spans="1:21">
      <c r="A2549" s="14" t="s">
        <v>12222</v>
      </c>
      <c r="B2549" s="14">
        <v>6614.520772</v>
      </c>
      <c r="C2549" s="14">
        <v>8912.849888</v>
      </c>
      <c r="D2549" s="14">
        <v>4316.191656</v>
      </c>
      <c r="E2549" s="14">
        <v>0.484279191</v>
      </c>
      <c r="F2549" s="14">
        <v>-1.046089081</v>
      </c>
      <c r="G2549" s="51" t="s">
        <v>8874</v>
      </c>
      <c r="H2549" s="51" t="s">
        <v>8875</v>
      </c>
      <c r="I2549" s="14" t="s">
        <v>147</v>
      </c>
      <c r="J2549" s="14">
        <v>64.83550466</v>
      </c>
      <c r="K2549" s="14">
        <v>67.18872951</v>
      </c>
      <c r="L2549" s="14">
        <v>60.68012763</v>
      </c>
      <c r="M2549" s="14">
        <v>115.4003186</v>
      </c>
      <c r="N2549" s="14">
        <v>116.4513327</v>
      </c>
      <c r="O2549" s="14">
        <v>93.57163296</v>
      </c>
      <c r="P2549" s="14" t="s">
        <v>12223</v>
      </c>
      <c r="Q2549" s="14" t="s">
        <v>12224</v>
      </c>
      <c r="T2549" s="14" t="s">
        <v>12225</v>
      </c>
      <c r="U2549" s="14" t="s">
        <v>12226</v>
      </c>
    </row>
    <row r="2550" spans="1:21">
      <c r="A2550" s="14" t="s">
        <v>12227</v>
      </c>
      <c r="B2550" s="14">
        <v>185.8758656</v>
      </c>
      <c r="C2550" s="14">
        <v>255.7404605</v>
      </c>
      <c r="D2550" s="14">
        <v>116.0112708</v>
      </c>
      <c r="E2550" s="14">
        <v>0.4540875</v>
      </c>
      <c r="F2550" s="14">
        <v>-1.138957771</v>
      </c>
      <c r="G2550" s="14">
        <v>0.00281155</v>
      </c>
      <c r="H2550" s="14">
        <v>0.008986569</v>
      </c>
      <c r="I2550" s="14" t="s">
        <v>147</v>
      </c>
      <c r="J2550" s="14">
        <v>1.459933718</v>
      </c>
      <c r="K2550" s="14">
        <v>1.404446236</v>
      </c>
      <c r="L2550" s="14">
        <v>1.679371756</v>
      </c>
      <c r="M2550" s="14">
        <v>3.758388743</v>
      </c>
      <c r="N2550" s="14">
        <v>2.555824709</v>
      </c>
      <c r="O2550" s="14">
        <v>1.784496619</v>
      </c>
      <c r="P2550" s="14" t="s">
        <v>12228</v>
      </c>
      <c r="Q2550" s="14" t="s">
        <v>5759</v>
      </c>
      <c r="R2550" s="14" t="s">
        <v>5760</v>
      </c>
      <c r="S2550" s="14" t="s">
        <v>5761</v>
      </c>
      <c r="T2550" s="14" t="s">
        <v>12229</v>
      </c>
      <c r="U2550" s="14" t="s">
        <v>12230</v>
      </c>
    </row>
    <row r="2551" spans="1:21">
      <c r="A2551" s="14" t="s">
        <v>12231</v>
      </c>
      <c r="B2551" s="14">
        <v>6856.251408</v>
      </c>
      <c r="C2551" s="14">
        <v>3662.911707</v>
      </c>
      <c r="D2551" s="14">
        <v>10049.59111</v>
      </c>
      <c r="E2551" s="14">
        <v>2.743523882</v>
      </c>
      <c r="F2551" s="14">
        <v>1.456030134</v>
      </c>
      <c r="G2551" s="51" t="s">
        <v>12232</v>
      </c>
      <c r="H2551" s="51" t="s">
        <v>12233</v>
      </c>
      <c r="I2551" s="14" t="s">
        <v>164</v>
      </c>
      <c r="J2551" s="14">
        <v>218.2828451</v>
      </c>
      <c r="K2551" s="14">
        <v>100.7669794</v>
      </c>
      <c r="L2551" s="14">
        <v>165.6910507</v>
      </c>
      <c r="M2551" s="14">
        <v>42.07275317</v>
      </c>
      <c r="N2551" s="14">
        <v>40.03734942</v>
      </c>
      <c r="O2551" s="14">
        <v>64.84114952</v>
      </c>
      <c r="P2551" s="14" t="s">
        <v>12234</v>
      </c>
      <c r="Q2551" s="14" t="s">
        <v>12235</v>
      </c>
      <c r="T2551" s="14" t="s">
        <v>12236</v>
      </c>
      <c r="U2551" s="14" t="s">
        <v>12237</v>
      </c>
    </row>
    <row r="2552" spans="1:15">
      <c r="A2552" s="14" t="s">
        <v>12238</v>
      </c>
      <c r="B2552" s="14">
        <v>13.9572657</v>
      </c>
      <c r="C2552" s="14">
        <v>0.338987876</v>
      </c>
      <c r="D2552" s="14">
        <v>27.57554352</v>
      </c>
      <c r="E2552" s="14">
        <v>76.38035653</v>
      </c>
      <c r="F2552" s="14">
        <v>6.255129749</v>
      </c>
      <c r="G2552" s="14">
        <v>0.000550195</v>
      </c>
      <c r="H2552" s="14">
        <v>0.002158727</v>
      </c>
      <c r="I2552" s="14" t="s">
        <v>164</v>
      </c>
      <c r="J2552" s="14">
        <v>1.076647285</v>
      </c>
      <c r="K2552" s="14">
        <v>0.043347106</v>
      </c>
      <c r="L2552" s="14">
        <v>0.684188493</v>
      </c>
      <c r="M2552" s="14">
        <v>0</v>
      </c>
      <c r="N2552" s="14">
        <v>0.017675136</v>
      </c>
      <c r="O2552" s="14">
        <v>0</v>
      </c>
    </row>
    <row r="2553" spans="1:15">
      <c r="A2553" s="14" t="s">
        <v>12239</v>
      </c>
      <c r="B2553" s="14">
        <v>1843.600715</v>
      </c>
      <c r="C2553" s="14">
        <v>34.00825511</v>
      </c>
      <c r="D2553" s="14">
        <v>3653.193174</v>
      </c>
      <c r="E2553" s="14">
        <v>107.3566563</v>
      </c>
      <c r="F2553" s="14">
        <v>6.746267834</v>
      </c>
      <c r="G2553" s="51" t="s">
        <v>12240</v>
      </c>
      <c r="H2553" s="51" t="s">
        <v>12241</v>
      </c>
      <c r="I2553" s="14" t="s">
        <v>164</v>
      </c>
      <c r="J2553" s="14">
        <v>31.30628803</v>
      </c>
      <c r="K2553" s="14">
        <v>5.663459797</v>
      </c>
      <c r="L2553" s="14">
        <v>27.92666151</v>
      </c>
      <c r="M2553" s="14">
        <v>0.149974771</v>
      </c>
      <c r="N2553" s="14">
        <v>0.143882988</v>
      </c>
      <c r="O2553" s="14">
        <v>0.205425923</v>
      </c>
    </row>
    <row r="2554" spans="1:21">
      <c r="A2554" s="14" t="s">
        <v>12242</v>
      </c>
      <c r="B2554" s="14">
        <v>9393.64405</v>
      </c>
      <c r="C2554" s="14">
        <v>12721.97319</v>
      </c>
      <c r="D2554" s="14">
        <v>6065.314912</v>
      </c>
      <c r="E2554" s="14">
        <v>0.47676854</v>
      </c>
      <c r="F2554" s="14">
        <v>-1.068639055</v>
      </c>
      <c r="G2554" s="51" t="s">
        <v>12243</v>
      </c>
      <c r="H2554" s="51" t="s">
        <v>11543</v>
      </c>
      <c r="I2554" s="14" t="s">
        <v>147</v>
      </c>
      <c r="J2554" s="14">
        <v>68.82506024</v>
      </c>
      <c r="K2554" s="14">
        <v>77.36889085</v>
      </c>
      <c r="L2554" s="14">
        <v>69.05615179</v>
      </c>
      <c r="M2554" s="14">
        <v>131.6442571</v>
      </c>
      <c r="N2554" s="14">
        <v>130.733069</v>
      </c>
      <c r="O2554" s="14">
        <v>106.8856105</v>
      </c>
      <c r="P2554" s="14" t="s">
        <v>12244</v>
      </c>
      <c r="Q2554" s="14" t="s">
        <v>12245</v>
      </c>
      <c r="T2554" s="14" t="s">
        <v>12246</v>
      </c>
      <c r="U2554" s="14" t="s">
        <v>12247</v>
      </c>
    </row>
    <row r="2555" spans="1:21">
      <c r="A2555" s="14" t="s">
        <v>12248</v>
      </c>
      <c r="B2555" s="14">
        <v>16256.26453</v>
      </c>
      <c r="C2555" s="14">
        <v>22107.65604</v>
      </c>
      <c r="D2555" s="14">
        <v>10404.87303</v>
      </c>
      <c r="E2555" s="14">
        <v>0.470649792</v>
      </c>
      <c r="F2555" s="14">
        <v>-1.087274139</v>
      </c>
      <c r="G2555" s="51" t="s">
        <v>12249</v>
      </c>
      <c r="H2555" s="51" t="s">
        <v>12250</v>
      </c>
      <c r="I2555" s="14" t="s">
        <v>147</v>
      </c>
      <c r="J2555" s="14">
        <v>93.97853644</v>
      </c>
      <c r="K2555" s="14">
        <v>98.34187082</v>
      </c>
      <c r="L2555" s="14">
        <v>93.9603909</v>
      </c>
      <c r="M2555" s="14">
        <v>170.6026701</v>
      </c>
      <c r="N2555" s="14">
        <v>155.7448054</v>
      </c>
      <c r="O2555" s="14">
        <v>174.3991471</v>
      </c>
      <c r="P2555" s="14" t="s">
        <v>12251</v>
      </c>
      <c r="Q2555" s="14" t="s">
        <v>12252</v>
      </c>
      <c r="T2555" s="14" t="s">
        <v>12253</v>
      </c>
      <c r="U2555" s="14" t="s">
        <v>12254</v>
      </c>
    </row>
    <row r="2556" spans="1:21">
      <c r="A2556" s="14" t="s">
        <v>12255</v>
      </c>
      <c r="B2556" s="14">
        <v>41.07213962</v>
      </c>
      <c r="C2556" s="14">
        <v>0.309088846</v>
      </c>
      <c r="D2556" s="14">
        <v>81.83519039</v>
      </c>
      <c r="E2556" s="14">
        <v>226.6040427</v>
      </c>
      <c r="F2556" s="14">
        <v>7.824029789</v>
      </c>
      <c r="G2556" s="51" t="s">
        <v>12256</v>
      </c>
      <c r="H2556" s="51" t="s">
        <v>12257</v>
      </c>
      <c r="I2556" s="14" t="s">
        <v>164</v>
      </c>
      <c r="J2556" s="14">
        <v>0.914891693</v>
      </c>
      <c r="K2556" s="14">
        <v>1.858474648</v>
      </c>
      <c r="L2556" s="14">
        <v>1.345379054</v>
      </c>
      <c r="M2556" s="14">
        <v>0</v>
      </c>
      <c r="N2556" s="14">
        <v>0</v>
      </c>
      <c r="O2556" s="14">
        <v>0.013924643</v>
      </c>
      <c r="P2556" s="14" t="s">
        <v>10600</v>
      </c>
      <c r="Q2556" s="14" t="s">
        <v>10601</v>
      </c>
      <c r="T2556" s="14" t="s">
        <v>3353</v>
      </c>
      <c r="U2556" s="14" t="s">
        <v>3354</v>
      </c>
    </row>
    <row r="2557" spans="1:21">
      <c r="A2557" s="14" t="s">
        <v>12258</v>
      </c>
      <c r="B2557" s="14">
        <v>6.306082265</v>
      </c>
      <c r="C2557" s="14">
        <v>0</v>
      </c>
      <c r="D2557" s="14">
        <v>12.61216453</v>
      </c>
      <c r="E2557" s="14">
        <v>68.06663149</v>
      </c>
      <c r="F2557" s="14">
        <v>6.08887581</v>
      </c>
      <c r="G2557" s="14">
        <v>0.000791614</v>
      </c>
      <c r="H2557" s="14">
        <v>0.00298308</v>
      </c>
      <c r="I2557" s="14" t="s">
        <v>164</v>
      </c>
      <c r="J2557" s="14">
        <v>0.295557916</v>
      </c>
      <c r="K2557" s="14">
        <v>0.069997146</v>
      </c>
      <c r="L2557" s="14">
        <v>0.301317643</v>
      </c>
      <c r="M2557" s="14">
        <v>0</v>
      </c>
      <c r="N2557" s="14">
        <v>0</v>
      </c>
      <c r="O2557" s="14">
        <v>0</v>
      </c>
      <c r="P2557" s="14" t="s">
        <v>12259</v>
      </c>
      <c r="Q2557" s="14" t="s">
        <v>12260</v>
      </c>
      <c r="R2557" s="14" t="s">
        <v>1056</v>
      </c>
      <c r="S2557" s="14" t="s">
        <v>1057</v>
      </c>
      <c r="T2557" s="14" t="s">
        <v>12261</v>
      </c>
      <c r="U2557" s="14" t="s">
        <v>12262</v>
      </c>
    </row>
    <row r="2558" spans="1:15">
      <c r="A2558" s="14" t="s">
        <v>12263</v>
      </c>
      <c r="B2558" s="14">
        <v>8.356494351</v>
      </c>
      <c r="C2558" s="14">
        <v>1.236355384</v>
      </c>
      <c r="D2558" s="14">
        <v>15.47663332</v>
      </c>
      <c r="E2558" s="14">
        <v>12.07235015</v>
      </c>
      <c r="F2558" s="14">
        <v>3.593634651</v>
      </c>
      <c r="G2558" s="14">
        <v>0.010882263</v>
      </c>
      <c r="H2558" s="14">
        <v>0.029027517</v>
      </c>
      <c r="I2558" s="14" t="s">
        <v>164</v>
      </c>
      <c r="J2558" s="14">
        <v>0.43301408</v>
      </c>
      <c r="K2558" s="14">
        <v>0.610178247</v>
      </c>
      <c r="L2558" s="14">
        <v>0.305746733</v>
      </c>
      <c r="M2558" s="14">
        <v>0</v>
      </c>
      <c r="N2558" s="14">
        <v>0</v>
      </c>
      <c r="O2558" s="14">
        <v>0.096660234</v>
      </c>
    </row>
    <row r="2559" spans="1:15">
      <c r="A2559" s="14" t="s">
        <v>12264</v>
      </c>
      <c r="B2559" s="14">
        <v>3914.456911</v>
      </c>
      <c r="C2559" s="14">
        <v>6064.137196</v>
      </c>
      <c r="D2559" s="14">
        <v>1764.776627</v>
      </c>
      <c r="E2559" s="14">
        <v>0.290984445</v>
      </c>
      <c r="F2559" s="14">
        <v>-1.780986062</v>
      </c>
      <c r="G2559" s="51" t="s">
        <v>12265</v>
      </c>
      <c r="H2559" s="51" t="s">
        <v>12266</v>
      </c>
      <c r="I2559" s="14" t="s">
        <v>147</v>
      </c>
      <c r="J2559" s="14">
        <v>109.8377178</v>
      </c>
      <c r="K2559" s="14">
        <v>113.0495169</v>
      </c>
      <c r="L2559" s="14">
        <v>77.60950328</v>
      </c>
      <c r="M2559" s="14">
        <v>266.8452637</v>
      </c>
      <c r="N2559" s="14">
        <v>263.0803931</v>
      </c>
      <c r="O2559" s="14">
        <v>325.1555952</v>
      </c>
    </row>
    <row r="2560" spans="1:21">
      <c r="A2560" s="14" t="s">
        <v>12267</v>
      </c>
      <c r="B2560" s="14">
        <v>85.98115125</v>
      </c>
      <c r="C2560" s="14">
        <v>50.72850683</v>
      </c>
      <c r="D2560" s="14">
        <v>121.2337957</v>
      </c>
      <c r="E2560" s="14">
        <v>2.394990553</v>
      </c>
      <c r="F2560" s="14">
        <v>1.260019965</v>
      </c>
      <c r="G2560" s="14">
        <v>0.011207028</v>
      </c>
      <c r="H2560" s="14">
        <v>0.029786749</v>
      </c>
      <c r="I2560" s="14" t="s">
        <v>164</v>
      </c>
      <c r="J2560" s="14">
        <v>0.893778542</v>
      </c>
      <c r="K2560" s="14">
        <v>0.638436309</v>
      </c>
      <c r="L2560" s="14">
        <v>0.582969596</v>
      </c>
      <c r="M2560" s="14">
        <v>0.281216739</v>
      </c>
      <c r="N2560" s="14">
        <v>0.312393139</v>
      </c>
      <c r="O2560" s="14">
        <v>0.120674449</v>
      </c>
      <c r="P2560" s="14" t="s">
        <v>12268</v>
      </c>
      <c r="Q2560" s="14" t="s">
        <v>12269</v>
      </c>
      <c r="T2560" s="14" t="s">
        <v>494</v>
      </c>
      <c r="U2560" s="14" t="s">
        <v>495</v>
      </c>
    </row>
    <row r="2561" spans="1:15">
      <c r="A2561" s="14" t="s">
        <v>12270</v>
      </c>
      <c r="B2561" s="14">
        <v>16.08009645</v>
      </c>
      <c r="C2561" s="14">
        <v>3.226402285</v>
      </c>
      <c r="D2561" s="14">
        <v>28.93379061</v>
      </c>
      <c r="E2561" s="14">
        <v>8.840258946</v>
      </c>
      <c r="F2561" s="14">
        <v>3.144088629</v>
      </c>
      <c r="G2561" s="14">
        <v>0.00100734</v>
      </c>
      <c r="H2561" s="14">
        <v>0.003692889</v>
      </c>
      <c r="I2561" s="14" t="s">
        <v>164</v>
      </c>
      <c r="J2561" s="14">
        <v>5.542580221</v>
      </c>
      <c r="K2561" s="14">
        <v>1.726762931</v>
      </c>
      <c r="L2561" s="14">
        <v>4.320161628</v>
      </c>
      <c r="M2561" s="14">
        <v>0.225819156</v>
      </c>
      <c r="N2561" s="14">
        <v>0.108323335</v>
      </c>
      <c r="O2561" s="14">
        <v>0.773281868</v>
      </c>
    </row>
    <row r="2562" spans="1:15">
      <c r="A2562" s="14" t="s">
        <v>12271</v>
      </c>
      <c r="B2562" s="14">
        <v>3.430292425</v>
      </c>
      <c r="C2562" s="14">
        <v>0</v>
      </c>
      <c r="D2562" s="14">
        <v>6.860584851</v>
      </c>
      <c r="E2562" s="14">
        <v>37.00549833</v>
      </c>
      <c r="F2562" s="14">
        <v>5.209667739</v>
      </c>
      <c r="G2562" s="14">
        <v>0.014906827</v>
      </c>
      <c r="H2562" s="14">
        <v>0.037917366</v>
      </c>
      <c r="I2562" s="14" t="s">
        <v>164</v>
      </c>
      <c r="J2562" s="14">
        <v>1.740423741</v>
      </c>
      <c r="K2562" s="14">
        <v>0.26950592</v>
      </c>
      <c r="L2562" s="14">
        <v>0.773430471</v>
      </c>
      <c r="M2562" s="14">
        <v>0</v>
      </c>
      <c r="N2562" s="14">
        <v>0</v>
      </c>
      <c r="O2562" s="14">
        <v>0</v>
      </c>
    </row>
    <row r="2563" spans="1:21">
      <c r="A2563" s="14" t="s">
        <v>12272</v>
      </c>
      <c r="B2563" s="14">
        <v>55.31103581</v>
      </c>
      <c r="C2563" s="14">
        <v>12.61009499</v>
      </c>
      <c r="D2563" s="14">
        <v>98.01197662</v>
      </c>
      <c r="E2563" s="14">
        <v>7.840246868</v>
      </c>
      <c r="F2563" s="14">
        <v>2.970899082</v>
      </c>
      <c r="G2563" s="51" t="s">
        <v>12273</v>
      </c>
      <c r="H2563" s="51" t="s">
        <v>12274</v>
      </c>
      <c r="I2563" s="14" t="s">
        <v>164</v>
      </c>
      <c r="J2563" s="14">
        <v>1.763548252</v>
      </c>
      <c r="K2563" s="14">
        <v>2.04815076</v>
      </c>
      <c r="L2563" s="14">
        <v>1.940607362</v>
      </c>
      <c r="M2563" s="14">
        <v>0.265298029</v>
      </c>
      <c r="N2563" s="14">
        <v>0.174983849</v>
      </c>
      <c r="O2563" s="14">
        <v>0.162226965</v>
      </c>
      <c r="P2563" s="14" t="s">
        <v>12275</v>
      </c>
      <c r="Q2563" s="14" t="s">
        <v>12276</v>
      </c>
      <c r="T2563" s="14" t="s">
        <v>12277</v>
      </c>
      <c r="U2563" s="14" t="s">
        <v>12278</v>
      </c>
    </row>
    <row r="2564" spans="1:21">
      <c r="A2564" s="14" t="s">
        <v>12279</v>
      </c>
      <c r="B2564" s="14">
        <v>84.29932224</v>
      </c>
      <c r="C2564" s="14">
        <v>163.0320277</v>
      </c>
      <c r="D2564" s="14">
        <v>5.566616743</v>
      </c>
      <c r="E2564" s="14">
        <v>0.034061971</v>
      </c>
      <c r="F2564" s="14">
        <v>-4.875694265</v>
      </c>
      <c r="G2564" s="51" t="s">
        <v>12280</v>
      </c>
      <c r="H2564" s="51" t="s">
        <v>12281</v>
      </c>
      <c r="I2564" s="14" t="s">
        <v>147</v>
      </c>
      <c r="J2564" s="14">
        <v>0.387206203</v>
      </c>
      <c r="K2564" s="14">
        <v>0.278381864</v>
      </c>
      <c r="L2564" s="14">
        <v>0.266300911</v>
      </c>
      <c r="M2564" s="14">
        <v>7.099105189</v>
      </c>
      <c r="N2564" s="14">
        <v>6.492913693</v>
      </c>
      <c r="O2564" s="14">
        <v>9.029339178</v>
      </c>
      <c r="P2564" s="14" t="s">
        <v>12282</v>
      </c>
      <c r="Q2564" s="14" t="s">
        <v>12283</v>
      </c>
      <c r="T2564" s="14" t="s">
        <v>12284</v>
      </c>
      <c r="U2564" s="14" t="s">
        <v>12285</v>
      </c>
    </row>
    <row r="2565" spans="1:15">
      <c r="A2565" s="14" t="s">
        <v>12286</v>
      </c>
      <c r="B2565" s="14">
        <v>134.3479824</v>
      </c>
      <c r="C2565" s="14">
        <v>41.75490848</v>
      </c>
      <c r="D2565" s="14">
        <v>226.9410564</v>
      </c>
      <c r="E2565" s="14">
        <v>5.422490022</v>
      </c>
      <c r="F2565" s="14">
        <v>2.438955493</v>
      </c>
      <c r="G2565" s="14">
        <v>0.001232124</v>
      </c>
      <c r="H2565" s="14">
        <v>0.004395719</v>
      </c>
      <c r="I2565" s="14" t="s">
        <v>164</v>
      </c>
      <c r="J2565" s="14">
        <v>1.654501559</v>
      </c>
      <c r="K2565" s="14">
        <v>0.762197397</v>
      </c>
      <c r="L2565" s="14">
        <v>1.972913685</v>
      </c>
      <c r="M2565" s="14">
        <v>0.125224629</v>
      </c>
      <c r="N2565" s="14">
        <v>0.062680782</v>
      </c>
      <c r="O2565" s="14">
        <v>0.50605128</v>
      </c>
    </row>
    <row r="2566" spans="1:21">
      <c r="A2566" s="14" t="s">
        <v>12287</v>
      </c>
      <c r="B2566" s="14">
        <v>726.6335008</v>
      </c>
      <c r="C2566" s="14">
        <v>73.05212221</v>
      </c>
      <c r="D2566" s="14">
        <v>1380.214879</v>
      </c>
      <c r="E2566" s="14">
        <v>18.8802517</v>
      </c>
      <c r="F2566" s="14">
        <v>4.238806093</v>
      </c>
      <c r="G2566" s="14">
        <v>0.00171189</v>
      </c>
      <c r="H2566" s="14">
        <v>0.00586083</v>
      </c>
      <c r="I2566" s="14" t="s">
        <v>164</v>
      </c>
      <c r="J2566" s="14">
        <v>22.5084448</v>
      </c>
      <c r="K2566" s="14">
        <v>2.877805815</v>
      </c>
      <c r="L2566" s="14">
        <v>9.272145374</v>
      </c>
      <c r="M2566" s="14">
        <v>0.042543681</v>
      </c>
      <c r="N2566" s="14">
        <v>0.163262443</v>
      </c>
      <c r="O2566" s="14">
        <v>1.408279479</v>
      </c>
      <c r="P2566" s="14" t="s">
        <v>12288</v>
      </c>
      <c r="Q2566" s="14" t="s">
        <v>12289</v>
      </c>
      <c r="R2566" s="14" t="s">
        <v>5178</v>
      </c>
      <c r="S2566" s="14" t="s">
        <v>5179</v>
      </c>
      <c r="T2566" s="14" t="s">
        <v>12290</v>
      </c>
      <c r="U2566" s="14" t="s">
        <v>12291</v>
      </c>
    </row>
    <row r="2567" spans="1:21">
      <c r="A2567" s="14" t="s">
        <v>12292</v>
      </c>
      <c r="B2567" s="14">
        <v>399.8391774</v>
      </c>
      <c r="C2567" s="14">
        <v>158.3957251</v>
      </c>
      <c r="D2567" s="14">
        <v>641.2826298</v>
      </c>
      <c r="E2567" s="14">
        <v>4.0501332</v>
      </c>
      <c r="F2567" s="14">
        <v>2.017969356</v>
      </c>
      <c r="G2567" s="51" t="s">
        <v>12293</v>
      </c>
      <c r="H2567" s="51" t="s">
        <v>2492</v>
      </c>
      <c r="I2567" s="14" t="s">
        <v>164</v>
      </c>
      <c r="J2567" s="14">
        <v>7.968993713</v>
      </c>
      <c r="K2567" s="14">
        <v>6.178664722</v>
      </c>
      <c r="L2567" s="14">
        <v>7.543984118</v>
      </c>
      <c r="M2567" s="14">
        <v>1.145920805</v>
      </c>
      <c r="N2567" s="14">
        <v>2.079650985</v>
      </c>
      <c r="O2567" s="14">
        <v>1.149178451</v>
      </c>
      <c r="P2567" s="14" t="s">
        <v>12294</v>
      </c>
      <c r="Q2567" s="14" t="s">
        <v>12295</v>
      </c>
      <c r="R2567" s="14" t="s">
        <v>12296</v>
      </c>
      <c r="S2567" s="14" t="s">
        <v>12297</v>
      </c>
      <c r="T2567" s="14" t="s">
        <v>1022</v>
      </c>
      <c r="U2567" s="14" t="s">
        <v>1023</v>
      </c>
    </row>
    <row r="2568" spans="1:21">
      <c r="A2568" s="14" t="s">
        <v>12298</v>
      </c>
      <c r="B2568" s="14">
        <v>2703.233957</v>
      </c>
      <c r="C2568" s="14">
        <v>28.28587544</v>
      </c>
      <c r="D2568" s="14">
        <v>5378.182039</v>
      </c>
      <c r="E2568" s="14">
        <v>189.6069985</v>
      </c>
      <c r="F2568" s="14">
        <v>7.566868406</v>
      </c>
      <c r="G2568" s="51" t="s">
        <v>12299</v>
      </c>
      <c r="H2568" s="51" t="s">
        <v>12300</v>
      </c>
      <c r="I2568" s="14" t="s">
        <v>164</v>
      </c>
      <c r="J2568" s="14">
        <v>112.5767365</v>
      </c>
      <c r="K2568" s="14">
        <v>17.87373729</v>
      </c>
      <c r="L2568" s="14">
        <v>128.7384073</v>
      </c>
      <c r="M2568" s="14">
        <v>0.135414114</v>
      </c>
      <c r="N2568" s="14">
        <v>0.376749921</v>
      </c>
      <c r="O2568" s="14">
        <v>0.635937116</v>
      </c>
      <c r="P2568" s="14" t="s">
        <v>12301</v>
      </c>
      <c r="Q2568" s="14" t="s">
        <v>12302</v>
      </c>
      <c r="T2568" s="14" t="s">
        <v>12303</v>
      </c>
      <c r="U2568" s="14" t="s">
        <v>12304</v>
      </c>
    </row>
    <row r="2569" spans="1:21">
      <c r="A2569" s="14" t="s">
        <v>12305</v>
      </c>
      <c r="B2569" s="14">
        <v>72.7016297</v>
      </c>
      <c r="C2569" s="14">
        <v>39.98733287</v>
      </c>
      <c r="D2569" s="14">
        <v>105.4159265</v>
      </c>
      <c r="E2569" s="14">
        <v>2.637265357</v>
      </c>
      <c r="F2569" s="14">
        <v>1.39904274</v>
      </c>
      <c r="G2569" s="14">
        <v>0.000432935</v>
      </c>
      <c r="H2569" s="14">
        <v>0.001751812</v>
      </c>
      <c r="I2569" s="14" t="s">
        <v>164</v>
      </c>
      <c r="J2569" s="14">
        <v>0.965050299</v>
      </c>
      <c r="K2569" s="14">
        <v>0.650117448</v>
      </c>
      <c r="L2569" s="14">
        <v>0.812133805</v>
      </c>
      <c r="M2569" s="14">
        <v>0.188543825</v>
      </c>
      <c r="N2569" s="14">
        <v>0.349295976</v>
      </c>
      <c r="O2569" s="14">
        <v>0.216272966</v>
      </c>
      <c r="P2569" s="14" t="s">
        <v>12306</v>
      </c>
      <c r="Q2569" s="14" t="s">
        <v>12307</v>
      </c>
      <c r="R2569" s="14" t="s">
        <v>798</v>
      </c>
      <c r="S2569" s="14" t="s">
        <v>799</v>
      </c>
      <c r="T2569" s="14" t="s">
        <v>12308</v>
      </c>
      <c r="U2569" s="14" t="s">
        <v>12309</v>
      </c>
    </row>
    <row r="2570" spans="1:15">
      <c r="A2570" s="14" t="s">
        <v>12310</v>
      </c>
      <c r="B2570" s="14">
        <v>8.347762576</v>
      </c>
      <c r="C2570" s="14">
        <v>15.69129153</v>
      </c>
      <c r="D2570" s="14">
        <v>1.004233626</v>
      </c>
      <c r="E2570" s="14">
        <v>0.062928036</v>
      </c>
      <c r="F2570" s="14">
        <v>-3.990153269</v>
      </c>
      <c r="G2570" s="14">
        <v>0.001933348</v>
      </c>
      <c r="H2570" s="14">
        <v>0.006515082</v>
      </c>
      <c r="I2570" s="14" t="s">
        <v>147</v>
      </c>
      <c r="J2570" s="14">
        <v>0.087147488</v>
      </c>
      <c r="K2570" s="14">
        <v>0.175433099</v>
      </c>
      <c r="L2570" s="14">
        <v>0</v>
      </c>
      <c r="M2570" s="14">
        <v>0.447377572</v>
      </c>
      <c r="N2570" s="14">
        <v>1.287617005</v>
      </c>
      <c r="O2570" s="14">
        <v>1.750826871</v>
      </c>
    </row>
    <row r="2571" spans="1:15">
      <c r="A2571" s="14" t="s">
        <v>12311</v>
      </c>
      <c r="B2571" s="14">
        <v>29.98452761</v>
      </c>
      <c r="C2571" s="14">
        <v>56.70523157</v>
      </c>
      <c r="D2571" s="14">
        <v>3.263823654</v>
      </c>
      <c r="E2571" s="14">
        <v>0.05763017</v>
      </c>
      <c r="F2571" s="14">
        <v>-4.117031911</v>
      </c>
      <c r="G2571" s="51" t="s">
        <v>12312</v>
      </c>
      <c r="H2571" s="51" t="s">
        <v>12313</v>
      </c>
      <c r="I2571" s="14" t="s">
        <v>147</v>
      </c>
      <c r="J2571" s="14">
        <v>0.043369172</v>
      </c>
      <c r="K2571" s="14">
        <v>0.218261837</v>
      </c>
      <c r="L2571" s="14">
        <v>0.167031933</v>
      </c>
      <c r="M2571" s="14">
        <v>2.671663249</v>
      </c>
      <c r="N2571" s="14">
        <v>2.634342146</v>
      </c>
      <c r="O2571" s="14">
        <v>0.653477635</v>
      </c>
    </row>
    <row r="2572" spans="1:21">
      <c r="A2572" s="14" t="s">
        <v>12314</v>
      </c>
      <c r="B2572" s="14">
        <v>541.6024202</v>
      </c>
      <c r="C2572" s="14">
        <v>734.6012022</v>
      </c>
      <c r="D2572" s="14">
        <v>348.6036383</v>
      </c>
      <c r="E2572" s="14">
        <v>0.474449538</v>
      </c>
      <c r="F2572" s="14">
        <v>-1.075673443</v>
      </c>
      <c r="G2572" s="51" t="s">
        <v>12315</v>
      </c>
      <c r="H2572" s="14">
        <v>0.000365821</v>
      </c>
      <c r="I2572" s="14" t="s">
        <v>147</v>
      </c>
      <c r="J2572" s="14">
        <v>10.39233791</v>
      </c>
      <c r="K2572" s="14">
        <v>7.633831753</v>
      </c>
      <c r="L2572" s="14">
        <v>9.703036812</v>
      </c>
      <c r="M2572" s="14">
        <v>14.1233202</v>
      </c>
      <c r="N2572" s="14">
        <v>11.8478648</v>
      </c>
      <c r="O2572" s="14">
        <v>22.78105958</v>
      </c>
      <c r="P2572" s="14" t="s">
        <v>12316</v>
      </c>
      <c r="Q2572" s="14" t="s">
        <v>12317</v>
      </c>
      <c r="T2572" s="14" t="s">
        <v>12318</v>
      </c>
      <c r="U2572" s="14" t="s">
        <v>12319</v>
      </c>
    </row>
    <row r="2573" spans="1:17">
      <c r="A2573" s="14" t="s">
        <v>12320</v>
      </c>
      <c r="B2573" s="14">
        <v>484.9473925</v>
      </c>
      <c r="C2573" s="14">
        <v>123.8579129</v>
      </c>
      <c r="D2573" s="14">
        <v>846.036872</v>
      </c>
      <c r="E2573" s="14">
        <v>6.82237969</v>
      </c>
      <c r="F2573" s="14">
        <v>2.770275048</v>
      </c>
      <c r="G2573" s="51" t="s">
        <v>12321</v>
      </c>
      <c r="H2573" s="51" t="s">
        <v>7023</v>
      </c>
      <c r="I2573" s="14" t="s">
        <v>164</v>
      </c>
      <c r="J2573" s="14">
        <v>7.789665565</v>
      </c>
      <c r="K2573" s="14">
        <v>5.17196894</v>
      </c>
      <c r="L2573" s="14">
        <v>9.221513405</v>
      </c>
      <c r="M2573" s="14">
        <v>0.458112403</v>
      </c>
      <c r="N2573" s="14">
        <v>0.375705429</v>
      </c>
      <c r="O2573" s="14">
        <v>1.951880066</v>
      </c>
      <c r="P2573" s="14" t="s">
        <v>12322</v>
      </c>
      <c r="Q2573" s="14" t="s">
        <v>12323</v>
      </c>
    </row>
    <row r="2574" spans="1:21">
      <c r="A2574" s="14" t="s">
        <v>12324</v>
      </c>
      <c r="B2574" s="14">
        <v>113.1959197</v>
      </c>
      <c r="C2574" s="14">
        <v>28.77741798</v>
      </c>
      <c r="D2574" s="14">
        <v>197.6144214</v>
      </c>
      <c r="E2574" s="14">
        <v>6.894511414</v>
      </c>
      <c r="F2574" s="14">
        <v>2.785448317</v>
      </c>
      <c r="G2574" s="51" t="s">
        <v>11355</v>
      </c>
      <c r="H2574" s="51" t="s">
        <v>11356</v>
      </c>
      <c r="I2574" s="14" t="s">
        <v>164</v>
      </c>
      <c r="J2574" s="14">
        <v>18.15113991</v>
      </c>
      <c r="K2574" s="14">
        <v>39.31240304</v>
      </c>
      <c r="L2574" s="14">
        <v>39.63491937</v>
      </c>
      <c r="M2574" s="14">
        <v>5.269113629</v>
      </c>
      <c r="N2574" s="14">
        <v>3.591773751</v>
      </c>
      <c r="O2574" s="14">
        <v>2.577606227</v>
      </c>
      <c r="P2574" s="14" t="s">
        <v>12325</v>
      </c>
      <c r="Q2574" s="14" t="s">
        <v>12326</v>
      </c>
      <c r="R2574" s="14" t="s">
        <v>275</v>
      </c>
      <c r="S2574" s="14" t="s">
        <v>276</v>
      </c>
      <c r="T2574" s="14" t="s">
        <v>12327</v>
      </c>
      <c r="U2574" s="14" t="s">
        <v>12328</v>
      </c>
    </row>
    <row r="2575" spans="1:21">
      <c r="A2575" s="14" t="s">
        <v>12329</v>
      </c>
      <c r="B2575" s="14">
        <v>10.91810952</v>
      </c>
      <c r="C2575" s="14">
        <v>0.309088846</v>
      </c>
      <c r="D2575" s="14">
        <v>21.52713019</v>
      </c>
      <c r="E2575" s="14">
        <v>59.62542596</v>
      </c>
      <c r="F2575" s="14">
        <v>5.897855762</v>
      </c>
      <c r="G2575" s="51" t="s">
        <v>12330</v>
      </c>
      <c r="H2575" s="14">
        <v>0.000103984</v>
      </c>
      <c r="I2575" s="14" t="s">
        <v>164</v>
      </c>
      <c r="J2575" s="14">
        <v>0.954121791</v>
      </c>
      <c r="K2575" s="14">
        <v>0.873047347</v>
      </c>
      <c r="L2575" s="14">
        <v>1.002191596</v>
      </c>
      <c r="M2575" s="14">
        <v>0</v>
      </c>
      <c r="N2575" s="14">
        <v>0</v>
      </c>
      <c r="O2575" s="14">
        <v>0.036304313</v>
      </c>
      <c r="P2575" s="14" t="s">
        <v>12331</v>
      </c>
      <c r="Q2575" s="14" t="s">
        <v>12332</v>
      </c>
      <c r="R2575" s="14" t="s">
        <v>275</v>
      </c>
      <c r="S2575" s="14" t="s">
        <v>276</v>
      </c>
      <c r="T2575" s="14" t="s">
        <v>12333</v>
      </c>
      <c r="U2575" s="14" t="s">
        <v>12334</v>
      </c>
    </row>
    <row r="2576" spans="1:21">
      <c r="A2576" s="14" t="s">
        <v>12335</v>
      </c>
      <c r="B2576" s="14">
        <v>248.4221184</v>
      </c>
      <c r="C2576" s="14">
        <v>30.81292336</v>
      </c>
      <c r="D2576" s="14">
        <v>466.0313135</v>
      </c>
      <c r="E2576" s="14">
        <v>15.05445998</v>
      </c>
      <c r="F2576" s="14">
        <v>3.912119053</v>
      </c>
      <c r="G2576" s="51" t="s">
        <v>12336</v>
      </c>
      <c r="H2576" s="51" t="s">
        <v>12337</v>
      </c>
      <c r="I2576" s="14" t="s">
        <v>164</v>
      </c>
      <c r="J2576" s="14">
        <v>3.052009721</v>
      </c>
      <c r="K2576" s="14">
        <v>4.320427503</v>
      </c>
      <c r="L2576" s="14">
        <v>4.148648248</v>
      </c>
      <c r="M2576" s="14">
        <v>0.174551026</v>
      </c>
      <c r="N2576" s="14">
        <v>0.167460987</v>
      </c>
      <c r="O2576" s="14">
        <v>0.293737812</v>
      </c>
      <c r="P2576" s="14" t="s">
        <v>12338</v>
      </c>
      <c r="Q2576" s="14" t="s">
        <v>12339</v>
      </c>
      <c r="R2576" s="14" t="s">
        <v>2112</v>
      </c>
      <c r="S2576" s="14" t="s">
        <v>2113</v>
      </c>
      <c r="T2576" s="14" t="s">
        <v>12340</v>
      </c>
      <c r="U2576" s="14" t="s">
        <v>12341</v>
      </c>
    </row>
    <row r="2577" spans="1:21">
      <c r="A2577" s="14" t="s">
        <v>12342</v>
      </c>
      <c r="B2577" s="14">
        <v>516.3995834</v>
      </c>
      <c r="C2577" s="14">
        <v>695.1432245</v>
      </c>
      <c r="D2577" s="14">
        <v>337.6559423</v>
      </c>
      <c r="E2577" s="14">
        <v>0.485819827</v>
      </c>
      <c r="F2577" s="14">
        <v>-1.041506726</v>
      </c>
      <c r="G2577" s="51" t="s">
        <v>8784</v>
      </c>
      <c r="H2577" s="14">
        <v>0.000105362</v>
      </c>
      <c r="I2577" s="14" t="s">
        <v>147</v>
      </c>
      <c r="J2577" s="14">
        <v>8.117166002</v>
      </c>
      <c r="K2577" s="14">
        <v>9.648820443</v>
      </c>
      <c r="L2577" s="14">
        <v>7.671763158</v>
      </c>
      <c r="M2577" s="14">
        <v>15.4025707</v>
      </c>
      <c r="N2577" s="14">
        <v>15.73754117</v>
      </c>
      <c r="O2577" s="14">
        <v>11.63049279</v>
      </c>
      <c r="P2577" s="14" t="s">
        <v>12343</v>
      </c>
      <c r="Q2577" s="14" t="s">
        <v>12344</v>
      </c>
      <c r="T2577" s="14" t="s">
        <v>12345</v>
      </c>
      <c r="U2577" s="14" t="s">
        <v>12346</v>
      </c>
    </row>
    <row r="2578" spans="1:21">
      <c r="A2578" s="14" t="s">
        <v>12347</v>
      </c>
      <c r="B2578" s="14">
        <v>37.98258047</v>
      </c>
      <c r="C2578" s="14">
        <v>1.884432105</v>
      </c>
      <c r="D2578" s="14">
        <v>74.08072884</v>
      </c>
      <c r="E2578" s="14">
        <v>38.073488</v>
      </c>
      <c r="F2578" s="14">
        <v>5.250714839</v>
      </c>
      <c r="G2578" s="51" t="s">
        <v>12348</v>
      </c>
      <c r="H2578" s="51" t="s">
        <v>12349</v>
      </c>
      <c r="I2578" s="14" t="s">
        <v>164</v>
      </c>
      <c r="J2578" s="14">
        <v>1.28106807</v>
      </c>
      <c r="K2578" s="14">
        <v>0.342094543</v>
      </c>
      <c r="L2578" s="14">
        <v>1.321581075</v>
      </c>
      <c r="M2578" s="14">
        <v>0</v>
      </c>
      <c r="N2578" s="14">
        <v>0.010730142</v>
      </c>
      <c r="O2578" s="14">
        <v>0.05471334</v>
      </c>
      <c r="P2578" s="14" t="s">
        <v>12350</v>
      </c>
      <c r="Q2578" s="14" t="s">
        <v>12351</v>
      </c>
      <c r="T2578" s="14" t="s">
        <v>12352</v>
      </c>
      <c r="U2578" s="14" t="s">
        <v>12353</v>
      </c>
    </row>
    <row r="2579" spans="1:21">
      <c r="A2579" s="14" t="s">
        <v>12354</v>
      </c>
      <c r="B2579" s="14">
        <v>205.5710324</v>
      </c>
      <c r="C2579" s="14">
        <v>52.51358829</v>
      </c>
      <c r="D2579" s="14">
        <v>358.6284766</v>
      </c>
      <c r="E2579" s="14">
        <v>6.816663407</v>
      </c>
      <c r="F2579" s="14">
        <v>2.769065747</v>
      </c>
      <c r="G2579" s="51" t="s">
        <v>12355</v>
      </c>
      <c r="H2579" s="51" t="s">
        <v>12356</v>
      </c>
      <c r="I2579" s="14" t="s">
        <v>164</v>
      </c>
      <c r="J2579" s="14">
        <v>4.210523649</v>
      </c>
      <c r="K2579" s="14">
        <v>1.036738243</v>
      </c>
      <c r="L2579" s="14">
        <v>2.318543327</v>
      </c>
      <c r="M2579" s="14">
        <v>0.178636449</v>
      </c>
      <c r="N2579" s="14">
        <v>0.222794605</v>
      </c>
      <c r="O2579" s="14">
        <v>0.535976383</v>
      </c>
      <c r="P2579" s="14" t="s">
        <v>12301</v>
      </c>
      <c r="Q2579" s="14" t="s">
        <v>12302</v>
      </c>
      <c r="T2579" s="14" t="s">
        <v>12357</v>
      </c>
      <c r="U2579" s="14" t="s">
        <v>12358</v>
      </c>
    </row>
    <row r="2580" spans="1:21">
      <c r="A2580" s="14" t="s">
        <v>12359</v>
      </c>
      <c r="B2580" s="14">
        <v>404.6879852</v>
      </c>
      <c r="C2580" s="14">
        <v>616.0575239</v>
      </c>
      <c r="D2580" s="14">
        <v>193.3184466</v>
      </c>
      <c r="E2580" s="14">
        <v>0.313878045</v>
      </c>
      <c r="F2580" s="14">
        <v>-1.671723974</v>
      </c>
      <c r="G2580" s="14">
        <v>0.009577575</v>
      </c>
      <c r="H2580" s="14">
        <v>0.026006912</v>
      </c>
      <c r="I2580" s="14" t="s">
        <v>147</v>
      </c>
      <c r="J2580" s="14">
        <v>1.267017442</v>
      </c>
      <c r="K2580" s="14">
        <v>2.825644544</v>
      </c>
      <c r="L2580" s="14">
        <v>3.193390757</v>
      </c>
      <c r="M2580" s="14">
        <v>8.300448162</v>
      </c>
      <c r="N2580" s="14">
        <v>8.401734624</v>
      </c>
      <c r="O2580" s="14">
        <v>1.819690635</v>
      </c>
      <c r="P2580" s="14" t="s">
        <v>12360</v>
      </c>
      <c r="Q2580" s="14" t="s">
        <v>12361</v>
      </c>
      <c r="R2580" s="14" t="s">
        <v>3413</v>
      </c>
      <c r="S2580" s="14" t="s">
        <v>3414</v>
      </c>
      <c r="T2580" s="14" t="s">
        <v>12362</v>
      </c>
      <c r="U2580" s="14" t="s">
        <v>12363</v>
      </c>
    </row>
    <row r="2581" spans="1:21">
      <c r="A2581" s="14" t="s">
        <v>12364</v>
      </c>
      <c r="B2581" s="14">
        <v>438.7630909</v>
      </c>
      <c r="C2581" s="14">
        <v>120.3341085</v>
      </c>
      <c r="D2581" s="14">
        <v>757.1920733</v>
      </c>
      <c r="E2581" s="14">
        <v>6.284489823</v>
      </c>
      <c r="F2581" s="14">
        <v>2.651795631</v>
      </c>
      <c r="G2581" s="51" t="s">
        <v>300</v>
      </c>
      <c r="H2581" s="14">
        <v>0.00030994</v>
      </c>
      <c r="I2581" s="14" t="s">
        <v>164</v>
      </c>
      <c r="J2581" s="14">
        <v>12.91761952</v>
      </c>
      <c r="K2581" s="14">
        <v>10.53457049</v>
      </c>
      <c r="L2581" s="14">
        <v>16.50551086</v>
      </c>
      <c r="M2581" s="14">
        <v>0.550381066</v>
      </c>
      <c r="N2581" s="14">
        <v>0.884799138</v>
      </c>
      <c r="O2581" s="14">
        <v>4.045903877</v>
      </c>
      <c r="P2581" s="14" t="s">
        <v>12365</v>
      </c>
      <c r="Q2581" s="14" t="s">
        <v>12366</v>
      </c>
      <c r="T2581" s="14" t="s">
        <v>1396</v>
      </c>
      <c r="U2581" s="14" t="s">
        <v>1397</v>
      </c>
    </row>
    <row r="2582" spans="1:15">
      <c r="A2582" s="14" t="s">
        <v>12367</v>
      </c>
      <c r="B2582" s="14">
        <v>239.1361694</v>
      </c>
      <c r="C2582" s="14">
        <v>149.1129411</v>
      </c>
      <c r="D2582" s="14">
        <v>329.1593976</v>
      </c>
      <c r="E2582" s="14">
        <v>2.208616987</v>
      </c>
      <c r="F2582" s="14">
        <v>1.143143252</v>
      </c>
      <c r="G2582" s="14">
        <v>0.001706909</v>
      </c>
      <c r="H2582" s="14">
        <v>0.005847149</v>
      </c>
      <c r="I2582" s="14" t="s">
        <v>164</v>
      </c>
      <c r="J2582" s="14">
        <v>6.440029493</v>
      </c>
      <c r="K2582" s="14">
        <v>3.220131081</v>
      </c>
      <c r="L2582" s="14">
        <v>4.147187523</v>
      </c>
      <c r="M2582" s="14">
        <v>1.658941323</v>
      </c>
      <c r="N2582" s="14">
        <v>2.05765616</v>
      </c>
      <c r="O2582" s="14">
        <v>1.391211757</v>
      </c>
    </row>
    <row r="2583" spans="1:21">
      <c r="A2583" s="14" t="s">
        <v>12368</v>
      </c>
      <c r="B2583" s="14">
        <v>384.4018534</v>
      </c>
      <c r="C2583" s="14">
        <v>213.8757049</v>
      </c>
      <c r="D2583" s="14">
        <v>554.9280019</v>
      </c>
      <c r="E2583" s="14">
        <v>2.592560368</v>
      </c>
      <c r="F2583" s="14">
        <v>1.374377583</v>
      </c>
      <c r="G2583" s="14">
        <v>0.017210515</v>
      </c>
      <c r="H2583" s="14">
        <v>0.042835113</v>
      </c>
      <c r="I2583" s="14" t="s">
        <v>164</v>
      </c>
      <c r="J2583" s="14">
        <v>10.41768033</v>
      </c>
      <c r="K2583" s="14">
        <v>6.891055566</v>
      </c>
      <c r="L2583" s="14">
        <v>8.919477002</v>
      </c>
      <c r="M2583" s="14">
        <v>1.160865496</v>
      </c>
      <c r="N2583" s="14">
        <v>1.600161819</v>
      </c>
      <c r="O2583" s="14">
        <v>5.913843887</v>
      </c>
      <c r="P2583" s="14" t="s">
        <v>12365</v>
      </c>
      <c r="Q2583" s="14" t="s">
        <v>12366</v>
      </c>
      <c r="T2583" s="14" t="s">
        <v>1396</v>
      </c>
      <c r="U2583" s="14" t="s">
        <v>1397</v>
      </c>
    </row>
    <row r="2584" spans="1:21">
      <c r="A2584" s="14" t="s">
        <v>12369</v>
      </c>
      <c r="B2584" s="14">
        <v>469.8852698</v>
      </c>
      <c r="C2584" s="14">
        <v>263.831523</v>
      </c>
      <c r="D2584" s="14">
        <v>675.9390166</v>
      </c>
      <c r="E2584" s="14">
        <v>2.56031141</v>
      </c>
      <c r="F2584" s="14">
        <v>1.356319295</v>
      </c>
      <c r="G2584" s="14">
        <v>0.012498754</v>
      </c>
      <c r="H2584" s="14">
        <v>0.032645206</v>
      </c>
      <c r="I2584" s="14" t="s">
        <v>164</v>
      </c>
      <c r="J2584" s="14">
        <v>18.8344289</v>
      </c>
      <c r="K2584" s="14">
        <v>11.3874634</v>
      </c>
      <c r="L2584" s="14">
        <v>13.9019015</v>
      </c>
      <c r="M2584" s="14">
        <v>2.433789655</v>
      </c>
      <c r="N2584" s="14">
        <v>2.564887683</v>
      </c>
      <c r="O2584" s="14">
        <v>9.741186829</v>
      </c>
      <c r="P2584" s="14" t="s">
        <v>12370</v>
      </c>
      <c r="Q2584" s="14" t="s">
        <v>12371</v>
      </c>
      <c r="R2584" s="14" t="s">
        <v>2754</v>
      </c>
      <c r="S2584" s="14" t="s">
        <v>2755</v>
      </c>
      <c r="T2584" s="14" t="s">
        <v>12372</v>
      </c>
      <c r="U2584" s="14" t="s">
        <v>12373</v>
      </c>
    </row>
    <row r="2585" spans="1:15">
      <c r="A2585" s="14" t="s">
        <v>12374</v>
      </c>
      <c r="B2585" s="14">
        <v>311.8382465</v>
      </c>
      <c r="C2585" s="14">
        <v>418.6995321</v>
      </c>
      <c r="D2585" s="14">
        <v>204.9769608</v>
      </c>
      <c r="E2585" s="14">
        <v>0.489525156</v>
      </c>
      <c r="F2585" s="14">
        <v>-1.030545094</v>
      </c>
      <c r="G2585" s="14">
        <v>0.000432106</v>
      </c>
      <c r="H2585" s="14">
        <v>0.001749343</v>
      </c>
      <c r="I2585" s="14" t="s">
        <v>147</v>
      </c>
      <c r="J2585" s="14">
        <v>5.702877313</v>
      </c>
      <c r="K2585" s="14">
        <v>8.346439462</v>
      </c>
      <c r="L2585" s="14">
        <v>5.045795005</v>
      </c>
      <c r="M2585" s="14">
        <v>12.18519159</v>
      </c>
      <c r="N2585" s="14">
        <v>10.12142399</v>
      </c>
      <c r="O2585" s="14">
        <v>9.676775323</v>
      </c>
    </row>
    <row r="2586" spans="1:15">
      <c r="A2586" s="14" t="s">
        <v>12375</v>
      </c>
      <c r="B2586" s="14">
        <v>10.97072189</v>
      </c>
      <c r="C2586" s="14">
        <v>20.01812874</v>
      </c>
      <c r="D2586" s="14">
        <v>1.923315035</v>
      </c>
      <c r="E2586" s="14">
        <v>0.097001056</v>
      </c>
      <c r="F2586" s="14">
        <v>-3.365855739</v>
      </c>
      <c r="G2586" s="14">
        <v>0.000600255</v>
      </c>
      <c r="H2586" s="14">
        <v>0.002334571</v>
      </c>
      <c r="I2586" s="14" t="s">
        <v>147</v>
      </c>
      <c r="J2586" s="14">
        <v>0</v>
      </c>
      <c r="K2586" s="14">
        <v>0.057691547</v>
      </c>
      <c r="L2586" s="14">
        <v>0.110375807</v>
      </c>
      <c r="M2586" s="14">
        <v>0.392322835</v>
      </c>
      <c r="N2586" s="14">
        <v>0.494008179</v>
      </c>
      <c r="O2586" s="14">
        <v>0.551772998</v>
      </c>
    </row>
    <row r="2587" spans="1:21">
      <c r="A2587" s="14" t="s">
        <v>12376</v>
      </c>
      <c r="B2587" s="14">
        <v>579.5928818</v>
      </c>
      <c r="C2587" s="14">
        <v>875.3401946</v>
      </c>
      <c r="D2587" s="14">
        <v>283.845569</v>
      </c>
      <c r="E2587" s="14">
        <v>0.32425985</v>
      </c>
      <c r="F2587" s="14">
        <v>-1.624777694</v>
      </c>
      <c r="G2587" s="14">
        <v>0.003238385</v>
      </c>
      <c r="H2587" s="14">
        <v>0.010148724</v>
      </c>
      <c r="I2587" s="14" t="s">
        <v>147</v>
      </c>
      <c r="J2587" s="14">
        <v>1.774335405</v>
      </c>
      <c r="K2587" s="14">
        <v>5.48054686</v>
      </c>
      <c r="L2587" s="14">
        <v>2.242298423</v>
      </c>
      <c r="M2587" s="14">
        <v>10.06698</v>
      </c>
      <c r="N2587" s="14">
        <v>9.384988128</v>
      </c>
      <c r="O2587" s="14">
        <v>4.260940905</v>
      </c>
      <c r="P2587" s="14" t="s">
        <v>12377</v>
      </c>
      <c r="Q2587" s="14" t="s">
        <v>12378</v>
      </c>
      <c r="T2587" s="14" t="s">
        <v>12379</v>
      </c>
      <c r="U2587" s="14" t="s">
        <v>12380</v>
      </c>
    </row>
    <row r="2588" spans="1:21">
      <c r="A2588" s="14" t="s">
        <v>12381</v>
      </c>
      <c r="B2588" s="14">
        <v>4017.099045</v>
      </c>
      <c r="C2588" s="14">
        <v>5396.282449</v>
      </c>
      <c r="D2588" s="14">
        <v>2637.915642</v>
      </c>
      <c r="E2588" s="14">
        <v>0.488845781</v>
      </c>
      <c r="F2588" s="14">
        <v>-1.032548693</v>
      </c>
      <c r="G2588" s="51" t="s">
        <v>12382</v>
      </c>
      <c r="H2588" s="51" t="s">
        <v>12383</v>
      </c>
      <c r="I2588" s="14" t="s">
        <v>147</v>
      </c>
      <c r="J2588" s="14">
        <v>20.00103936</v>
      </c>
      <c r="K2588" s="14">
        <v>21.23737277</v>
      </c>
      <c r="L2588" s="14">
        <v>17.21301807</v>
      </c>
      <c r="M2588" s="14">
        <v>34.60153398</v>
      </c>
      <c r="N2588" s="14">
        <v>33.76115453</v>
      </c>
      <c r="O2588" s="14">
        <v>29.63565975</v>
      </c>
      <c r="P2588" s="14" t="s">
        <v>12384</v>
      </c>
      <c r="Q2588" s="14" t="s">
        <v>12385</v>
      </c>
      <c r="T2588" s="14" t="s">
        <v>12386</v>
      </c>
      <c r="U2588" s="14" t="s">
        <v>12387</v>
      </c>
    </row>
    <row r="2589" spans="1:15">
      <c r="A2589" s="14" t="s">
        <v>12388</v>
      </c>
      <c r="B2589" s="14">
        <v>4214.05096</v>
      </c>
      <c r="C2589" s="14">
        <v>7302.660707</v>
      </c>
      <c r="D2589" s="14">
        <v>1125.441213</v>
      </c>
      <c r="E2589" s="14">
        <v>0.154114026</v>
      </c>
      <c r="F2589" s="14">
        <v>-2.697929929</v>
      </c>
      <c r="G2589" s="51" t="s">
        <v>12389</v>
      </c>
      <c r="H2589" s="51" t="s">
        <v>11293</v>
      </c>
      <c r="I2589" s="14" t="s">
        <v>147</v>
      </c>
      <c r="J2589" s="14">
        <v>7.337551496</v>
      </c>
      <c r="K2589" s="14">
        <v>7.098591327</v>
      </c>
      <c r="L2589" s="14">
        <v>6.218330211</v>
      </c>
      <c r="M2589" s="14">
        <v>34.09300995</v>
      </c>
      <c r="N2589" s="14">
        <v>55.20223537</v>
      </c>
      <c r="O2589" s="14">
        <v>19.13745717</v>
      </c>
    </row>
    <row r="2590" spans="1:21">
      <c r="A2590" s="14" t="s">
        <v>12390</v>
      </c>
      <c r="B2590" s="14">
        <v>2513.138638</v>
      </c>
      <c r="C2590" s="14">
        <v>3712.310673</v>
      </c>
      <c r="D2590" s="14">
        <v>1313.966603</v>
      </c>
      <c r="E2590" s="14">
        <v>0.353924374</v>
      </c>
      <c r="F2590" s="14">
        <v>-1.498486974</v>
      </c>
      <c r="G2590" s="51" t="s">
        <v>12391</v>
      </c>
      <c r="H2590" s="51" t="s">
        <v>12392</v>
      </c>
      <c r="I2590" s="14" t="s">
        <v>147</v>
      </c>
      <c r="J2590" s="14">
        <v>19.38694227</v>
      </c>
      <c r="K2590" s="14">
        <v>21.41469942</v>
      </c>
      <c r="L2590" s="14">
        <v>19.30687409</v>
      </c>
      <c r="M2590" s="14">
        <v>45.21123589</v>
      </c>
      <c r="N2590" s="14">
        <v>46.16558635</v>
      </c>
      <c r="O2590" s="14">
        <v>48.49666328</v>
      </c>
      <c r="P2590" s="14" t="s">
        <v>12393</v>
      </c>
      <c r="Q2590" s="14" t="s">
        <v>12394</v>
      </c>
      <c r="T2590" s="14" t="s">
        <v>12395</v>
      </c>
      <c r="U2590" s="14" t="s">
        <v>12396</v>
      </c>
    </row>
    <row r="2591" spans="1:21">
      <c r="A2591" s="14" t="s">
        <v>12397</v>
      </c>
      <c r="B2591" s="14">
        <v>17.35434373</v>
      </c>
      <c r="C2591" s="14">
        <v>4.67398726</v>
      </c>
      <c r="D2591" s="14">
        <v>30.0347002</v>
      </c>
      <c r="E2591" s="14">
        <v>6.424253822</v>
      </c>
      <c r="F2591" s="14">
        <v>2.683528895</v>
      </c>
      <c r="G2591" s="14">
        <v>0.00361978</v>
      </c>
      <c r="H2591" s="14">
        <v>0.011204022</v>
      </c>
      <c r="I2591" s="14" t="s">
        <v>164</v>
      </c>
      <c r="J2591" s="14">
        <v>1.69139772</v>
      </c>
      <c r="K2591" s="14">
        <v>3.928713061</v>
      </c>
      <c r="L2591" s="14">
        <v>6.263697472</v>
      </c>
      <c r="M2591" s="14">
        <v>0.667915812</v>
      </c>
      <c r="N2591" s="14">
        <v>0.106797655</v>
      </c>
      <c r="O2591" s="14">
        <v>0.762390574</v>
      </c>
      <c r="P2591" s="14" t="s">
        <v>10101</v>
      </c>
      <c r="Q2591" s="14" t="s">
        <v>10102</v>
      </c>
      <c r="T2591" s="14" t="s">
        <v>10103</v>
      </c>
      <c r="U2591" s="14" t="s">
        <v>10104</v>
      </c>
    </row>
    <row r="2592" spans="1:21">
      <c r="A2592" s="14" t="s">
        <v>12398</v>
      </c>
      <c r="B2592" s="14">
        <v>184.2444788</v>
      </c>
      <c r="C2592" s="14">
        <v>26.23521723</v>
      </c>
      <c r="D2592" s="14">
        <v>342.2537404</v>
      </c>
      <c r="E2592" s="14">
        <v>13.09648257</v>
      </c>
      <c r="F2592" s="14">
        <v>3.711107482</v>
      </c>
      <c r="G2592" s="51" t="s">
        <v>12399</v>
      </c>
      <c r="H2592" s="51" t="s">
        <v>12400</v>
      </c>
      <c r="I2592" s="14" t="s">
        <v>164</v>
      </c>
      <c r="J2592" s="14">
        <v>1.788840228</v>
      </c>
      <c r="K2592" s="14">
        <v>0.971333763</v>
      </c>
      <c r="L2592" s="14">
        <v>2.134849402</v>
      </c>
      <c r="M2592" s="14">
        <v>0.112775321</v>
      </c>
      <c r="N2592" s="14">
        <v>0.123650894</v>
      </c>
      <c r="O2592" s="14">
        <v>0.066990615</v>
      </c>
      <c r="P2592" s="14" t="s">
        <v>10455</v>
      </c>
      <c r="Q2592" s="14" t="s">
        <v>10456</v>
      </c>
      <c r="R2592" s="14" t="s">
        <v>3743</v>
      </c>
      <c r="S2592" s="14" t="s">
        <v>3744</v>
      </c>
      <c r="T2592" s="14" t="s">
        <v>9116</v>
      </c>
      <c r="U2592" s="14" t="s">
        <v>9117</v>
      </c>
    </row>
    <row r="2593" spans="1:21">
      <c r="A2593" s="14" t="s">
        <v>12401</v>
      </c>
      <c r="B2593" s="14">
        <v>516.6016417</v>
      </c>
      <c r="C2593" s="14">
        <v>698.2355146</v>
      </c>
      <c r="D2593" s="14">
        <v>334.9677687</v>
      </c>
      <c r="E2593" s="14">
        <v>0.479576007</v>
      </c>
      <c r="F2593" s="14">
        <v>-1.060168612</v>
      </c>
      <c r="G2593" s="51" t="s">
        <v>5916</v>
      </c>
      <c r="H2593" s="51" t="s">
        <v>5917</v>
      </c>
      <c r="I2593" s="14" t="s">
        <v>147</v>
      </c>
      <c r="J2593" s="14">
        <v>4.499887778</v>
      </c>
      <c r="K2593" s="14">
        <v>5.144900589</v>
      </c>
      <c r="L2593" s="14">
        <v>5.131952996</v>
      </c>
      <c r="M2593" s="14">
        <v>7.700160275</v>
      </c>
      <c r="N2593" s="14">
        <v>6.849472906</v>
      </c>
      <c r="O2593" s="14">
        <v>11.0567523</v>
      </c>
      <c r="P2593" s="14" t="s">
        <v>12402</v>
      </c>
      <c r="Q2593" s="14" t="s">
        <v>12403</v>
      </c>
      <c r="T2593" s="14" t="s">
        <v>12404</v>
      </c>
      <c r="U2593" s="14" t="s">
        <v>12405</v>
      </c>
    </row>
    <row r="2594" spans="1:15">
      <c r="A2594" s="14" t="s">
        <v>12406</v>
      </c>
      <c r="B2594" s="14">
        <v>5.27831716</v>
      </c>
      <c r="C2594" s="14">
        <v>0.309088846</v>
      </c>
      <c r="D2594" s="14">
        <v>10.24754547</v>
      </c>
      <c r="E2594" s="14">
        <v>28.35247268</v>
      </c>
      <c r="F2594" s="14">
        <v>4.825402656</v>
      </c>
      <c r="G2594" s="14">
        <v>0.005077354</v>
      </c>
      <c r="H2594" s="14">
        <v>0.015026236</v>
      </c>
      <c r="I2594" s="14" t="s">
        <v>164</v>
      </c>
      <c r="J2594" s="14">
        <v>1.253347286</v>
      </c>
      <c r="K2594" s="14">
        <v>0.63076574</v>
      </c>
      <c r="L2594" s="14">
        <v>0.268174384</v>
      </c>
      <c r="M2594" s="14">
        <v>0</v>
      </c>
      <c r="N2594" s="14">
        <v>0</v>
      </c>
      <c r="O2594" s="14">
        <v>0.058287578</v>
      </c>
    </row>
    <row r="2595" spans="1:21">
      <c r="A2595" s="14" t="s">
        <v>12407</v>
      </c>
      <c r="B2595" s="14">
        <v>4938.300952</v>
      </c>
      <c r="C2595" s="14">
        <v>2962.414329</v>
      </c>
      <c r="D2595" s="14">
        <v>6914.187575</v>
      </c>
      <c r="E2595" s="14">
        <v>2.333890458</v>
      </c>
      <c r="F2595" s="14">
        <v>1.222736849</v>
      </c>
      <c r="G2595" s="51" t="s">
        <v>12408</v>
      </c>
      <c r="H2595" s="51" t="s">
        <v>12409</v>
      </c>
      <c r="I2595" s="14" t="s">
        <v>164</v>
      </c>
      <c r="J2595" s="14">
        <v>173.4823269</v>
      </c>
      <c r="K2595" s="14">
        <v>130.7101602</v>
      </c>
      <c r="L2595" s="14">
        <v>150.3837735</v>
      </c>
      <c r="M2595" s="14">
        <v>48.72176487</v>
      </c>
      <c r="N2595" s="14">
        <v>52.67466057</v>
      </c>
      <c r="O2595" s="14">
        <v>59.3858675</v>
      </c>
      <c r="P2595" s="14" t="s">
        <v>12410</v>
      </c>
      <c r="Q2595" s="14" t="s">
        <v>12411</v>
      </c>
      <c r="R2595" s="14" t="s">
        <v>11034</v>
      </c>
      <c r="S2595" s="14" t="s">
        <v>11035</v>
      </c>
      <c r="T2595" s="14" t="s">
        <v>12412</v>
      </c>
      <c r="U2595" s="14" t="s">
        <v>12413</v>
      </c>
    </row>
    <row r="2596" spans="1:21">
      <c r="A2596" s="14" t="s">
        <v>12414</v>
      </c>
      <c r="B2596" s="14">
        <v>8.708742067</v>
      </c>
      <c r="C2596" s="14">
        <v>0</v>
      </c>
      <c r="D2596" s="14">
        <v>17.41748413</v>
      </c>
      <c r="E2596" s="14">
        <v>93.93510214</v>
      </c>
      <c r="F2596" s="14">
        <v>6.553592467</v>
      </c>
      <c r="G2596" s="14">
        <v>0.001672209</v>
      </c>
      <c r="H2596" s="14">
        <v>0.005742637</v>
      </c>
      <c r="I2596" s="14" t="s">
        <v>164</v>
      </c>
      <c r="J2596" s="14">
        <v>0.823738037</v>
      </c>
      <c r="K2596" s="14">
        <v>0.039481759</v>
      </c>
      <c r="L2596" s="14">
        <v>0.169957651</v>
      </c>
      <c r="M2596" s="14">
        <v>0</v>
      </c>
      <c r="N2596" s="14">
        <v>0</v>
      </c>
      <c r="O2596" s="14">
        <v>0</v>
      </c>
      <c r="P2596" s="14" t="s">
        <v>12415</v>
      </c>
      <c r="Q2596" s="14" t="s">
        <v>12416</v>
      </c>
      <c r="T2596" s="14" t="s">
        <v>2771</v>
      </c>
      <c r="U2596" s="14" t="s">
        <v>2772</v>
      </c>
    </row>
    <row r="2597" spans="1:21">
      <c r="A2597" s="14" t="s">
        <v>12417</v>
      </c>
      <c r="B2597" s="14">
        <v>693.4708763</v>
      </c>
      <c r="C2597" s="14">
        <v>318.9917866</v>
      </c>
      <c r="D2597" s="14">
        <v>1067.949966</v>
      </c>
      <c r="E2597" s="14">
        <v>3.350058901</v>
      </c>
      <c r="F2597" s="14">
        <v>1.744186462</v>
      </c>
      <c r="G2597" s="51" t="s">
        <v>12418</v>
      </c>
      <c r="H2597" s="51" t="s">
        <v>12419</v>
      </c>
      <c r="I2597" s="14" t="s">
        <v>164</v>
      </c>
      <c r="J2597" s="14">
        <v>7.56756461</v>
      </c>
      <c r="K2597" s="14">
        <v>5.216177082</v>
      </c>
      <c r="L2597" s="14">
        <v>7.120690225</v>
      </c>
      <c r="M2597" s="14">
        <v>1.840917029</v>
      </c>
      <c r="N2597" s="14">
        <v>1.942755471</v>
      </c>
      <c r="O2597" s="14">
        <v>1.029212779</v>
      </c>
      <c r="P2597" s="14" t="s">
        <v>12420</v>
      </c>
      <c r="Q2597" s="14" t="s">
        <v>12421</v>
      </c>
      <c r="T2597" s="14" t="s">
        <v>12422</v>
      </c>
      <c r="U2597" s="14" t="s">
        <v>12423</v>
      </c>
    </row>
    <row r="2598" spans="1:15">
      <c r="A2598" s="14" t="s">
        <v>12424</v>
      </c>
      <c r="B2598" s="14">
        <v>306.5931987</v>
      </c>
      <c r="C2598" s="14">
        <v>181.6833899</v>
      </c>
      <c r="D2598" s="14">
        <v>431.5030075</v>
      </c>
      <c r="E2598" s="14">
        <v>2.371167982</v>
      </c>
      <c r="F2598" s="14">
        <v>1.245597872</v>
      </c>
      <c r="G2598" s="51" t="s">
        <v>7468</v>
      </c>
      <c r="H2598" s="51" t="s">
        <v>11110</v>
      </c>
      <c r="I2598" s="14" t="s">
        <v>164</v>
      </c>
      <c r="J2598" s="14">
        <v>2.198624996</v>
      </c>
      <c r="K2598" s="14">
        <v>2.104905878</v>
      </c>
      <c r="L2598" s="14">
        <v>2.382793726</v>
      </c>
      <c r="M2598" s="14">
        <v>0.577463745</v>
      </c>
      <c r="N2598" s="14">
        <v>0.705100972</v>
      </c>
      <c r="O2598" s="14">
        <v>1.065759327</v>
      </c>
    </row>
    <row r="2599" spans="1:21">
      <c r="A2599" s="14" t="s">
        <v>12425</v>
      </c>
      <c r="B2599" s="14">
        <v>919.0746697</v>
      </c>
      <c r="C2599" s="14">
        <v>1657.818974</v>
      </c>
      <c r="D2599" s="14">
        <v>180.3303654</v>
      </c>
      <c r="E2599" s="14">
        <v>0.108768234</v>
      </c>
      <c r="F2599" s="14">
        <v>-3.200670816</v>
      </c>
      <c r="G2599" s="51" t="s">
        <v>12426</v>
      </c>
      <c r="H2599" s="51" t="s">
        <v>12427</v>
      </c>
      <c r="I2599" s="14" t="s">
        <v>147</v>
      </c>
      <c r="J2599" s="14">
        <v>1.985713844</v>
      </c>
      <c r="K2599" s="14">
        <v>4.365538543</v>
      </c>
      <c r="L2599" s="14">
        <v>3.153029561</v>
      </c>
      <c r="M2599" s="14">
        <v>25.7974611</v>
      </c>
      <c r="N2599" s="14">
        <v>25.69326025</v>
      </c>
      <c r="O2599" s="14">
        <v>19.91771901</v>
      </c>
      <c r="P2599" s="14" t="s">
        <v>6196</v>
      </c>
      <c r="Q2599" s="14" t="s">
        <v>6197</v>
      </c>
      <c r="R2599" s="14" t="s">
        <v>556</v>
      </c>
      <c r="S2599" s="14" t="s">
        <v>557</v>
      </c>
      <c r="T2599" s="14" t="s">
        <v>6198</v>
      </c>
      <c r="U2599" s="14" t="s">
        <v>6199</v>
      </c>
    </row>
    <row r="2600" spans="1:21">
      <c r="A2600" s="14" t="s">
        <v>12428</v>
      </c>
      <c r="B2600" s="14">
        <v>421.5163334</v>
      </c>
      <c r="C2600" s="14">
        <v>127.7474397</v>
      </c>
      <c r="D2600" s="14">
        <v>715.2852271</v>
      </c>
      <c r="E2600" s="14">
        <v>5.602023465</v>
      </c>
      <c r="F2600" s="14">
        <v>2.485948026</v>
      </c>
      <c r="G2600" s="51" t="s">
        <v>12429</v>
      </c>
      <c r="H2600" s="51" t="s">
        <v>12430</v>
      </c>
      <c r="I2600" s="14" t="s">
        <v>164</v>
      </c>
      <c r="J2600" s="14">
        <v>9.920109023</v>
      </c>
      <c r="K2600" s="14">
        <v>7.033295228</v>
      </c>
      <c r="L2600" s="14">
        <v>11.72642986</v>
      </c>
      <c r="M2600" s="14">
        <v>1.130172132</v>
      </c>
      <c r="N2600" s="14">
        <v>1.929993458</v>
      </c>
      <c r="O2600" s="14">
        <v>1.116798885</v>
      </c>
      <c r="P2600" s="14" t="s">
        <v>12431</v>
      </c>
      <c r="Q2600" s="14" t="s">
        <v>12432</v>
      </c>
      <c r="T2600" s="14" t="s">
        <v>12433</v>
      </c>
      <c r="U2600" s="14" t="s">
        <v>12434</v>
      </c>
    </row>
    <row r="2601" spans="1:21">
      <c r="A2601" s="14" t="s">
        <v>12435</v>
      </c>
      <c r="B2601" s="14">
        <v>1110.589561</v>
      </c>
      <c r="C2601" s="14">
        <v>734.9264335</v>
      </c>
      <c r="D2601" s="14">
        <v>1486.252689</v>
      </c>
      <c r="E2601" s="14">
        <v>2.023055387</v>
      </c>
      <c r="F2601" s="14">
        <v>1.016535818</v>
      </c>
      <c r="G2601" s="51" t="s">
        <v>12436</v>
      </c>
      <c r="H2601" s="51" t="s">
        <v>11092</v>
      </c>
      <c r="I2601" s="14" t="s">
        <v>164</v>
      </c>
      <c r="J2601" s="14">
        <v>9.063057541</v>
      </c>
      <c r="K2601" s="14">
        <v>8.942236245</v>
      </c>
      <c r="L2601" s="14">
        <v>10.77419483</v>
      </c>
      <c r="M2601" s="14">
        <v>3.803379555</v>
      </c>
      <c r="N2601" s="14">
        <v>3.837626897</v>
      </c>
      <c r="O2601" s="14">
        <v>4.063338693</v>
      </c>
      <c r="P2601" s="14" t="s">
        <v>11836</v>
      </c>
      <c r="Q2601" s="14" t="s">
        <v>11837</v>
      </c>
      <c r="T2601" s="14" t="s">
        <v>11838</v>
      </c>
      <c r="U2601" s="14" t="s">
        <v>11839</v>
      </c>
    </row>
    <row r="2602" spans="1:21">
      <c r="A2602" s="14" t="s">
        <v>12437</v>
      </c>
      <c r="B2602" s="14">
        <v>8.550806041</v>
      </c>
      <c r="C2602" s="14">
        <v>0.361896244</v>
      </c>
      <c r="D2602" s="14">
        <v>16.73971584</v>
      </c>
      <c r="E2602" s="14">
        <v>46.34977011</v>
      </c>
      <c r="F2602" s="14">
        <v>5.534490278</v>
      </c>
      <c r="G2602" s="14">
        <v>0.002420731</v>
      </c>
      <c r="H2602" s="14">
        <v>0.007909113</v>
      </c>
      <c r="I2602" s="14" t="s">
        <v>164</v>
      </c>
      <c r="J2602" s="14">
        <v>0.469919787</v>
      </c>
      <c r="K2602" s="14">
        <v>0.037341182</v>
      </c>
      <c r="L2602" s="14">
        <v>0.119068948</v>
      </c>
      <c r="M2602" s="14">
        <v>0.010580549</v>
      </c>
      <c r="N2602" s="14">
        <v>0</v>
      </c>
      <c r="O2602" s="14">
        <v>0</v>
      </c>
      <c r="P2602" s="14" t="s">
        <v>12438</v>
      </c>
      <c r="Q2602" s="14" t="s">
        <v>12439</v>
      </c>
      <c r="R2602" s="14" t="s">
        <v>4897</v>
      </c>
      <c r="S2602" s="14" t="s">
        <v>4898</v>
      </c>
      <c r="T2602" s="14" t="s">
        <v>12440</v>
      </c>
      <c r="U2602" s="14" t="s">
        <v>12441</v>
      </c>
    </row>
    <row r="2603" spans="1:15">
      <c r="A2603" s="14" t="s">
        <v>12442</v>
      </c>
      <c r="B2603" s="14">
        <v>2947.79164</v>
      </c>
      <c r="C2603" s="14">
        <v>4298.957492</v>
      </c>
      <c r="D2603" s="14">
        <v>1596.625788</v>
      </c>
      <c r="E2603" s="14">
        <v>0.37142206</v>
      </c>
      <c r="F2603" s="14">
        <v>-1.428868592</v>
      </c>
      <c r="G2603" s="51" t="s">
        <v>12443</v>
      </c>
      <c r="H2603" s="51" t="s">
        <v>12444</v>
      </c>
      <c r="I2603" s="14" t="s">
        <v>147</v>
      </c>
      <c r="J2603" s="14">
        <v>75.82557664</v>
      </c>
      <c r="K2603" s="14">
        <v>77.91879365</v>
      </c>
      <c r="L2603" s="14">
        <v>78.9382474</v>
      </c>
      <c r="M2603" s="14">
        <v>198.1680704</v>
      </c>
      <c r="N2603" s="14">
        <v>196.7930344</v>
      </c>
      <c r="O2603" s="14">
        <v>113.0521981</v>
      </c>
    </row>
    <row r="2604" spans="1:21">
      <c r="A2604" s="14" t="s">
        <v>12445</v>
      </c>
      <c r="B2604" s="14">
        <v>946.9940439</v>
      </c>
      <c r="C2604" s="14">
        <v>1520.335326</v>
      </c>
      <c r="D2604" s="14">
        <v>373.6527617</v>
      </c>
      <c r="E2604" s="14">
        <v>0.245626027</v>
      </c>
      <c r="F2604" s="14">
        <v>-2.025464653</v>
      </c>
      <c r="G2604" s="51" t="s">
        <v>12446</v>
      </c>
      <c r="H2604" s="51" t="s">
        <v>12447</v>
      </c>
      <c r="I2604" s="14" t="s">
        <v>147</v>
      </c>
      <c r="J2604" s="14">
        <v>4.055546503</v>
      </c>
      <c r="K2604" s="14">
        <v>4.438396277</v>
      </c>
      <c r="L2604" s="14">
        <v>3.636290993</v>
      </c>
      <c r="M2604" s="14">
        <v>12.65872421</v>
      </c>
      <c r="N2604" s="14">
        <v>13.03402734</v>
      </c>
      <c r="O2604" s="14">
        <v>15.0974079</v>
      </c>
      <c r="P2604" s="14" t="s">
        <v>752</v>
      </c>
      <c r="Q2604" s="14" t="s">
        <v>753</v>
      </c>
      <c r="T2604" s="14" t="s">
        <v>756</v>
      </c>
      <c r="U2604" s="14" t="s">
        <v>757</v>
      </c>
    </row>
    <row r="2605" spans="1:21">
      <c r="A2605" s="14" t="s">
        <v>12448</v>
      </c>
      <c r="B2605" s="14">
        <v>22.62063768</v>
      </c>
      <c r="C2605" s="14">
        <v>37.00282408</v>
      </c>
      <c r="D2605" s="14">
        <v>8.23845127</v>
      </c>
      <c r="E2605" s="14">
        <v>0.222468661</v>
      </c>
      <c r="F2605" s="14">
        <v>-2.168325976</v>
      </c>
      <c r="G2605" s="14">
        <v>0.004106413</v>
      </c>
      <c r="H2605" s="14">
        <v>0.01249104</v>
      </c>
      <c r="I2605" s="14" t="s">
        <v>147</v>
      </c>
      <c r="J2605" s="14">
        <v>0.540499844</v>
      </c>
      <c r="K2605" s="14">
        <v>0.445114831</v>
      </c>
      <c r="L2605" s="14">
        <v>0.236554532</v>
      </c>
      <c r="M2605" s="14">
        <v>1.597550409</v>
      </c>
      <c r="N2605" s="14">
        <v>2.177990466</v>
      </c>
      <c r="O2605" s="14">
        <v>0.658112228</v>
      </c>
      <c r="P2605" s="14" t="s">
        <v>12449</v>
      </c>
      <c r="Q2605" s="14" t="s">
        <v>12450</v>
      </c>
      <c r="T2605" s="14" t="s">
        <v>12451</v>
      </c>
      <c r="U2605" s="14" t="s">
        <v>12452</v>
      </c>
    </row>
    <row r="2606" spans="1:15">
      <c r="A2606" s="14" t="s">
        <v>12453</v>
      </c>
      <c r="B2606" s="14">
        <v>188.3767184</v>
      </c>
      <c r="C2606" s="14">
        <v>99.95386165</v>
      </c>
      <c r="D2606" s="14">
        <v>276.7995751</v>
      </c>
      <c r="E2606" s="14">
        <v>2.77291191</v>
      </c>
      <c r="F2606" s="14">
        <v>1.471401786</v>
      </c>
      <c r="G2606" s="14">
        <v>0.008227883</v>
      </c>
      <c r="H2606" s="14">
        <v>0.022814958</v>
      </c>
      <c r="I2606" s="14" t="s">
        <v>164</v>
      </c>
      <c r="J2606" s="14">
        <v>53.40506984</v>
      </c>
      <c r="K2606" s="14">
        <v>32.25227879</v>
      </c>
      <c r="L2606" s="14">
        <v>35.29985007</v>
      </c>
      <c r="M2606" s="14">
        <v>16.67180484</v>
      </c>
      <c r="N2606" s="14">
        <v>13.86200182</v>
      </c>
      <c r="O2606" s="14">
        <v>4.4705358</v>
      </c>
    </row>
    <row r="2607" spans="1:15">
      <c r="A2607" s="14" t="s">
        <v>12454</v>
      </c>
      <c r="B2607" s="14">
        <v>82.91795291</v>
      </c>
      <c r="C2607" s="14">
        <v>138.6438596</v>
      </c>
      <c r="D2607" s="14">
        <v>27.19204627</v>
      </c>
      <c r="E2607" s="14">
        <v>0.196212708</v>
      </c>
      <c r="F2607" s="14">
        <v>-2.349509615</v>
      </c>
      <c r="G2607" s="51" t="s">
        <v>12455</v>
      </c>
      <c r="H2607" s="51" t="s">
        <v>12456</v>
      </c>
      <c r="I2607" s="14" t="s">
        <v>147</v>
      </c>
      <c r="J2607" s="14">
        <v>2.655819689</v>
      </c>
      <c r="K2607" s="14">
        <v>3.951630554</v>
      </c>
      <c r="L2607" s="14">
        <v>2.890696384</v>
      </c>
      <c r="M2607" s="14">
        <v>17.48687086</v>
      </c>
      <c r="N2607" s="14">
        <v>14.02787193</v>
      </c>
      <c r="O2607" s="14">
        <v>7.636158447</v>
      </c>
    </row>
    <row r="2608" spans="1:21">
      <c r="A2608" s="14" t="s">
        <v>12457</v>
      </c>
      <c r="B2608" s="14">
        <v>1537.084367</v>
      </c>
      <c r="C2608" s="14">
        <v>854.7561796</v>
      </c>
      <c r="D2608" s="14">
        <v>2219.412555</v>
      </c>
      <c r="E2608" s="14">
        <v>2.595860275</v>
      </c>
      <c r="F2608" s="14">
        <v>1.376212731</v>
      </c>
      <c r="G2608" s="51" t="s">
        <v>12458</v>
      </c>
      <c r="H2608" s="51" t="s">
        <v>12459</v>
      </c>
      <c r="I2608" s="14" t="s">
        <v>164</v>
      </c>
      <c r="J2608" s="14">
        <v>19.35423402</v>
      </c>
      <c r="K2608" s="14">
        <v>28.84688597</v>
      </c>
      <c r="L2608" s="14">
        <v>20.13504902</v>
      </c>
      <c r="M2608" s="14">
        <v>6.219567263</v>
      </c>
      <c r="N2608" s="14">
        <v>6.343003828</v>
      </c>
      <c r="O2608" s="14">
        <v>9.349267552</v>
      </c>
      <c r="P2608" s="14" t="s">
        <v>10670</v>
      </c>
      <c r="Q2608" s="14" t="s">
        <v>10671</v>
      </c>
      <c r="T2608" s="14" t="s">
        <v>10672</v>
      </c>
      <c r="U2608" s="14" t="s">
        <v>10673</v>
      </c>
    </row>
    <row r="2609" spans="1:15">
      <c r="A2609" s="14" t="s">
        <v>12460</v>
      </c>
      <c r="B2609" s="14">
        <v>33.03160872</v>
      </c>
      <c r="C2609" s="14">
        <v>14.58345931</v>
      </c>
      <c r="D2609" s="14">
        <v>51.47975814</v>
      </c>
      <c r="E2609" s="14">
        <v>3.518813646</v>
      </c>
      <c r="F2609" s="14">
        <v>1.815089112</v>
      </c>
      <c r="G2609" s="14">
        <v>0.0008197</v>
      </c>
      <c r="H2609" s="14">
        <v>0.003072023</v>
      </c>
      <c r="I2609" s="14" t="s">
        <v>164</v>
      </c>
      <c r="J2609" s="14">
        <v>2.75352543</v>
      </c>
      <c r="K2609" s="14">
        <v>5.632414591</v>
      </c>
      <c r="L2609" s="14">
        <v>5.473507945</v>
      </c>
      <c r="M2609" s="14">
        <v>0.683971481</v>
      </c>
      <c r="N2609" s="14">
        <v>1.239468933</v>
      </c>
      <c r="O2609" s="14">
        <v>1.338372464</v>
      </c>
    </row>
    <row r="2610" spans="1:15">
      <c r="A2610" s="14" t="s">
        <v>12461</v>
      </c>
      <c r="B2610" s="14">
        <v>546.8186806</v>
      </c>
      <c r="C2610" s="14">
        <v>752.5251636</v>
      </c>
      <c r="D2610" s="14">
        <v>341.1121976</v>
      </c>
      <c r="E2610" s="14">
        <v>0.453370951</v>
      </c>
      <c r="F2610" s="14">
        <v>-1.141236141</v>
      </c>
      <c r="G2610" s="14">
        <v>0.000371275</v>
      </c>
      <c r="H2610" s="14">
        <v>0.001529779</v>
      </c>
      <c r="I2610" s="14" t="s">
        <v>147</v>
      </c>
      <c r="J2610" s="14">
        <v>7.421984767</v>
      </c>
      <c r="K2610" s="14">
        <v>7.826185044</v>
      </c>
      <c r="L2610" s="14">
        <v>6.205430519</v>
      </c>
      <c r="M2610" s="14">
        <v>15.15512502</v>
      </c>
      <c r="N2610" s="14">
        <v>14.6589996</v>
      </c>
      <c r="O2610" s="14">
        <v>8.61458045</v>
      </c>
    </row>
    <row r="2611" spans="1:21">
      <c r="A2611" s="14" t="s">
        <v>12462</v>
      </c>
      <c r="B2611" s="14">
        <v>8289.389316</v>
      </c>
      <c r="C2611" s="14">
        <v>4453.801339</v>
      </c>
      <c r="D2611" s="14">
        <v>12124.97729</v>
      </c>
      <c r="E2611" s="14">
        <v>2.722467662</v>
      </c>
      <c r="F2611" s="14">
        <v>1.444914912</v>
      </c>
      <c r="G2611" s="51" t="s">
        <v>12463</v>
      </c>
      <c r="H2611" s="51" t="s">
        <v>12464</v>
      </c>
      <c r="I2611" s="14" t="s">
        <v>164</v>
      </c>
      <c r="J2611" s="14">
        <v>7.709817702</v>
      </c>
      <c r="K2611" s="14">
        <v>12.9848429</v>
      </c>
      <c r="L2611" s="14">
        <v>11.91863764</v>
      </c>
      <c r="M2611" s="14">
        <v>3.587305614</v>
      </c>
      <c r="N2611" s="14">
        <v>2.89860626</v>
      </c>
      <c r="O2611" s="14">
        <v>3.358874206</v>
      </c>
      <c r="P2611" s="14" t="s">
        <v>12465</v>
      </c>
      <c r="Q2611" s="14" t="s">
        <v>12466</v>
      </c>
      <c r="R2611" s="14" t="s">
        <v>2754</v>
      </c>
      <c r="S2611" s="14" t="s">
        <v>2755</v>
      </c>
      <c r="T2611" s="14" t="s">
        <v>12467</v>
      </c>
      <c r="U2611" s="14" t="s">
        <v>12468</v>
      </c>
    </row>
    <row r="2612" spans="1:21">
      <c r="A2612" s="14" t="s">
        <v>12469</v>
      </c>
      <c r="B2612" s="14">
        <v>47.00420465</v>
      </c>
      <c r="C2612" s="14">
        <v>13.34128477</v>
      </c>
      <c r="D2612" s="14">
        <v>80.66712454</v>
      </c>
      <c r="E2612" s="14">
        <v>5.990479326</v>
      </c>
      <c r="F2612" s="14">
        <v>2.582671444</v>
      </c>
      <c r="G2612" s="51" t="s">
        <v>1765</v>
      </c>
      <c r="H2612" s="51" t="s">
        <v>10621</v>
      </c>
      <c r="I2612" s="14" t="s">
        <v>164</v>
      </c>
      <c r="J2612" s="14">
        <v>1.754328062</v>
      </c>
      <c r="K2612" s="14">
        <v>2.593494656</v>
      </c>
      <c r="L2612" s="14">
        <v>2.348979485</v>
      </c>
      <c r="M2612" s="14">
        <v>0.164171196</v>
      </c>
      <c r="N2612" s="14">
        <v>0.225003961</v>
      </c>
      <c r="O2612" s="14">
        <v>0.550705188</v>
      </c>
      <c r="P2612" s="14" t="s">
        <v>2110</v>
      </c>
      <c r="Q2612" s="14" t="s">
        <v>2111</v>
      </c>
      <c r="R2612" s="14" t="s">
        <v>2112</v>
      </c>
      <c r="S2612" s="14" t="s">
        <v>2113</v>
      </c>
      <c r="T2612" s="14" t="s">
        <v>2114</v>
      </c>
      <c r="U2612" s="14" t="s">
        <v>2115</v>
      </c>
    </row>
    <row r="2613" spans="1:21">
      <c r="A2613" s="14" t="s">
        <v>12470</v>
      </c>
      <c r="B2613" s="14">
        <v>1651.529081</v>
      </c>
      <c r="C2613" s="14">
        <v>951.3891208</v>
      </c>
      <c r="D2613" s="14">
        <v>2351.669042</v>
      </c>
      <c r="E2613" s="14">
        <v>2.472127754</v>
      </c>
      <c r="F2613" s="14">
        <v>1.3057533</v>
      </c>
      <c r="G2613" s="51" t="s">
        <v>2922</v>
      </c>
      <c r="H2613" s="51" t="s">
        <v>2923</v>
      </c>
      <c r="I2613" s="14" t="s">
        <v>164</v>
      </c>
      <c r="J2613" s="14">
        <v>4.303574634</v>
      </c>
      <c r="K2613" s="14">
        <v>6.342149354</v>
      </c>
      <c r="L2613" s="14">
        <v>5.763018248</v>
      </c>
      <c r="M2613" s="14">
        <v>1.83317321</v>
      </c>
      <c r="N2613" s="14">
        <v>1.762494238</v>
      </c>
      <c r="O2613" s="14">
        <v>1.864902069</v>
      </c>
      <c r="P2613" s="14" t="s">
        <v>12471</v>
      </c>
      <c r="Q2613" s="14" t="s">
        <v>12472</v>
      </c>
      <c r="R2613" s="14" t="s">
        <v>2754</v>
      </c>
      <c r="S2613" s="14" t="s">
        <v>2755</v>
      </c>
      <c r="T2613" s="14" t="s">
        <v>12473</v>
      </c>
      <c r="U2613" s="14" t="s">
        <v>12474</v>
      </c>
    </row>
    <row r="2614" spans="1:21">
      <c r="A2614" s="14" t="s">
        <v>12475</v>
      </c>
      <c r="B2614" s="14">
        <v>216.1846884</v>
      </c>
      <c r="C2614" s="14">
        <v>116.5235335</v>
      </c>
      <c r="D2614" s="14">
        <v>315.8458433</v>
      </c>
      <c r="E2614" s="14">
        <v>2.712666989</v>
      </c>
      <c r="F2614" s="14">
        <v>1.439711951</v>
      </c>
      <c r="G2614" s="51" t="s">
        <v>12355</v>
      </c>
      <c r="H2614" s="51" t="s">
        <v>12356</v>
      </c>
      <c r="I2614" s="14" t="s">
        <v>164</v>
      </c>
      <c r="J2614" s="14">
        <v>5.656753222</v>
      </c>
      <c r="K2614" s="14">
        <v>10.68220024</v>
      </c>
      <c r="L2614" s="14">
        <v>8.469715419</v>
      </c>
      <c r="M2614" s="14">
        <v>2.686359898</v>
      </c>
      <c r="N2614" s="14">
        <v>2.492045271</v>
      </c>
      <c r="O2614" s="14">
        <v>2.324189884</v>
      </c>
      <c r="P2614" s="14" t="s">
        <v>12476</v>
      </c>
      <c r="Q2614" s="14" t="s">
        <v>12477</v>
      </c>
      <c r="R2614" s="14" t="s">
        <v>275</v>
      </c>
      <c r="S2614" s="14" t="s">
        <v>276</v>
      </c>
      <c r="T2614" s="14" t="s">
        <v>10103</v>
      </c>
      <c r="U2614" s="14" t="s">
        <v>10104</v>
      </c>
    </row>
    <row r="2615" spans="1:21">
      <c r="A2615" s="14" t="s">
        <v>12478</v>
      </c>
      <c r="B2615" s="14">
        <v>426.3725049</v>
      </c>
      <c r="C2615" s="14">
        <v>158.2703181</v>
      </c>
      <c r="D2615" s="14">
        <v>694.4746916</v>
      </c>
      <c r="E2615" s="14">
        <v>4.383627863</v>
      </c>
      <c r="F2615" s="14">
        <v>2.13212533</v>
      </c>
      <c r="G2615" s="51" t="s">
        <v>1927</v>
      </c>
      <c r="H2615" s="51" t="s">
        <v>10030</v>
      </c>
      <c r="I2615" s="14" t="s">
        <v>164</v>
      </c>
      <c r="J2615" s="14">
        <v>35.96780782</v>
      </c>
      <c r="K2615" s="14">
        <v>60.86533169</v>
      </c>
      <c r="L2615" s="14">
        <v>40.75046075</v>
      </c>
      <c r="M2615" s="14">
        <v>7.343126441</v>
      </c>
      <c r="N2615" s="14">
        <v>5.377754236</v>
      </c>
      <c r="O2615" s="14">
        <v>13.65582873</v>
      </c>
      <c r="P2615" s="14" t="s">
        <v>2131</v>
      </c>
      <c r="Q2615" s="14" t="s">
        <v>2132</v>
      </c>
      <c r="R2615" s="14" t="s">
        <v>180</v>
      </c>
      <c r="S2615" s="14" t="s">
        <v>181</v>
      </c>
      <c r="T2615" s="14" t="s">
        <v>2133</v>
      </c>
      <c r="U2615" s="14" t="s">
        <v>2134</v>
      </c>
    </row>
    <row r="2616" spans="1:21">
      <c r="A2616" s="14" t="s">
        <v>12479</v>
      </c>
      <c r="B2616" s="14">
        <v>330.4634992</v>
      </c>
      <c r="C2616" s="14">
        <v>107.8395333</v>
      </c>
      <c r="D2616" s="14">
        <v>553.0874651</v>
      </c>
      <c r="E2616" s="14">
        <v>5.129510826</v>
      </c>
      <c r="F2616" s="14">
        <v>2.35882125</v>
      </c>
      <c r="G2616" s="51" t="s">
        <v>3899</v>
      </c>
      <c r="H2616" s="51" t="s">
        <v>3556</v>
      </c>
      <c r="I2616" s="14" t="s">
        <v>164</v>
      </c>
      <c r="J2616" s="14">
        <v>8.689281017</v>
      </c>
      <c r="K2616" s="14">
        <v>16.26080583</v>
      </c>
      <c r="L2616" s="14">
        <v>10.31593792</v>
      </c>
      <c r="M2616" s="14">
        <v>2.363883169</v>
      </c>
      <c r="N2616" s="14">
        <v>0.986781068</v>
      </c>
      <c r="O2616" s="14">
        <v>2.348093344</v>
      </c>
      <c r="P2616" s="14" t="s">
        <v>2194</v>
      </c>
      <c r="Q2616" s="14" t="s">
        <v>2195</v>
      </c>
      <c r="R2616" s="14" t="s">
        <v>180</v>
      </c>
      <c r="S2616" s="14" t="s">
        <v>181</v>
      </c>
      <c r="T2616" s="14" t="s">
        <v>2196</v>
      </c>
      <c r="U2616" s="14" t="s">
        <v>2197</v>
      </c>
    </row>
    <row r="2617" spans="1:21">
      <c r="A2617" s="14" t="s">
        <v>12480</v>
      </c>
      <c r="B2617" s="14">
        <v>995.6023878</v>
      </c>
      <c r="C2617" s="14">
        <v>345.8643222</v>
      </c>
      <c r="D2617" s="14">
        <v>1645.340453</v>
      </c>
      <c r="E2617" s="14">
        <v>4.75708251</v>
      </c>
      <c r="F2617" s="14">
        <v>2.250077049</v>
      </c>
      <c r="G2617" s="51" t="s">
        <v>12481</v>
      </c>
      <c r="H2617" s="51" t="s">
        <v>12482</v>
      </c>
      <c r="I2617" s="14" t="s">
        <v>164</v>
      </c>
      <c r="J2617" s="14">
        <v>28.71457223</v>
      </c>
      <c r="K2617" s="14">
        <v>53.91133109</v>
      </c>
      <c r="L2617" s="14">
        <v>56.17970636</v>
      </c>
      <c r="M2617" s="14">
        <v>7.856057971</v>
      </c>
      <c r="N2617" s="14">
        <v>6.98881278</v>
      </c>
      <c r="O2617" s="14">
        <v>9.246774145</v>
      </c>
      <c r="P2617" s="14" t="s">
        <v>10101</v>
      </c>
      <c r="Q2617" s="14" t="s">
        <v>10102</v>
      </c>
      <c r="R2617" s="14" t="s">
        <v>275</v>
      </c>
      <c r="S2617" s="14" t="s">
        <v>276</v>
      </c>
      <c r="T2617" s="14" t="s">
        <v>10103</v>
      </c>
      <c r="U2617" s="14" t="s">
        <v>10104</v>
      </c>
    </row>
    <row r="2618" spans="1:21">
      <c r="A2618" s="14" t="s">
        <v>12483</v>
      </c>
      <c r="B2618" s="14">
        <v>64.6980202</v>
      </c>
      <c r="C2618" s="14">
        <v>42.63943781</v>
      </c>
      <c r="D2618" s="14">
        <v>86.75660259</v>
      </c>
      <c r="E2618" s="14">
        <v>2.034413029</v>
      </c>
      <c r="F2618" s="14">
        <v>1.024612607</v>
      </c>
      <c r="G2618" s="14">
        <v>0.011662767</v>
      </c>
      <c r="H2618" s="14">
        <v>0.030814131</v>
      </c>
      <c r="I2618" s="14" t="s">
        <v>164</v>
      </c>
      <c r="J2618" s="14">
        <v>2.376129452</v>
      </c>
      <c r="K2618" s="14">
        <v>2.365649123</v>
      </c>
      <c r="L2618" s="14">
        <v>2.039175024</v>
      </c>
      <c r="M2618" s="14">
        <v>0.640838144</v>
      </c>
      <c r="N2618" s="14">
        <v>1.314417359</v>
      </c>
      <c r="O2618" s="14">
        <v>0.778326577</v>
      </c>
      <c r="P2618" s="14" t="s">
        <v>12484</v>
      </c>
      <c r="Q2618" s="14" t="s">
        <v>12485</v>
      </c>
      <c r="T2618" s="14" t="s">
        <v>4373</v>
      </c>
      <c r="U2618" s="14" t="s">
        <v>4374</v>
      </c>
    </row>
    <row r="2619" spans="1:21">
      <c r="A2619" s="14" t="s">
        <v>12486</v>
      </c>
      <c r="B2619" s="14">
        <v>568.5718675</v>
      </c>
      <c r="C2619" s="14">
        <v>292.6838051</v>
      </c>
      <c r="D2619" s="14">
        <v>844.4599299</v>
      </c>
      <c r="E2619" s="14">
        <v>2.882650316</v>
      </c>
      <c r="F2619" s="14">
        <v>1.527395839</v>
      </c>
      <c r="G2619" s="51" t="s">
        <v>12487</v>
      </c>
      <c r="H2619" s="51" t="s">
        <v>3193</v>
      </c>
      <c r="I2619" s="14" t="s">
        <v>164</v>
      </c>
      <c r="J2619" s="14">
        <v>12.87639692</v>
      </c>
      <c r="K2619" s="14">
        <v>13.43094044</v>
      </c>
      <c r="L2619" s="14">
        <v>12.23833792</v>
      </c>
      <c r="M2619" s="14">
        <v>2.696192257</v>
      </c>
      <c r="N2619" s="14">
        <v>2.586676381</v>
      </c>
      <c r="O2619" s="14">
        <v>5.970005281</v>
      </c>
      <c r="P2619" s="14" t="s">
        <v>12488</v>
      </c>
      <c r="Q2619" s="14" t="s">
        <v>12489</v>
      </c>
      <c r="T2619" s="14" t="s">
        <v>12490</v>
      </c>
      <c r="U2619" s="14" t="s">
        <v>12491</v>
      </c>
    </row>
    <row r="2620" spans="1:21">
      <c r="A2620" s="14" t="s">
        <v>12492</v>
      </c>
      <c r="B2620" s="14">
        <v>1075.939069</v>
      </c>
      <c r="C2620" s="14">
        <v>1489.22793</v>
      </c>
      <c r="D2620" s="14">
        <v>662.6502092</v>
      </c>
      <c r="E2620" s="14">
        <v>0.445011366</v>
      </c>
      <c r="F2620" s="14">
        <v>-1.168085909</v>
      </c>
      <c r="G2620" s="14">
        <v>0.000680752</v>
      </c>
      <c r="H2620" s="14">
        <v>0.002611724</v>
      </c>
      <c r="I2620" s="14" t="s">
        <v>147</v>
      </c>
      <c r="J2620" s="14">
        <v>9.682820869</v>
      </c>
      <c r="K2620" s="14">
        <v>9.45198662</v>
      </c>
      <c r="L2620" s="14">
        <v>8.773893101</v>
      </c>
      <c r="M2620" s="14">
        <v>18.89024849</v>
      </c>
      <c r="N2620" s="14">
        <v>21.72013383</v>
      </c>
      <c r="O2620" s="14">
        <v>10.17843905</v>
      </c>
      <c r="P2620" s="14" t="s">
        <v>12493</v>
      </c>
      <c r="Q2620" s="14" t="s">
        <v>12494</v>
      </c>
      <c r="R2620" s="14" t="s">
        <v>387</v>
      </c>
      <c r="S2620" s="14" t="s">
        <v>388</v>
      </c>
      <c r="T2620" s="14" t="s">
        <v>12495</v>
      </c>
      <c r="U2620" s="14" t="s">
        <v>12496</v>
      </c>
    </row>
    <row r="2621" spans="1:15">
      <c r="A2621" s="14" t="s">
        <v>12497</v>
      </c>
      <c r="B2621" s="14">
        <v>28.46968886</v>
      </c>
      <c r="C2621" s="14">
        <v>16.28809061</v>
      </c>
      <c r="D2621" s="14">
        <v>40.65128711</v>
      </c>
      <c r="E2621" s="14">
        <v>2.507058808</v>
      </c>
      <c r="F2621" s="14">
        <v>1.325995838</v>
      </c>
      <c r="G2621" s="14">
        <v>0.006972305</v>
      </c>
      <c r="H2621" s="14">
        <v>0.019757823</v>
      </c>
      <c r="I2621" s="14" t="s">
        <v>164</v>
      </c>
      <c r="J2621" s="14">
        <v>0.331138909</v>
      </c>
      <c r="K2621" s="14">
        <v>0.494205232</v>
      </c>
      <c r="L2621" s="14">
        <v>0.582701943</v>
      </c>
      <c r="M2621" s="14">
        <v>0.185623904</v>
      </c>
      <c r="N2621" s="14">
        <v>0.14059271</v>
      </c>
      <c r="O2621" s="14">
        <v>0.133818865</v>
      </c>
    </row>
    <row r="2622" spans="1:15">
      <c r="A2622" s="14" t="s">
        <v>12498</v>
      </c>
      <c r="B2622" s="14">
        <v>2438.980567</v>
      </c>
      <c r="C2622" s="14">
        <v>3644.013852</v>
      </c>
      <c r="D2622" s="14">
        <v>1233.947282</v>
      </c>
      <c r="E2622" s="14">
        <v>0.338633609</v>
      </c>
      <c r="F2622" s="14">
        <v>-1.562202929</v>
      </c>
      <c r="G2622" s="14">
        <v>0.004841389</v>
      </c>
      <c r="H2622" s="14">
        <v>0.014414118</v>
      </c>
      <c r="I2622" s="14" t="s">
        <v>147</v>
      </c>
      <c r="J2622" s="14">
        <v>9.484440709</v>
      </c>
      <c r="K2622" s="14">
        <v>19.63690082</v>
      </c>
      <c r="L2622" s="14">
        <v>14.76750354</v>
      </c>
      <c r="M2622" s="14">
        <v>45.97402197</v>
      </c>
      <c r="N2622" s="14">
        <v>46.01674512</v>
      </c>
      <c r="O2622" s="14">
        <v>11.855021</v>
      </c>
    </row>
    <row r="2623" spans="1:21">
      <c r="A2623" s="14" t="s">
        <v>12499</v>
      </c>
      <c r="B2623" s="14">
        <v>3373.016425</v>
      </c>
      <c r="C2623" s="14">
        <v>1887.330715</v>
      </c>
      <c r="D2623" s="14">
        <v>4858.702134</v>
      </c>
      <c r="E2623" s="14">
        <v>2.574504639</v>
      </c>
      <c r="F2623" s="14">
        <v>1.36429487</v>
      </c>
      <c r="G2623" s="51" t="s">
        <v>1697</v>
      </c>
      <c r="H2623" s="51" t="s">
        <v>12500</v>
      </c>
      <c r="I2623" s="14" t="s">
        <v>164</v>
      </c>
      <c r="J2623" s="14">
        <v>78.08787527</v>
      </c>
      <c r="K2623" s="14">
        <v>64.4644909</v>
      </c>
      <c r="L2623" s="14">
        <v>75.52914384</v>
      </c>
      <c r="M2623" s="14">
        <v>20.83426116</v>
      </c>
      <c r="N2623" s="14">
        <v>25.54427514</v>
      </c>
      <c r="O2623" s="14">
        <v>23.27284981</v>
      </c>
      <c r="P2623" s="14" t="s">
        <v>12501</v>
      </c>
      <c r="Q2623" s="14" t="s">
        <v>12502</v>
      </c>
      <c r="R2623" s="14" t="s">
        <v>480</v>
      </c>
      <c r="S2623" s="14" t="s">
        <v>481</v>
      </c>
      <c r="T2623" s="14" t="s">
        <v>12503</v>
      </c>
      <c r="U2623" s="14" t="s">
        <v>12504</v>
      </c>
    </row>
    <row r="2624" spans="1:21">
      <c r="A2624" s="14" t="s">
        <v>12505</v>
      </c>
      <c r="B2624" s="14">
        <v>8658.843626</v>
      </c>
      <c r="C2624" s="14">
        <v>5712.255517</v>
      </c>
      <c r="D2624" s="14">
        <v>11605.43174</v>
      </c>
      <c r="E2624" s="14">
        <v>2.031564644</v>
      </c>
      <c r="F2624" s="14">
        <v>1.022591272</v>
      </c>
      <c r="G2624" s="51" t="s">
        <v>12506</v>
      </c>
      <c r="H2624" s="51" t="s">
        <v>12507</v>
      </c>
      <c r="I2624" s="14" t="s">
        <v>164</v>
      </c>
      <c r="J2624" s="14">
        <v>223.9302988</v>
      </c>
      <c r="K2624" s="14">
        <v>176.980503</v>
      </c>
      <c r="L2624" s="14">
        <v>231.0539571</v>
      </c>
      <c r="M2624" s="14">
        <v>69.22754767</v>
      </c>
      <c r="N2624" s="14">
        <v>73.65425178</v>
      </c>
      <c r="O2624" s="14">
        <v>116.1726959</v>
      </c>
      <c r="P2624" s="14" t="s">
        <v>12508</v>
      </c>
      <c r="Q2624" s="14" t="s">
        <v>12509</v>
      </c>
      <c r="T2624" s="14" t="s">
        <v>12510</v>
      </c>
      <c r="U2624" s="14" t="s">
        <v>12511</v>
      </c>
    </row>
    <row r="2625" spans="1:21">
      <c r="A2625" s="14" t="s">
        <v>12512</v>
      </c>
      <c r="B2625" s="14">
        <v>2860.025504</v>
      </c>
      <c r="C2625" s="14">
        <v>3877.981606</v>
      </c>
      <c r="D2625" s="14">
        <v>1842.069401</v>
      </c>
      <c r="E2625" s="14">
        <v>0.475030364</v>
      </c>
      <c r="F2625" s="14">
        <v>-1.073908363</v>
      </c>
      <c r="G2625" s="14">
        <v>0.001289531</v>
      </c>
      <c r="H2625" s="14">
        <v>0.004576693</v>
      </c>
      <c r="I2625" s="14" t="s">
        <v>147</v>
      </c>
      <c r="J2625" s="14">
        <v>8.946305299</v>
      </c>
      <c r="K2625" s="14">
        <v>15.70977916</v>
      </c>
      <c r="L2625" s="14">
        <v>13.73592925</v>
      </c>
      <c r="M2625" s="14">
        <v>24.78262893</v>
      </c>
      <c r="N2625" s="14">
        <v>25.60056735</v>
      </c>
      <c r="O2625" s="14">
        <v>15.25441063</v>
      </c>
      <c r="P2625" s="14" t="s">
        <v>12513</v>
      </c>
      <c r="Q2625" s="14" t="s">
        <v>12514</v>
      </c>
      <c r="T2625" s="14" t="s">
        <v>12515</v>
      </c>
      <c r="U2625" s="14" t="s">
        <v>12516</v>
      </c>
    </row>
    <row r="2626" spans="1:21">
      <c r="A2626" s="14" t="s">
        <v>12517</v>
      </c>
      <c r="B2626" s="14">
        <v>327.9911666</v>
      </c>
      <c r="C2626" s="14">
        <v>533.1235127</v>
      </c>
      <c r="D2626" s="14">
        <v>122.8588205</v>
      </c>
      <c r="E2626" s="14">
        <v>0.230458226</v>
      </c>
      <c r="F2626" s="14">
        <v>-2.117422828</v>
      </c>
      <c r="G2626" s="51" t="s">
        <v>12518</v>
      </c>
      <c r="H2626" s="51" t="s">
        <v>12519</v>
      </c>
      <c r="I2626" s="14" t="s">
        <v>147</v>
      </c>
      <c r="J2626" s="14">
        <v>1.397214346</v>
      </c>
      <c r="K2626" s="14">
        <v>0.994289905</v>
      </c>
      <c r="L2626" s="14">
        <v>0.916865312</v>
      </c>
      <c r="M2626" s="14">
        <v>4.324937199</v>
      </c>
      <c r="N2626" s="14">
        <v>4.514515883</v>
      </c>
      <c r="O2626" s="14">
        <v>2.84579647</v>
      </c>
      <c r="P2626" s="14" t="s">
        <v>12520</v>
      </c>
      <c r="Q2626" s="14" t="s">
        <v>12521</v>
      </c>
      <c r="T2626" s="14" t="s">
        <v>12522</v>
      </c>
      <c r="U2626" s="14" t="s">
        <v>12523</v>
      </c>
    </row>
    <row r="2627" spans="1:15">
      <c r="A2627" s="14" t="s">
        <v>12524</v>
      </c>
      <c r="B2627" s="14">
        <v>24.72875343</v>
      </c>
      <c r="C2627" s="14">
        <v>41.27144137</v>
      </c>
      <c r="D2627" s="14">
        <v>8.186065498</v>
      </c>
      <c r="E2627" s="14">
        <v>0.19809103</v>
      </c>
      <c r="F2627" s="14">
        <v>-2.33576454</v>
      </c>
      <c r="G2627" s="51" t="s">
        <v>7441</v>
      </c>
      <c r="H2627" s="51" t="s">
        <v>7442</v>
      </c>
      <c r="I2627" s="14" t="s">
        <v>147</v>
      </c>
      <c r="J2627" s="14">
        <v>0.808292949</v>
      </c>
      <c r="K2627" s="14">
        <v>1.162244281</v>
      </c>
      <c r="L2627" s="14">
        <v>0.889445041</v>
      </c>
      <c r="M2627" s="14">
        <v>3.457855819</v>
      </c>
      <c r="N2627" s="14">
        <v>4.454797166</v>
      </c>
      <c r="O2627" s="14">
        <v>3.963069574</v>
      </c>
    </row>
    <row r="2628" spans="1:21">
      <c r="A2628" s="14" t="s">
        <v>12525</v>
      </c>
      <c r="B2628" s="14">
        <v>715.0470639</v>
      </c>
      <c r="C2628" s="14">
        <v>987.2536192</v>
      </c>
      <c r="D2628" s="14">
        <v>442.8405085</v>
      </c>
      <c r="E2628" s="14">
        <v>0.448483691</v>
      </c>
      <c r="F2628" s="14">
        <v>-1.156872572</v>
      </c>
      <c r="G2628" s="14">
        <v>0.001720293</v>
      </c>
      <c r="H2628" s="14">
        <v>0.005886204</v>
      </c>
      <c r="I2628" s="14" t="s">
        <v>147</v>
      </c>
      <c r="J2628" s="14">
        <v>2.991068632</v>
      </c>
      <c r="K2628" s="14">
        <v>2.454293413</v>
      </c>
      <c r="L2628" s="14">
        <v>3.286898028</v>
      </c>
      <c r="M2628" s="14">
        <v>3.872093826</v>
      </c>
      <c r="N2628" s="14">
        <v>3.485307127</v>
      </c>
      <c r="O2628" s="14">
        <v>9.051861191</v>
      </c>
      <c r="P2628" s="14" t="s">
        <v>12526</v>
      </c>
      <c r="Q2628" s="14" t="s">
        <v>12527</v>
      </c>
      <c r="T2628" s="14" t="s">
        <v>12528</v>
      </c>
      <c r="U2628" s="14" t="s">
        <v>12529</v>
      </c>
    </row>
    <row r="2629" spans="1:15">
      <c r="A2629" s="14" t="s">
        <v>12530</v>
      </c>
      <c r="B2629" s="14">
        <v>2310.517153</v>
      </c>
      <c r="C2629" s="14">
        <v>3420.572469</v>
      </c>
      <c r="D2629" s="14">
        <v>1200.461837</v>
      </c>
      <c r="E2629" s="14">
        <v>0.350937098</v>
      </c>
      <c r="F2629" s="14">
        <v>-1.510715631</v>
      </c>
      <c r="G2629" s="51" t="s">
        <v>12531</v>
      </c>
      <c r="H2629" s="51" t="s">
        <v>12532</v>
      </c>
      <c r="I2629" s="14" t="s">
        <v>147</v>
      </c>
      <c r="J2629" s="14">
        <v>21.34663625</v>
      </c>
      <c r="K2629" s="14">
        <v>16.70783837</v>
      </c>
      <c r="L2629" s="14">
        <v>19.11575304</v>
      </c>
      <c r="M2629" s="14">
        <v>41.28916891</v>
      </c>
      <c r="N2629" s="14">
        <v>40.96686548</v>
      </c>
      <c r="O2629" s="14">
        <v>52.50246149</v>
      </c>
    </row>
    <row r="2630" spans="1:21">
      <c r="A2630" s="14" t="s">
        <v>12533</v>
      </c>
      <c r="B2630" s="14">
        <v>25.43898525</v>
      </c>
      <c r="C2630" s="14">
        <v>0.361896244</v>
      </c>
      <c r="D2630" s="14">
        <v>50.51607426</v>
      </c>
      <c r="E2630" s="14">
        <v>139.8261444</v>
      </c>
      <c r="F2630" s="14">
        <v>7.127490327</v>
      </c>
      <c r="G2630" s="51" t="s">
        <v>12534</v>
      </c>
      <c r="H2630" s="51" t="s">
        <v>1443</v>
      </c>
      <c r="I2630" s="14" t="s">
        <v>164</v>
      </c>
      <c r="J2630" s="14">
        <v>0.748997327</v>
      </c>
      <c r="K2630" s="14">
        <v>1.382128334</v>
      </c>
      <c r="L2630" s="14">
        <v>0.240390552</v>
      </c>
      <c r="M2630" s="14">
        <v>0.013350795</v>
      </c>
      <c r="N2630" s="14">
        <v>0</v>
      </c>
      <c r="O2630" s="14">
        <v>0</v>
      </c>
      <c r="P2630" s="14" t="s">
        <v>12535</v>
      </c>
      <c r="Q2630" s="14" t="s">
        <v>12536</v>
      </c>
      <c r="R2630" s="14" t="s">
        <v>3303</v>
      </c>
      <c r="S2630" s="14" t="s">
        <v>3304</v>
      </c>
      <c r="T2630" s="14" t="s">
        <v>12537</v>
      </c>
      <c r="U2630" s="14" t="s">
        <v>12538</v>
      </c>
    </row>
    <row r="2631" spans="1:17">
      <c r="A2631" s="14" t="s">
        <v>12539</v>
      </c>
      <c r="B2631" s="14">
        <v>581.7339857</v>
      </c>
      <c r="C2631" s="14">
        <v>271.8197813</v>
      </c>
      <c r="D2631" s="14">
        <v>891.6481902</v>
      </c>
      <c r="E2631" s="14">
        <v>3.284363476</v>
      </c>
      <c r="F2631" s="14">
        <v>1.715613797</v>
      </c>
      <c r="G2631" s="51" t="s">
        <v>1697</v>
      </c>
      <c r="H2631" s="51" t="s">
        <v>12540</v>
      </c>
      <c r="I2631" s="14" t="s">
        <v>164</v>
      </c>
      <c r="J2631" s="14">
        <v>11.37402456</v>
      </c>
      <c r="K2631" s="14">
        <v>11.00697794</v>
      </c>
      <c r="L2631" s="14">
        <v>12.46630276</v>
      </c>
      <c r="M2631" s="14">
        <v>3.034215038</v>
      </c>
      <c r="N2631" s="14">
        <v>3.112090611</v>
      </c>
      <c r="O2631" s="14">
        <v>2.536825114</v>
      </c>
      <c r="P2631" s="14" t="s">
        <v>12541</v>
      </c>
      <c r="Q2631" s="14" t="s">
        <v>12542</v>
      </c>
    </row>
    <row r="2632" spans="1:15">
      <c r="A2632" s="14" t="s">
        <v>12543</v>
      </c>
      <c r="B2632" s="14">
        <v>48.19089258</v>
      </c>
      <c r="C2632" s="14">
        <v>27.85754873</v>
      </c>
      <c r="D2632" s="14">
        <v>68.52423643</v>
      </c>
      <c r="E2632" s="14">
        <v>2.461254662</v>
      </c>
      <c r="F2632" s="14">
        <v>1.299393939</v>
      </c>
      <c r="G2632" s="14">
        <v>0.000197031</v>
      </c>
      <c r="H2632" s="14">
        <v>0.00086574</v>
      </c>
      <c r="I2632" s="14" t="s">
        <v>164</v>
      </c>
      <c r="J2632" s="14">
        <v>3.798214872</v>
      </c>
      <c r="K2632" s="14">
        <v>2.643073288</v>
      </c>
      <c r="L2632" s="14">
        <v>3.295913096</v>
      </c>
      <c r="M2632" s="14">
        <v>1.083244173</v>
      </c>
      <c r="N2632" s="14">
        <v>1.000753656</v>
      </c>
      <c r="O2632" s="14">
        <v>1.177586601</v>
      </c>
    </row>
    <row r="2633" spans="1:21">
      <c r="A2633" s="14" t="s">
        <v>12544</v>
      </c>
      <c r="B2633" s="14">
        <v>351.2279884</v>
      </c>
      <c r="C2633" s="14">
        <v>579.8827808</v>
      </c>
      <c r="D2633" s="14">
        <v>122.5731959</v>
      </c>
      <c r="E2633" s="14">
        <v>0.211481292</v>
      </c>
      <c r="F2633" s="14">
        <v>-2.241398052</v>
      </c>
      <c r="G2633" s="51" t="s">
        <v>7988</v>
      </c>
      <c r="H2633" s="51" t="s">
        <v>7989</v>
      </c>
      <c r="I2633" s="14" t="s">
        <v>147</v>
      </c>
      <c r="J2633" s="14">
        <v>1.38991233</v>
      </c>
      <c r="K2633" s="14">
        <v>1.313085487</v>
      </c>
      <c r="L2633" s="14">
        <v>1.83132547</v>
      </c>
      <c r="M2633" s="14">
        <v>6.415429815</v>
      </c>
      <c r="N2633" s="14">
        <v>7.866189938</v>
      </c>
      <c r="O2633" s="14">
        <v>3.000592202</v>
      </c>
      <c r="P2633" s="14" t="s">
        <v>12545</v>
      </c>
      <c r="Q2633" s="14" t="s">
        <v>12546</v>
      </c>
      <c r="R2633" s="14" t="s">
        <v>3188</v>
      </c>
      <c r="S2633" s="14" t="s">
        <v>3189</v>
      </c>
      <c r="T2633" s="14" t="s">
        <v>5331</v>
      </c>
      <c r="U2633" s="14" t="s">
        <v>5332</v>
      </c>
    </row>
    <row r="2634" spans="1:15">
      <c r="A2634" s="14" t="s">
        <v>12547</v>
      </c>
      <c r="B2634" s="14">
        <v>377.170581</v>
      </c>
      <c r="C2634" s="14">
        <v>104.9755791</v>
      </c>
      <c r="D2634" s="14">
        <v>649.365583</v>
      </c>
      <c r="E2634" s="14">
        <v>6.177054626</v>
      </c>
      <c r="F2634" s="14">
        <v>2.626919089</v>
      </c>
      <c r="G2634" s="51" t="s">
        <v>12548</v>
      </c>
      <c r="H2634" s="14">
        <v>0.000435527</v>
      </c>
      <c r="I2634" s="14" t="s">
        <v>164</v>
      </c>
      <c r="J2634" s="14">
        <v>27.08873667</v>
      </c>
      <c r="K2634" s="14">
        <v>25.63219819</v>
      </c>
      <c r="L2634" s="14">
        <v>29.16738693</v>
      </c>
      <c r="M2634" s="14">
        <v>1.388482646</v>
      </c>
      <c r="N2634" s="14">
        <v>1.400396272</v>
      </c>
      <c r="O2634" s="14">
        <v>8.673296628</v>
      </c>
    </row>
    <row r="2635" spans="1:21">
      <c r="A2635" s="14" t="s">
        <v>12549</v>
      </c>
      <c r="B2635" s="14">
        <v>43.79855378</v>
      </c>
      <c r="C2635" s="14">
        <v>21.99614071</v>
      </c>
      <c r="D2635" s="14">
        <v>65.60096685</v>
      </c>
      <c r="E2635" s="14">
        <v>2.984237546</v>
      </c>
      <c r="F2635" s="14">
        <v>1.577362379</v>
      </c>
      <c r="G2635" s="14">
        <v>0.017884905</v>
      </c>
      <c r="H2635" s="14">
        <v>0.044266195</v>
      </c>
      <c r="I2635" s="14" t="s">
        <v>164</v>
      </c>
      <c r="J2635" s="14">
        <v>1.06386845</v>
      </c>
      <c r="K2635" s="14">
        <v>1.650108935</v>
      </c>
      <c r="L2635" s="14">
        <v>0.738871903</v>
      </c>
      <c r="M2635" s="14">
        <v>0.208907589</v>
      </c>
      <c r="N2635" s="14">
        <v>0.558318513</v>
      </c>
      <c r="O2635" s="14">
        <v>0.175192871</v>
      </c>
      <c r="P2635" s="14" t="s">
        <v>12550</v>
      </c>
      <c r="Q2635" s="14" t="s">
        <v>12551</v>
      </c>
      <c r="T2635" s="14" t="s">
        <v>12552</v>
      </c>
      <c r="U2635" s="14" t="s">
        <v>12553</v>
      </c>
    </row>
    <row r="2636" spans="1:21">
      <c r="A2636" s="14" t="s">
        <v>12554</v>
      </c>
      <c r="B2636" s="14">
        <v>2707.998912</v>
      </c>
      <c r="C2636" s="14">
        <v>3908.074164</v>
      </c>
      <c r="D2636" s="14">
        <v>1507.92366</v>
      </c>
      <c r="E2636" s="14">
        <v>0.385808236</v>
      </c>
      <c r="F2636" s="14">
        <v>-1.374044152</v>
      </c>
      <c r="G2636" s="51" t="s">
        <v>12555</v>
      </c>
      <c r="H2636" s="51" t="s">
        <v>12556</v>
      </c>
      <c r="I2636" s="14" t="s">
        <v>147</v>
      </c>
      <c r="J2636" s="14">
        <v>48.12581851</v>
      </c>
      <c r="K2636" s="14">
        <v>59.4955682</v>
      </c>
      <c r="L2636" s="14">
        <v>46.56570197</v>
      </c>
      <c r="M2636" s="14">
        <v>108.1453444</v>
      </c>
      <c r="N2636" s="14">
        <v>102.0603971</v>
      </c>
      <c r="O2636" s="14">
        <v>119.6700842</v>
      </c>
      <c r="P2636" s="14" t="s">
        <v>12557</v>
      </c>
      <c r="Q2636" s="14" t="s">
        <v>12558</v>
      </c>
      <c r="T2636" s="14" t="s">
        <v>12559</v>
      </c>
      <c r="U2636" s="14" t="s">
        <v>12560</v>
      </c>
    </row>
    <row r="2637" spans="1:21">
      <c r="A2637" s="14" t="s">
        <v>12561</v>
      </c>
      <c r="B2637" s="14">
        <v>13470.02579</v>
      </c>
      <c r="C2637" s="14">
        <v>4149.023335</v>
      </c>
      <c r="D2637" s="14">
        <v>22791.02824</v>
      </c>
      <c r="E2637" s="14">
        <v>5.493241382</v>
      </c>
      <c r="F2637" s="14">
        <v>2.457657688</v>
      </c>
      <c r="G2637" s="51" t="s">
        <v>12562</v>
      </c>
      <c r="H2637" s="14">
        <v>0.000116677</v>
      </c>
      <c r="I2637" s="14" t="s">
        <v>164</v>
      </c>
      <c r="J2637" s="14">
        <v>737.4065022</v>
      </c>
      <c r="K2637" s="14">
        <v>304.9275434</v>
      </c>
      <c r="L2637" s="14">
        <v>830.5941507</v>
      </c>
      <c r="M2637" s="14">
        <v>96.62526276</v>
      </c>
      <c r="N2637" s="14">
        <v>142.8790077</v>
      </c>
      <c r="O2637" s="14">
        <v>33.31524614</v>
      </c>
      <c r="P2637" s="14" t="s">
        <v>1951</v>
      </c>
      <c r="Q2637" s="14" t="s">
        <v>1952</v>
      </c>
      <c r="R2637" s="14" t="s">
        <v>1953</v>
      </c>
      <c r="S2637" s="14" t="s">
        <v>1954</v>
      </c>
      <c r="T2637" s="14" t="s">
        <v>1955</v>
      </c>
      <c r="U2637" s="14" t="s">
        <v>1956</v>
      </c>
    </row>
    <row r="2638" spans="1:21">
      <c r="A2638" s="14" t="s">
        <v>12563</v>
      </c>
      <c r="B2638" s="14">
        <v>5514.792617</v>
      </c>
      <c r="C2638" s="14">
        <v>8371.24082</v>
      </c>
      <c r="D2638" s="14">
        <v>2658.344415</v>
      </c>
      <c r="E2638" s="14">
        <v>0.317564395</v>
      </c>
      <c r="F2638" s="14">
        <v>-1.654878925</v>
      </c>
      <c r="G2638" s="51" t="s">
        <v>12564</v>
      </c>
      <c r="H2638" s="51" t="s">
        <v>12565</v>
      </c>
      <c r="I2638" s="14" t="s">
        <v>147</v>
      </c>
      <c r="J2638" s="14">
        <v>33.29024921</v>
      </c>
      <c r="K2638" s="14">
        <v>44.83723362</v>
      </c>
      <c r="L2638" s="14">
        <v>38.4558282</v>
      </c>
      <c r="M2638" s="14">
        <v>116.2868313</v>
      </c>
      <c r="N2638" s="14">
        <v>112.4433593</v>
      </c>
      <c r="O2638" s="14">
        <v>69.46197397</v>
      </c>
      <c r="P2638" s="14" t="s">
        <v>12566</v>
      </c>
      <c r="Q2638" s="14" t="s">
        <v>12567</v>
      </c>
      <c r="T2638" s="14" t="s">
        <v>12568</v>
      </c>
      <c r="U2638" s="14" t="s">
        <v>12569</v>
      </c>
    </row>
    <row r="2639" spans="1:21">
      <c r="A2639" s="14" t="s">
        <v>12570</v>
      </c>
      <c r="B2639" s="14">
        <v>186.254958</v>
      </c>
      <c r="C2639" s="14">
        <v>92.34600347</v>
      </c>
      <c r="D2639" s="14">
        <v>280.1639125</v>
      </c>
      <c r="E2639" s="14">
        <v>3.030096357</v>
      </c>
      <c r="F2639" s="14">
        <v>1.599363672</v>
      </c>
      <c r="G2639" s="14">
        <v>0.009333294</v>
      </c>
      <c r="H2639" s="14">
        <v>0.025460025</v>
      </c>
      <c r="I2639" s="14" t="s">
        <v>164</v>
      </c>
      <c r="J2639" s="14">
        <v>2.613910892</v>
      </c>
      <c r="K2639" s="14">
        <v>0.9318052</v>
      </c>
      <c r="L2639" s="14">
        <v>1.069641118</v>
      </c>
      <c r="M2639" s="14">
        <v>0.265578237</v>
      </c>
      <c r="N2639" s="14">
        <v>0.23244072</v>
      </c>
      <c r="O2639" s="14">
        <v>0.797746081</v>
      </c>
      <c r="P2639" s="14" t="s">
        <v>12571</v>
      </c>
      <c r="Q2639" s="14" t="s">
        <v>12572</v>
      </c>
      <c r="T2639" s="14" t="s">
        <v>12573</v>
      </c>
      <c r="U2639" s="14" t="s">
        <v>12574</v>
      </c>
    </row>
    <row r="2640" spans="1:21">
      <c r="A2640" s="14" t="s">
        <v>12575</v>
      </c>
      <c r="B2640" s="14">
        <v>18.85547481</v>
      </c>
      <c r="C2640" s="14">
        <v>36.0623411</v>
      </c>
      <c r="D2640" s="14">
        <v>1.648608525</v>
      </c>
      <c r="E2640" s="14">
        <v>0.045561278</v>
      </c>
      <c r="F2640" s="14">
        <v>-4.456047972</v>
      </c>
      <c r="G2640" s="51" t="s">
        <v>12576</v>
      </c>
      <c r="H2640" s="14">
        <v>0.000249092</v>
      </c>
      <c r="I2640" s="14" t="s">
        <v>147</v>
      </c>
      <c r="J2640" s="14">
        <v>0.040515937</v>
      </c>
      <c r="K2640" s="14">
        <v>0.040780501</v>
      </c>
      <c r="L2640" s="14">
        <v>0.019505374</v>
      </c>
      <c r="M2640" s="14">
        <v>0.814632699</v>
      </c>
      <c r="N2640" s="14">
        <v>0.798171945</v>
      </c>
      <c r="O2640" s="14">
        <v>0.152621421</v>
      </c>
      <c r="P2640" s="14" t="s">
        <v>12577</v>
      </c>
      <c r="Q2640" s="14" t="s">
        <v>12578</v>
      </c>
      <c r="R2640" s="14" t="s">
        <v>5419</v>
      </c>
      <c r="S2640" s="14" t="s">
        <v>5420</v>
      </c>
      <c r="T2640" s="14" t="s">
        <v>7533</v>
      </c>
      <c r="U2640" s="14" t="s">
        <v>7534</v>
      </c>
    </row>
    <row r="2641" spans="1:15">
      <c r="A2641" s="14" t="s">
        <v>12579</v>
      </c>
      <c r="B2641" s="14">
        <v>621.0141095</v>
      </c>
      <c r="C2641" s="14">
        <v>868.8707729</v>
      </c>
      <c r="D2641" s="14">
        <v>373.1574462</v>
      </c>
      <c r="E2641" s="14">
        <v>0.429614742</v>
      </c>
      <c r="F2641" s="14">
        <v>-1.218884594</v>
      </c>
      <c r="G2641" s="51" t="s">
        <v>12580</v>
      </c>
      <c r="H2641" s="51" t="s">
        <v>12581</v>
      </c>
      <c r="I2641" s="14" t="s">
        <v>147</v>
      </c>
      <c r="J2641" s="14">
        <v>8.335691514</v>
      </c>
      <c r="K2641" s="14">
        <v>7.621393992</v>
      </c>
      <c r="L2641" s="14">
        <v>8.719362804</v>
      </c>
      <c r="M2641" s="14">
        <v>15.32814197</v>
      </c>
      <c r="N2641" s="14">
        <v>14.77717941</v>
      </c>
      <c r="O2641" s="14">
        <v>17.26184327</v>
      </c>
    </row>
    <row r="2642" spans="1:21">
      <c r="A2642" s="14" t="s">
        <v>12582</v>
      </c>
      <c r="B2642" s="14">
        <v>59.58940474</v>
      </c>
      <c r="C2642" s="14">
        <v>35.59910945</v>
      </c>
      <c r="D2642" s="14">
        <v>83.57970002</v>
      </c>
      <c r="E2642" s="14">
        <v>2.356541912</v>
      </c>
      <c r="F2642" s="14">
        <v>1.23667134</v>
      </c>
      <c r="G2642" s="14">
        <v>0.000593449</v>
      </c>
      <c r="H2642" s="14">
        <v>0.002311636</v>
      </c>
      <c r="I2642" s="14" t="s">
        <v>164</v>
      </c>
      <c r="J2642" s="14">
        <v>0.880267786</v>
      </c>
      <c r="K2642" s="14">
        <v>0.708812655</v>
      </c>
      <c r="L2642" s="14">
        <v>1.037021124</v>
      </c>
      <c r="M2642" s="14">
        <v>0.372145918</v>
      </c>
      <c r="N2642" s="14">
        <v>0.263522015</v>
      </c>
      <c r="O2642" s="14">
        <v>0.277410536</v>
      </c>
      <c r="P2642" s="14" t="s">
        <v>784</v>
      </c>
      <c r="Q2642" s="14" t="s">
        <v>785</v>
      </c>
      <c r="T2642" s="14" t="s">
        <v>786</v>
      </c>
      <c r="U2642" s="14" t="s">
        <v>787</v>
      </c>
    </row>
    <row r="2643" spans="1:21">
      <c r="A2643" s="14" t="s">
        <v>12583</v>
      </c>
      <c r="B2643" s="14">
        <v>2376.913449</v>
      </c>
      <c r="C2643" s="14">
        <v>3863.69116</v>
      </c>
      <c r="D2643" s="14">
        <v>890.1357391</v>
      </c>
      <c r="E2643" s="14">
        <v>0.230402607</v>
      </c>
      <c r="F2643" s="14">
        <v>-2.117771054</v>
      </c>
      <c r="G2643" s="51" t="s">
        <v>12584</v>
      </c>
      <c r="H2643" s="51" t="s">
        <v>12585</v>
      </c>
      <c r="I2643" s="14" t="s">
        <v>147</v>
      </c>
      <c r="J2643" s="14">
        <v>10.92466102</v>
      </c>
      <c r="K2643" s="14">
        <v>8.378928652</v>
      </c>
      <c r="L2643" s="14">
        <v>9.550373202</v>
      </c>
      <c r="M2643" s="14">
        <v>39.68619078</v>
      </c>
      <c r="N2643" s="14">
        <v>37.01144879</v>
      </c>
      <c r="O2643" s="14">
        <v>25.10628273</v>
      </c>
      <c r="P2643" s="14" t="s">
        <v>12586</v>
      </c>
      <c r="Q2643" s="14" t="s">
        <v>12587</v>
      </c>
      <c r="T2643" s="14" t="s">
        <v>12588</v>
      </c>
      <c r="U2643" s="14" t="s">
        <v>12589</v>
      </c>
    </row>
    <row r="2644" spans="1:21">
      <c r="A2644" s="14" t="s">
        <v>12590</v>
      </c>
      <c r="B2644" s="14">
        <v>2338.409759</v>
      </c>
      <c r="C2644" s="14">
        <v>3263.529044</v>
      </c>
      <c r="D2644" s="14">
        <v>1413.290475</v>
      </c>
      <c r="E2644" s="14">
        <v>0.433084779</v>
      </c>
      <c r="F2644" s="14">
        <v>-1.207278626</v>
      </c>
      <c r="G2644" s="51" t="s">
        <v>12591</v>
      </c>
      <c r="H2644" s="51" t="s">
        <v>12592</v>
      </c>
      <c r="I2644" s="14" t="s">
        <v>147</v>
      </c>
      <c r="J2644" s="14">
        <v>12.14953387</v>
      </c>
      <c r="K2644" s="14">
        <v>14.48155509</v>
      </c>
      <c r="L2644" s="14">
        <v>17.57704938</v>
      </c>
      <c r="M2644" s="14">
        <v>26.9407211</v>
      </c>
      <c r="N2644" s="14">
        <v>24.2379006</v>
      </c>
      <c r="O2644" s="14">
        <v>33.18751955</v>
      </c>
      <c r="P2644" s="14" t="s">
        <v>12593</v>
      </c>
      <c r="Q2644" s="14" t="s">
        <v>12594</v>
      </c>
      <c r="T2644" s="14" t="s">
        <v>12595</v>
      </c>
      <c r="U2644" s="14" t="s">
        <v>12596</v>
      </c>
    </row>
    <row r="2645" spans="1:21">
      <c r="A2645" s="14" t="s">
        <v>12597</v>
      </c>
      <c r="B2645" s="14">
        <v>5382.068744</v>
      </c>
      <c r="C2645" s="14">
        <v>7439.265581</v>
      </c>
      <c r="D2645" s="14">
        <v>3324.871907</v>
      </c>
      <c r="E2645" s="14">
        <v>0.446932151</v>
      </c>
      <c r="F2645" s="14">
        <v>-1.161872263</v>
      </c>
      <c r="G2645" s="51" t="s">
        <v>12598</v>
      </c>
      <c r="H2645" s="51" t="s">
        <v>4662</v>
      </c>
      <c r="I2645" s="14" t="s">
        <v>147</v>
      </c>
      <c r="J2645" s="14">
        <v>40.83172275</v>
      </c>
      <c r="K2645" s="14">
        <v>44.2031208</v>
      </c>
      <c r="L2645" s="14">
        <v>37.64782552</v>
      </c>
      <c r="M2645" s="14">
        <v>76.50530449</v>
      </c>
      <c r="N2645" s="14">
        <v>74.52864691</v>
      </c>
      <c r="O2645" s="14">
        <v>74.64738561</v>
      </c>
      <c r="P2645" s="14" t="s">
        <v>12599</v>
      </c>
      <c r="Q2645" s="14" t="s">
        <v>12600</v>
      </c>
      <c r="R2645" s="14" t="s">
        <v>2754</v>
      </c>
      <c r="S2645" s="14" t="s">
        <v>2755</v>
      </c>
      <c r="T2645" s="14" t="s">
        <v>12601</v>
      </c>
      <c r="U2645" s="14" t="s">
        <v>12602</v>
      </c>
    </row>
    <row r="2646" spans="1:21">
      <c r="A2646" s="14" t="s">
        <v>12603</v>
      </c>
      <c r="B2646" s="14">
        <v>2932.31605</v>
      </c>
      <c r="C2646" s="14">
        <v>4295.084565</v>
      </c>
      <c r="D2646" s="14">
        <v>1569.547534</v>
      </c>
      <c r="E2646" s="14">
        <v>0.365443808</v>
      </c>
      <c r="F2646" s="14">
        <v>-1.452278507</v>
      </c>
      <c r="G2646" s="51" t="s">
        <v>12604</v>
      </c>
      <c r="H2646" s="51" t="s">
        <v>12605</v>
      </c>
      <c r="I2646" s="14" t="s">
        <v>147</v>
      </c>
      <c r="J2646" s="14">
        <v>35.83607498</v>
      </c>
      <c r="K2646" s="14">
        <v>43.82252966</v>
      </c>
      <c r="L2646" s="14">
        <v>38.01006422</v>
      </c>
      <c r="M2646" s="14">
        <v>94.48382442</v>
      </c>
      <c r="N2646" s="14">
        <v>89.34497082</v>
      </c>
      <c r="O2646" s="14">
        <v>79.91961397</v>
      </c>
      <c r="P2646" s="14" t="s">
        <v>12606</v>
      </c>
      <c r="Q2646" s="14" t="s">
        <v>12607</v>
      </c>
      <c r="T2646" s="14" t="s">
        <v>12608</v>
      </c>
      <c r="U2646" s="14" t="s">
        <v>12609</v>
      </c>
    </row>
    <row r="2647" spans="1:21">
      <c r="A2647" s="14" t="s">
        <v>12610</v>
      </c>
      <c r="B2647" s="14">
        <v>2683.554225</v>
      </c>
      <c r="C2647" s="14">
        <v>643.3524564</v>
      </c>
      <c r="D2647" s="14">
        <v>4723.755993</v>
      </c>
      <c r="E2647" s="14">
        <v>7.340379607</v>
      </c>
      <c r="F2647" s="14">
        <v>2.875854674</v>
      </c>
      <c r="G2647" s="51" t="s">
        <v>12611</v>
      </c>
      <c r="H2647" s="51" t="s">
        <v>5169</v>
      </c>
      <c r="I2647" s="14" t="s">
        <v>164</v>
      </c>
      <c r="J2647" s="14">
        <v>112.7527533</v>
      </c>
      <c r="K2647" s="14">
        <v>108.9013691</v>
      </c>
      <c r="L2647" s="14">
        <v>127.3384906</v>
      </c>
      <c r="M2647" s="14">
        <v>4.10824031</v>
      </c>
      <c r="N2647" s="14">
        <v>7.402570937</v>
      </c>
      <c r="O2647" s="14">
        <v>29.48264642</v>
      </c>
      <c r="P2647" s="14" t="s">
        <v>12612</v>
      </c>
      <c r="Q2647" s="14" t="s">
        <v>12613</v>
      </c>
      <c r="T2647" s="14" t="s">
        <v>12614</v>
      </c>
      <c r="U2647" s="14" t="s">
        <v>12615</v>
      </c>
    </row>
    <row r="2648" spans="1:21">
      <c r="A2648" s="14" t="s">
        <v>12616</v>
      </c>
      <c r="B2648" s="14">
        <v>1676.107227</v>
      </c>
      <c r="C2648" s="14">
        <v>2355.180078</v>
      </c>
      <c r="D2648" s="14">
        <v>997.0343755</v>
      </c>
      <c r="E2648" s="14">
        <v>0.423449772</v>
      </c>
      <c r="F2648" s="14">
        <v>-1.239737242</v>
      </c>
      <c r="G2648" s="51" t="s">
        <v>12617</v>
      </c>
      <c r="H2648" s="51" t="s">
        <v>12618</v>
      </c>
      <c r="I2648" s="14" t="s">
        <v>147</v>
      </c>
      <c r="J2648" s="14">
        <v>19.55033684</v>
      </c>
      <c r="K2648" s="14">
        <v>19.6379206</v>
      </c>
      <c r="L2648" s="14">
        <v>20.95179806</v>
      </c>
      <c r="M2648" s="14">
        <v>39.56945354</v>
      </c>
      <c r="N2648" s="14">
        <v>38.66489396</v>
      </c>
      <c r="O2648" s="14">
        <v>38.41411004</v>
      </c>
      <c r="P2648" s="14" t="s">
        <v>12619</v>
      </c>
      <c r="Q2648" s="14" t="s">
        <v>12620</v>
      </c>
      <c r="T2648" s="14" t="s">
        <v>691</v>
      </c>
      <c r="U2648" s="14" t="s">
        <v>692</v>
      </c>
    </row>
    <row r="2649" spans="1:21">
      <c r="A2649" s="14" t="s">
        <v>12621</v>
      </c>
      <c r="B2649" s="14">
        <v>912.4790312</v>
      </c>
      <c r="C2649" s="14">
        <v>559.6147966</v>
      </c>
      <c r="D2649" s="14">
        <v>1265.343266</v>
      </c>
      <c r="E2649" s="14">
        <v>2.260681781</v>
      </c>
      <c r="F2649" s="14">
        <v>1.176757929</v>
      </c>
      <c r="G2649" s="51" t="s">
        <v>12622</v>
      </c>
      <c r="H2649" s="51" t="s">
        <v>12623</v>
      </c>
      <c r="I2649" s="14" t="s">
        <v>164</v>
      </c>
      <c r="J2649" s="14">
        <v>7.957228772</v>
      </c>
      <c r="K2649" s="14">
        <v>6.674323699</v>
      </c>
      <c r="L2649" s="14">
        <v>8.282825129</v>
      </c>
      <c r="M2649" s="14">
        <v>2.657841322</v>
      </c>
      <c r="N2649" s="14">
        <v>2.417485429</v>
      </c>
      <c r="O2649" s="14">
        <v>3.305492443</v>
      </c>
      <c r="P2649" s="14" t="s">
        <v>12624</v>
      </c>
      <c r="Q2649" s="14" t="s">
        <v>12625</v>
      </c>
      <c r="T2649" s="14" t="s">
        <v>12626</v>
      </c>
      <c r="U2649" s="14" t="s">
        <v>12627</v>
      </c>
    </row>
    <row r="2650" spans="1:21">
      <c r="A2650" s="14" t="s">
        <v>12628</v>
      </c>
      <c r="B2650" s="14">
        <v>219.950991</v>
      </c>
      <c r="C2650" s="14">
        <v>137.4111254</v>
      </c>
      <c r="D2650" s="14">
        <v>302.4908566</v>
      </c>
      <c r="E2650" s="14">
        <v>2.198955135</v>
      </c>
      <c r="F2650" s="14">
        <v>1.13681817</v>
      </c>
      <c r="G2650" s="51" t="s">
        <v>10921</v>
      </c>
      <c r="H2650" s="51" t="s">
        <v>1814</v>
      </c>
      <c r="I2650" s="14" t="s">
        <v>164</v>
      </c>
      <c r="J2650" s="14">
        <v>4.274524311</v>
      </c>
      <c r="K2650" s="14">
        <v>5.3100702</v>
      </c>
      <c r="L2650" s="14">
        <v>4.972528183</v>
      </c>
      <c r="M2650" s="14">
        <v>1.413959391</v>
      </c>
      <c r="N2650" s="14">
        <v>1.995658695</v>
      </c>
      <c r="O2650" s="14">
        <v>2.061789384</v>
      </c>
      <c r="P2650" s="14" t="s">
        <v>12629</v>
      </c>
      <c r="Q2650" s="14" t="s">
        <v>12630</v>
      </c>
      <c r="R2650" s="14" t="s">
        <v>12631</v>
      </c>
      <c r="S2650" s="14" t="s">
        <v>12632</v>
      </c>
      <c r="T2650" s="14" t="s">
        <v>12633</v>
      </c>
      <c r="U2650" s="14" t="s">
        <v>12634</v>
      </c>
    </row>
    <row r="2651" spans="1:21">
      <c r="A2651" s="14" t="s">
        <v>12635</v>
      </c>
      <c r="B2651" s="14">
        <v>2124.546057</v>
      </c>
      <c r="C2651" s="14">
        <v>2877.738525</v>
      </c>
      <c r="D2651" s="14">
        <v>1371.353589</v>
      </c>
      <c r="E2651" s="14">
        <v>0.476494331</v>
      </c>
      <c r="F2651" s="14">
        <v>-1.069469045</v>
      </c>
      <c r="G2651" s="51" t="s">
        <v>12636</v>
      </c>
      <c r="H2651" s="51" t="s">
        <v>3505</v>
      </c>
      <c r="I2651" s="14" t="s">
        <v>147</v>
      </c>
      <c r="J2651" s="14">
        <v>12.42962876</v>
      </c>
      <c r="K2651" s="14">
        <v>15.05536061</v>
      </c>
      <c r="L2651" s="14">
        <v>12.25368825</v>
      </c>
      <c r="M2651" s="14">
        <v>22.88350195</v>
      </c>
      <c r="N2651" s="14">
        <v>20.90071431</v>
      </c>
      <c r="O2651" s="14">
        <v>25.04214812</v>
      </c>
      <c r="P2651" s="14" t="s">
        <v>12637</v>
      </c>
      <c r="Q2651" s="14" t="s">
        <v>12638</v>
      </c>
      <c r="R2651" s="14" t="s">
        <v>12639</v>
      </c>
      <c r="S2651" s="14" t="s">
        <v>12640</v>
      </c>
      <c r="T2651" s="14" t="s">
        <v>12641</v>
      </c>
      <c r="U2651" s="14" t="s">
        <v>12642</v>
      </c>
    </row>
    <row r="2652" spans="1:21">
      <c r="A2652" s="14" t="s">
        <v>12643</v>
      </c>
      <c r="B2652" s="14">
        <v>681.2309438</v>
      </c>
      <c r="C2652" s="14">
        <v>387.6235785</v>
      </c>
      <c r="D2652" s="14">
        <v>974.8383091</v>
      </c>
      <c r="E2652" s="14">
        <v>2.512797374</v>
      </c>
      <c r="F2652" s="14">
        <v>1.32929434</v>
      </c>
      <c r="G2652" s="51" t="s">
        <v>12644</v>
      </c>
      <c r="H2652" s="51" t="s">
        <v>12645</v>
      </c>
      <c r="I2652" s="14" t="s">
        <v>164</v>
      </c>
      <c r="J2652" s="14">
        <v>30.52477496</v>
      </c>
      <c r="K2652" s="14">
        <v>25.3845822</v>
      </c>
      <c r="L2652" s="14">
        <v>29.72569986</v>
      </c>
      <c r="M2652" s="14">
        <v>7.539903185</v>
      </c>
      <c r="N2652" s="14">
        <v>8.399590845</v>
      </c>
      <c r="O2652" s="14">
        <v>12.40001154</v>
      </c>
      <c r="P2652" s="14" t="s">
        <v>12646</v>
      </c>
      <c r="Q2652" s="14" t="s">
        <v>12647</v>
      </c>
      <c r="R2652" s="14" t="s">
        <v>12648</v>
      </c>
      <c r="S2652" s="14" t="s">
        <v>12649</v>
      </c>
      <c r="T2652" s="14" t="s">
        <v>12650</v>
      </c>
      <c r="U2652" s="14" t="s">
        <v>12651</v>
      </c>
    </row>
    <row r="2653" spans="1:21">
      <c r="A2653" s="14" t="s">
        <v>12652</v>
      </c>
      <c r="B2653" s="14">
        <v>7245.066063</v>
      </c>
      <c r="C2653" s="14">
        <v>11307.8851</v>
      </c>
      <c r="D2653" s="14">
        <v>3182.247031</v>
      </c>
      <c r="E2653" s="14">
        <v>0.281436877</v>
      </c>
      <c r="F2653" s="14">
        <v>-1.829116716</v>
      </c>
      <c r="G2653" s="51" t="s">
        <v>12653</v>
      </c>
      <c r="H2653" s="51" t="s">
        <v>12654</v>
      </c>
      <c r="I2653" s="14" t="s">
        <v>147</v>
      </c>
      <c r="J2653" s="14">
        <v>25.85290881</v>
      </c>
      <c r="K2653" s="14">
        <v>28.8150734</v>
      </c>
      <c r="L2653" s="14">
        <v>40.38510048</v>
      </c>
      <c r="M2653" s="14">
        <v>92.19171274</v>
      </c>
      <c r="N2653" s="14">
        <v>96.53317117</v>
      </c>
      <c r="O2653" s="14">
        <v>87.80978087</v>
      </c>
      <c r="P2653" s="14" t="s">
        <v>12655</v>
      </c>
      <c r="Q2653" s="14" t="s">
        <v>12656</v>
      </c>
      <c r="R2653" s="14" t="s">
        <v>11621</v>
      </c>
      <c r="S2653" s="14" t="s">
        <v>11622</v>
      </c>
      <c r="T2653" s="14" t="s">
        <v>12657</v>
      </c>
      <c r="U2653" s="14" t="s">
        <v>12658</v>
      </c>
    </row>
    <row r="2654" spans="1:15">
      <c r="A2654" s="14" t="s">
        <v>12659</v>
      </c>
      <c r="B2654" s="14">
        <v>10.39211774</v>
      </c>
      <c r="C2654" s="14">
        <v>3.256301314</v>
      </c>
      <c r="D2654" s="14">
        <v>17.52793416</v>
      </c>
      <c r="E2654" s="14">
        <v>5.320898358</v>
      </c>
      <c r="F2654" s="14">
        <v>2.411669845</v>
      </c>
      <c r="G2654" s="14">
        <v>0.007873114</v>
      </c>
      <c r="H2654" s="14">
        <v>0.021947382</v>
      </c>
      <c r="I2654" s="14" t="s">
        <v>164</v>
      </c>
      <c r="J2654" s="14">
        <v>0.099131999</v>
      </c>
      <c r="K2654" s="14">
        <v>0.221731818</v>
      </c>
      <c r="L2654" s="14">
        <v>0.265136638</v>
      </c>
      <c r="M2654" s="14">
        <v>0.018848181</v>
      </c>
      <c r="N2654" s="14">
        <v>0.018082592</v>
      </c>
      <c r="O2654" s="14">
        <v>0.055322232</v>
      </c>
    </row>
    <row r="2655" spans="1:15">
      <c r="A2655" s="14" t="s">
        <v>12660</v>
      </c>
      <c r="B2655" s="14">
        <v>601.4894529</v>
      </c>
      <c r="C2655" s="14">
        <v>845.9355926</v>
      </c>
      <c r="D2655" s="14">
        <v>357.0433131</v>
      </c>
      <c r="E2655" s="14">
        <v>0.422104724</v>
      </c>
      <c r="F2655" s="14">
        <v>-1.24432712</v>
      </c>
      <c r="G2655" s="51" t="s">
        <v>12661</v>
      </c>
      <c r="H2655" s="51" t="s">
        <v>12662</v>
      </c>
      <c r="I2655" s="14" t="s">
        <v>147</v>
      </c>
      <c r="J2655" s="14">
        <v>9.695225464</v>
      </c>
      <c r="K2655" s="14">
        <v>8.491939636</v>
      </c>
      <c r="L2655" s="14">
        <v>12.80470415</v>
      </c>
      <c r="M2655" s="14">
        <v>15.85628002</v>
      </c>
      <c r="N2655" s="14">
        <v>19.69606651</v>
      </c>
      <c r="O2655" s="14">
        <v>25.32917079</v>
      </c>
    </row>
    <row r="2656" spans="1:21">
      <c r="A2656" s="14" t="s">
        <v>12663</v>
      </c>
      <c r="B2656" s="14">
        <v>18884.79102</v>
      </c>
      <c r="C2656" s="14">
        <v>32530.76382</v>
      </c>
      <c r="D2656" s="14">
        <v>5238.818226</v>
      </c>
      <c r="E2656" s="14">
        <v>0.161045474</v>
      </c>
      <c r="F2656" s="14">
        <v>-2.634459978</v>
      </c>
      <c r="G2656" s="51" t="s">
        <v>12664</v>
      </c>
      <c r="H2656" s="51" t="s">
        <v>12665</v>
      </c>
      <c r="I2656" s="14" t="s">
        <v>147</v>
      </c>
      <c r="J2656" s="14">
        <v>48.33771566</v>
      </c>
      <c r="K2656" s="14">
        <v>58.73310793</v>
      </c>
      <c r="L2656" s="14">
        <v>65.0439297</v>
      </c>
      <c r="M2656" s="14">
        <v>273.0058211</v>
      </c>
      <c r="N2656" s="14">
        <v>274.0957419</v>
      </c>
      <c r="O2656" s="14">
        <v>335.5565487</v>
      </c>
      <c r="P2656" s="14" t="s">
        <v>11619</v>
      </c>
      <c r="Q2656" s="14" t="s">
        <v>12666</v>
      </c>
      <c r="R2656" s="14" t="s">
        <v>11621</v>
      </c>
      <c r="S2656" s="14" t="s">
        <v>11622</v>
      </c>
      <c r="T2656" s="14" t="s">
        <v>12667</v>
      </c>
      <c r="U2656" s="14" t="s">
        <v>12668</v>
      </c>
    </row>
    <row r="2657" spans="1:21">
      <c r="A2657" s="14" t="s">
        <v>12669</v>
      </c>
      <c r="B2657" s="14">
        <v>17.99035214</v>
      </c>
      <c r="C2657" s="14">
        <v>0</v>
      </c>
      <c r="D2657" s="14">
        <v>35.98070429</v>
      </c>
      <c r="E2657" s="14">
        <v>194.0383347</v>
      </c>
      <c r="F2657" s="14">
        <v>7.600197893</v>
      </c>
      <c r="G2657" s="51" t="s">
        <v>4514</v>
      </c>
      <c r="H2657" s="14">
        <v>0.000111937</v>
      </c>
      <c r="I2657" s="14" t="s">
        <v>164</v>
      </c>
      <c r="J2657" s="14">
        <v>1.342985515</v>
      </c>
      <c r="K2657" s="14">
        <v>0.190836005</v>
      </c>
      <c r="L2657" s="14">
        <v>0.182554284</v>
      </c>
      <c r="M2657" s="14">
        <v>0</v>
      </c>
      <c r="N2657" s="14">
        <v>0</v>
      </c>
      <c r="O2657" s="14">
        <v>0</v>
      </c>
      <c r="P2657" s="14" t="s">
        <v>5109</v>
      </c>
      <c r="Q2657" s="14" t="s">
        <v>5110</v>
      </c>
      <c r="T2657" s="14" t="s">
        <v>5111</v>
      </c>
      <c r="U2657" s="14" t="s">
        <v>5112</v>
      </c>
    </row>
    <row r="2658" spans="1:21">
      <c r="A2658" s="14" t="s">
        <v>12670</v>
      </c>
      <c r="B2658" s="14">
        <v>219.4290307</v>
      </c>
      <c r="C2658" s="14">
        <v>97.95506118</v>
      </c>
      <c r="D2658" s="14">
        <v>340.9030003</v>
      </c>
      <c r="E2658" s="14">
        <v>3.474754186</v>
      </c>
      <c r="F2658" s="14">
        <v>1.796910921</v>
      </c>
      <c r="G2658" s="14">
        <v>0.003242074</v>
      </c>
      <c r="H2658" s="14">
        <v>0.010156713</v>
      </c>
      <c r="I2658" s="14" t="s">
        <v>164</v>
      </c>
      <c r="J2658" s="14">
        <v>2.228762417</v>
      </c>
      <c r="K2658" s="14">
        <v>2.324488561</v>
      </c>
      <c r="L2658" s="14">
        <v>3.028348592</v>
      </c>
      <c r="M2658" s="14">
        <v>0.263455681</v>
      </c>
      <c r="N2658" s="14">
        <v>0.294880191</v>
      </c>
      <c r="O2658" s="14">
        <v>1.313351744</v>
      </c>
      <c r="P2658" s="14" t="s">
        <v>12671</v>
      </c>
      <c r="Q2658" s="14" t="s">
        <v>12672</v>
      </c>
      <c r="T2658" s="14" t="s">
        <v>12673</v>
      </c>
      <c r="U2658" s="14" t="s">
        <v>12674</v>
      </c>
    </row>
    <row r="2659" spans="1:21">
      <c r="A2659" s="14" t="s">
        <v>12675</v>
      </c>
      <c r="B2659" s="14">
        <v>105.9137695</v>
      </c>
      <c r="C2659" s="14">
        <v>53.08163149</v>
      </c>
      <c r="D2659" s="14">
        <v>158.7459075</v>
      </c>
      <c r="E2659" s="14">
        <v>2.994653178</v>
      </c>
      <c r="F2659" s="14">
        <v>1.582388929</v>
      </c>
      <c r="G2659" s="14">
        <v>0.009406953</v>
      </c>
      <c r="H2659" s="14">
        <v>0.025617805</v>
      </c>
      <c r="I2659" s="14" t="s">
        <v>164</v>
      </c>
      <c r="J2659" s="14">
        <v>4.001555613</v>
      </c>
      <c r="K2659" s="14">
        <v>2.913644648</v>
      </c>
      <c r="L2659" s="14">
        <v>3.32004831</v>
      </c>
      <c r="M2659" s="14">
        <v>0.855927444</v>
      </c>
      <c r="N2659" s="14">
        <v>1.572435513</v>
      </c>
      <c r="O2659" s="14">
        <v>0.320715982</v>
      </c>
      <c r="P2659" s="14" t="s">
        <v>12676</v>
      </c>
      <c r="Q2659" s="14" t="s">
        <v>12677</v>
      </c>
      <c r="T2659" s="14" t="s">
        <v>5561</v>
      </c>
      <c r="U2659" s="14" t="s">
        <v>5562</v>
      </c>
    </row>
    <row r="2660" spans="1:21">
      <c r="A2660" s="14" t="s">
        <v>12678</v>
      </c>
      <c r="B2660" s="14">
        <v>6.005232573</v>
      </c>
      <c r="C2660" s="14">
        <v>0.957165568</v>
      </c>
      <c r="D2660" s="14">
        <v>11.05329958</v>
      </c>
      <c r="E2660" s="14">
        <v>11.21910539</v>
      </c>
      <c r="F2660" s="14">
        <v>3.487885736</v>
      </c>
      <c r="G2660" s="14">
        <v>0.008587601</v>
      </c>
      <c r="H2660" s="14">
        <v>0.023702344</v>
      </c>
      <c r="I2660" s="14" t="s">
        <v>164</v>
      </c>
      <c r="J2660" s="14">
        <v>0.249665776</v>
      </c>
      <c r="K2660" s="14">
        <v>0.078530019</v>
      </c>
      <c r="L2660" s="14">
        <v>0.195317323</v>
      </c>
      <c r="M2660" s="14">
        <v>0</v>
      </c>
      <c r="N2660" s="14">
        <v>0.012808502</v>
      </c>
      <c r="O2660" s="14">
        <v>0.026124387</v>
      </c>
      <c r="P2660" s="14" t="s">
        <v>12679</v>
      </c>
      <c r="Q2660" s="14" t="s">
        <v>12680</v>
      </c>
      <c r="T2660" s="14" t="s">
        <v>12681</v>
      </c>
      <c r="U2660" s="14" t="s">
        <v>12682</v>
      </c>
    </row>
    <row r="2661" spans="1:21">
      <c r="A2661" s="14" t="s">
        <v>12683</v>
      </c>
      <c r="B2661" s="14">
        <v>4885.277807</v>
      </c>
      <c r="C2661" s="14">
        <v>6890.427478</v>
      </c>
      <c r="D2661" s="14">
        <v>2880.128137</v>
      </c>
      <c r="E2661" s="14">
        <v>0.417962693</v>
      </c>
      <c r="F2661" s="14">
        <v>-1.258553921</v>
      </c>
      <c r="G2661" s="51" t="s">
        <v>12684</v>
      </c>
      <c r="H2661" s="51" t="s">
        <v>12685</v>
      </c>
      <c r="I2661" s="14" t="s">
        <v>147</v>
      </c>
      <c r="J2661" s="14">
        <v>53.4872477</v>
      </c>
      <c r="K2661" s="14">
        <v>47.25328937</v>
      </c>
      <c r="L2661" s="14">
        <v>46.25763444</v>
      </c>
      <c r="M2661" s="14">
        <v>83.88275055</v>
      </c>
      <c r="N2661" s="14">
        <v>79.39626071</v>
      </c>
      <c r="O2661" s="14">
        <v>129.6799337</v>
      </c>
      <c r="Q2661" s="14" t="s">
        <v>12686</v>
      </c>
      <c r="R2661" s="14" t="s">
        <v>9953</v>
      </c>
      <c r="S2661" s="14" t="s">
        <v>9954</v>
      </c>
      <c r="T2661" s="14" t="s">
        <v>12687</v>
      </c>
      <c r="U2661" s="14" t="s">
        <v>12688</v>
      </c>
    </row>
    <row r="2662" spans="1:15">
      <c r="A2662" s="14" t="s">
        <v>12689</v>
      </c>
      <c r="B2662" s="14">
        <v>2727.135294</v>
      </c>
      <c r="C2662" s="14">
        <v>4398.472133</v>
      </c>
      <c r="D2662" s="14">
        <v>1055.798456</v>
      </c>
      <c r="E2662" s="14">
        <v>0.24000374</v>
      </c>
      <c r="F2662" s="14">
        <v>-2.058871205</v>
      </c>
      <c r="G2662" s="51" t="s">
        <v>12690</v>
      </c>
      <c r="H2662" s="51" t="s">
        <v>12691</v>
      </c>
      <c r="I2662" s="14" t="s">
        <v>147</v>
      </c>
      <c r="J2662" s="14">
        <v>17.07208254</v>
      </c>
      <c r="K2662" s="14">
        <v>19.4870325</v>
      </c>
      <c r="L2662" s="14">
        <v>16.82386099</v>
      </c>
      <c r="M2662" s="14">
        <v>60.54240145</v>
      </c>
      <c r="N2662" s="14">
        <v>56.94516603</v>
      </c>
      <c r="O2662" s="14">
        <v>65.94570144</v>
      </c>
    </row>
    <row r="2663" spans="1:15">
      <c r="A2663" s="14" t="s">
        <v>12692</v>
      </c>
      <c r="B2663" s="14">
        <v>1105.307037</v>
      </c>
      <c r="C2663" s="14">
        <v>734.119508</v>
      </c>
      <c r="D2663" s="14">
        <v>1476.494566</v>
      </c>
      <c r="E2663" s="14">
        <v>2.011384917</v>
      </c>
      <c r="F2663" s="14">
        <v>1.008189195</v>
      </c>
      <c r="G2663" s="51" t="s">
        <v>12693</v>
      </c>
      <c r="H2663" s="51" t="s">
        <v>12694</v>
      </c>
      <c r="I2663" s="14" t="s">
        <v>164</v>
      </c>
      <c r="J2663" s="14">
        <v>17.19176057</v>
      </c>
      <c r="K2663" s="14">
        <v>23.49962409</v>
      </c>
      <c r="L2663" s="14">
        <v>19.90807761</v>
      </c>
      <c r="M2663" s="14">
        <v>8.387016239</v>
      </c>
      <c r="N2663" s="14">
        <v>7.545536441</v>
      </c>
      <c r="O2663" s="14">
        <v>8.909387472</v>
      </c>
    </row>
    <row r="2664" spans="1:21">
      <c r="A2664" s="14" t="s">
        <v>12695</v>
      </c>
      <c r="B2664" s="14">
        <v>349.9246548</v>
      </c>
      <c r="C2664" s="14">
        <v>474.0073916</v>
      </c>
      <c r="D2664" s="14">
        <v>225.8419181</v>
      </c>
      <c r="E2664" s="14">
        <v>0.476759303</v>
      </c>
      <c r="F2664" s="14">
        <v>-1.068667006</v>
      </c>
      <c r="G2664" s="51" t="s">
        <v>4987</v>
      </c>
      <c r="H2664" s="14">
        <v>0.000184429</v>
      </c>
      <c r="I2664" s="14" t="s">
        <v>147</v>
      </c>
      <c r="J2664" s="14">
        <v>5.993274461</v>
      </c>
      <c r="K2664" s="14">
        <v>3.860742247</v>
      </c>
      <c r="L2664" s="14">
        <v>6.578507873</v>
      </c>
      <c r="M2664" s="14">
        <v>9.353132498</v>
      </c>
      <c r="N2664" s="14">
        <v>9.898091619</v>
      </c>
      <c r="O2664" s="14">
        <v>8.990405109</v>
      </c>
      <c r="P2664" s="14" t="s">
        <v>12696</v>
      </c>
      <c r="Q2664" s="14" t="s">
        <v>12697</v>
      </c>
      <c r="T2664" s="14" t="s">
        <v>12698</v>
      </c>
      <c r="U2664" s="14" t="s">
        <v>12699</v>
      </c>
    </row>
    <row r="2665" spans="1:21">
      <c r="A2665" s="14" t="s">
        <v>12700</v>
      </c>
      <c r="B2665" s="14">
        <v>1237.727228</v>
      </c>
      <c r="C2665" s="14">
        <v>784.9123454</v>
      </c>
      <c r="D2665" s="14">
        <v>1690.54211</v>
      </c>
      <c r="E2665" s="14">
        <v>2.154693844</v>
      </c>
      <c r="F2665" s="14">
        <v>1.107482894</v>
      </c>
      <c r="G2665" s="51" t="s">
        <v>12701</v>
      </c>
      <c r="H2665" s="51" t="s">
        <v>12702</v>
      </c>
      <c r="I2665" s="14" t="s">
        <v>164</v>
      </c>
      <c r="J2665" s="14">
        <v>22.74678916</v>
      </c>
      <c r="K2665" s="14">
        <v>18.60009487</v>
      </c>
      <c r="L2665" s="14">
        <v>22.58653774</v>
      </c>
      <c r="M2665" s="14">
        <v>8.924991208</v>
      </c>
      <c r="N2665" s="14">
        <v>8.746828887</v>
      </c>
      <c r="O2665" s="14">
        <v>6.517711197</v>
      </c>
      <c r="P2665" s="14" t="s">
        <v>12703</v>
      </c>
      <c r="Q2665" s="14" t="s">
        <v>12704</v>
      </c>
      <c r="T2665" s="14" t="s">
        <v>12705</v>
      </c>
      <c r="U2665" s="14" t="s">
        <v>12706</v>
      </c>
    </row>
    <row r="2666" spans="1:21">
      <c r="A2666" s="14" t="s">
        <v>12707</v>
      </c>
      <c r="B2666" s="14">
        <v>1218.775718</v>
      </c>
      <c r="C2666" s="14">
        <v>100.925182</v>
      </c>
      <c r="D2666" s="14">
        <v>2336.626255</v>
      </c>
      <c r="E2666" s="14">
        <v>23.11587867</v>
      </c>
      <c r="F2666" s="14">
        <v>4.530812298</v>
      </c>
      <c r="G2666" s="51" t="s">
        <v>12708</v>
      </c>
      <c r="H2666" s="51" t="s">
        <v>12709</v>
      </c>
      <c r="I2666" s="14" t="s">
        <v>164</v>
      </c>
      <c r="J2666" s="14">
        <v>59.36303542</v>
      </c>
      <c r="K2666" s="14">
        <v>29.86438679</v>
      </c>
      <c r="L2666" s="14">
        <v>65.1584817</v>
      </c>
      <c r="M2666" s="14">
        <v>0.837516099</v>
      </c>
      <c r="N2666" s="14">
        <v>0.892774742</v>
      </c>
      <c r="O2666" s="14">
        <v>3.987803668</v>
      </c>
      <c r="P2666" s="14" t="s">
        <v>6</v>
      </c>
      <c r="Q2666" s="14" t="s">
        <v>1903</v>
      </c>
      <c r="T2666" s="14" t="s">
        <v>1904</v>
      </c>
      <c r="U2666" s="14" t="s">
        <v>1905</v>
      </c>
    </row>
    <row r="2667" spans="1:21">
      <c r="A2667" s="14" t="s">
        <v>12710</v>
      </c>
      <c r="B2667" s="14">
        <v>19.95581253</v>
      </c>
      <c r="C2667" s="14">
        <v>8.636226972</v>
      </c>
      <c r="D2667" s="14">
        <v>31.27539809</v>
      </c>
      <c r="E2667" s="14">
        <v>3.61115973</v>
      </c>
      <c r="F2667" s="14">
        <v>1.852462235</v>
      </c>
      <c r="G2667" s="14">
        <v>0.006542217</v>
      </c>
      <c r="H2667" s="14">
        <v>0.018675722</v>
      </c>
      <c r="I2667" s="14" t="s">
        <v>164</v>
      </c>
      <c r="J2667" s="14">
        <v>1.972079105</v>
      </c>
      <c r="K2667" s="14">
        <v>3.969913049</v>
      </c>
      <c r="L2667" s="14">
        <v>3.897568158</v>
      </c>
      <c r="M2667" s="14">
        <v>0.355221144</v>
      </c>
      <c r="N2667" s="14">
        <v>1.107575676</v>
      </c>
      <c r="O2667" s="14">
        <v>0.781970428</v>
      </c>
      <c r="P2667" s="14" t="s">
        <v>12711</v>
      </c>
      <c r="Q2667" s="14" t="s">
        <v>12712</v>
      </c>
      <c r="T2667" s="14" t="s">
        <v>1918</v>
      </c>
      <c r="U2667" s="14" t="s">
        <v>1919</v>
      </c>
    </row>
    <row r="2668" spans="1:21">
      <c r="A2668" s="14" t="s">
        <v>12713</v>
      </c>
      <c r="B2668" s="14">
        <v>260456.1882</v>
      </c>
      <c r="C2668" s="14">
        <v>419997.8308</v>
      </c>
      <c r="D2668" s="14">
        <v>100914.5457</v>
      </c>
      <c r="E2668" s="14">
        <v>0.240274121</v>
      </c>
      <c r="F2668" s="14">
        <v>-2.057246825</v>
      </c>
      <c r="G2668" s="51" t="s">
        <v>12714</v>
      </c>
      <c r="H2668" s="51" t="s">
        <v>12715</v>
      </c>
      <c r="I2668" s="14" t="s">
        <v>147</v>
      </c>
      <c r="J2668" s="14">
        <v>1364.105359</v>
      </c>
      <c r="K2668" s="14">
        <v>1473.219114</v>
      </c>
      <c r="L2668" s="14">
        <v>1225.397357</v>
      </c>
      <c r="M2668" s="14">
        <v>5240.987237</v>
      </c>
      <c r="N2668" s="14">
        <v>5046.200714</v>
      </c>
      <c r="O2668" s="14">
        <v>3485.593078</v>
      </c>
      <c r="P2668" s="14" t="s">
        <v>12716</v>
      </c>
      <c r="Q2668" s="14" t="s">
        <v>12717</v>
      </c>
      <c r="T2668" s="14" t="s">
        <v>7960</v>
      </c>
      <c r="U2668" s="14" t="s">
        <v>7961</v>
      </c>
    </row>
    <row r="2669" spans="1:21">
      <c r="A2669" s="14" t="s">
        <v>12718</v>
      </c>
      <c r="B2669" s="14">
        <v>105.3159631</v>
      </c>
      <c r="C2669" s="14">
        <v>20.44798521</v>
      </c>
      <c r="D2669" s="14">
        <v>190.1839411</v>
      </c>
      <c r="E2669" s="14">
        <v>9.24278696</v>
      </c>
      <c r="F2669" s="14">
        <v>3.20832793</v>
      </c>
      <c r="G2669" s="51" t="s">
        <v>12719</v>
      </c>
      <c r="H2669" s="51" t="s">
        <v>1252</v>
      </c>
      <c r="I2669" s="14" t="s">
        <v>164</v>
      </c>
      <c r="J2669" s="14">
        <v>2.406958188</v>
      </c>
      <c r="K2669" s="14">
        <v>3.177279097</v>
      </c>
      <c r="L2669" s="14">
        <v>1.975606451</v>
      </c>
      <c r="M2669" s="14">
        <v>0.146294802</v>
      </c>
      <c r="N2669" s="14">
        <v>0.215926914</v>
      </c>
      <c r="O2669" s="14">
        <v>0.319295313</v>
      </c>
      <c r="P2669" s="14" t="s">
        <v>12720</v>
      </c>
      <c r="Q2669" s="14" t="s">
        <v>12721</v>
      </c>
      <c r="T2669" s="14" t="s">
        <v>12722</v>
      </c>
      <c r="U2669" s="14" t="s">
        <v>12723</v>
      </c>
    </row>
    <row r="2670" spans="1:21">
      <c r="A2670" s="14" t="s">
        <v>12724</v>
      </c>
      <c r="B2670" s="14">
        <v>1165.83024</v>
      </c>
      <c r="C2670" s="14">
        <v>1983.941039</v>
      </c>
      <c r="D2670" s="14">
        <v>347.7194404</v>
      </c>
      <c r="E2670" s="14">
        <v>0.17527791</v>
      </c>
      <c r="F2670" s="14">
        <v>-2.512283911</v>
      </c>
      <c r="G2670" s="51" t="s">
        <v>12482</v>
      </c>
      <c r="H2670" s="51" t="s">
        <v>12725</v>
      </c>
      <c r="I2670" s="14" t="s">
        <v>147</v>
      </c>
      <c r="J2670" s="14">
        <v>3.618671901</v>
      </c>
      <c r="K2670" s="14">
        <v>3.276929433</v>
      </c>
      <c r="L2670" s="14">
        <v>5.078902302</v>
      </c>
      <c r="M2670" s="14">
        <v>13.32591836</v>
      </c>
      <c r="N2670" s="14">
        <v>13.67853693</v>
      </c>
      <c r="O2670" s="14">
        <v>30.38684377</v>
      </c>
      <c r="P2670" s="14" t="s">
        <v>12726</v>
      </c>
      <c r="Q2670" s="14" t="s">
        <v>12727</v>
      </c>
      <c r="T2670" s="14" t="s">
        <v>12728</v>
      </c>
      <c r="U2670" s="14" t="s">
        <v>12729</v>
      </c>
    </row>
    <row r="2671" spans="1:21">
      <c r="A2671" s="14" t="s">
        <v>12730</v>
      </c>
      <c r="B2671" s="14">
        <v>1014.455229</v>
      </c>
      <c r="C2671" s="14">
        <v>1466.989601</v>
      </c>
      <c r="D2671" s="14">
        <v>561.9208564</v>
      </c>
      <c r="E2671" s="14">
        <v>0.382926924</v>
      </c>
      <c r="F2671" s="14">
        <v>-1.384858994</v>
      </c>
      <c r="G2671" s="51" t="s">
        <v>12731</v>
      </c>
      <c r="H2671" s="51" t="s">
        <v>12732</v>
      </c>
      <c r="I2671" s="14" t="s">
        <v>147</v>
      </c>
      <c r="J2671" s="14">
        <v>6.910773828</v>
      </c>
      <c r="K2671" s="14">
        <v>7.447731612</v>
      </c>
      <c r="L2671" s="14">
        <v>5.410603965</v>
      </c>
      <c r="M2671" s="14">
        <v>13.3486424</v>
      </c>
      <c r="N2671" s="14">
        <v>14.42037348</v>
      </c>
      <c r="O2671" s="14">
        <v>14.80338085</v>
      </c>
      <c r="P2671" s="14" t="s">
        <v>2973</v>
      </c>
      <c r="Q2671" s="14" t="s">
        <v>2974</v>
      </c>
      <c r="T2671" s="14" t="s">
        <v>2975</v>
      </c>
      <c r="U2671" s="14" t="s">
        <v>2976</v>
      </c>
    </row>
    <row r="2672" spans="1:21">
      <c r="A2672" s="14" t="s">
        <v>12733</v>
      </c>
      <c r="B2672" s="14">
        <v>3297.423999</v>
      </c>
      <c r="C2672" s="14">
        <v>4458.072006</v>
      </c>
      <c r="D2672" s="14">
        <v>2136.775991</v>
      </c>
      <c r="E2672" s="14">
        <v>0.479327662</v>
      </c>
      <c r="F2672" s="14">
        <v>-1.060915896</v>
      </c>
      <c r="G2672" s="51" t="s">
        <v>2917</v>
      </c>
      <c r="H2672" s="51" t="s">
        <v>7460</v>
      </c>
      <c r="I2672" s="14" t="s">
        <v>147</v>
      </c>
      <c r="J2672" s="14">
        <v>25.68593832</v>
      </c>
      <c r="K2672" s="14">
        <v>23.74657379</v>
      </c>
      <c r="L2672" s="14">
        <v>22.21479641</v>
      </c>
      <c r="M2672" s="14">
        <v>43.28065098</v>
      </c>
      <c r="N2672" s="14">
        <v>41.44991128</v>
      </c>
      <c r="O2672" s="14">
        <v>37.79252871</v>
      </c>
      <c r="P2672" s="14" t="s">
        <v>12734</v>
      </c>
      <c r="Q2672" s="14" t="s">
        <v>12735</v>
      </c>
      <c r="R2672" s="14" t="s">
        <v>12736</v>
      </c>
      <c r="S2672" s="14" t="s">
        <v>12737</v>
      </c>
      <c r="T2672" s="14" t="s">
        <v>12738</v>
      </c>
      <c r="U2672" s="14" t="s">
        <v>12739</v>
      </c>
    </row>
    <row r="2673" spans="1:21">
      <c r="A2673" s="14" t="s">
        <v>12740</v>
      </c>
      <c r="B2673" s="14">
        <v>22.97839289</v>
      </c>
      <c r="C2673" s="14">
        <v>11.07903871</v>
      </c>
      <c r="D2673" s="14">
        <v>34.87774707</v>
      </c>
      <c r="E2673" s="14">
        <v>3.125111542</v>
      </c>
      <c r="F2673" s="14">
        <v>1.643907684</v>
      </c>
      <c r="G2673" s="14">
        <v>0.019512301</v>
      </c>
      <c r="H2673" s="14">
        <v>0.047606165</v>
      </c>
      <c r="I2673" s="14" t="s">
        <v>164</v>
      </c>
      <c r="J2673" s="14">
        <v>0.403306253</v>
      </c>
      <c r="K2673" s="14">
        <v>0.281672508</v>
      </c>
      <c r="L2673" s="14">
        <v>0.182274155</v>
      </c>
      <c r="M2673" s="14">
        <v>0.02816871</v>
      </c>
      <c r="N2673" s="14">
        <v>0.081073598</v>
      </c>
      <c r="O2673" s="14">
        <v>0.12401907</v>
      </c>
      <c r="P2673" s="14" t="s">
        <v>9012</v>
      </c>
      <c r="Q2673" s="14" t="s">
        <v>9013</v>
      </c>
      <c r="T2673" s="14" t="s">
        <v>9014</v>
      </c>
      <c r="U2673" s="14" t="s">
        <v>9015</v>
      </c>
    </row>
    <row r="2674" spans="1:21">
      <c r="A2674" s="14" t="s">
        <v>12741</v>
      </c>
      <c r="B2674" s="14">
        <v>82.09145528</v>
      </c>
      <c r="C2674" s="14">
        <v>26.62195822</v>
      </c>
      <c r="D2674" s="14">
        <v>137.5609523</v>
      </c>
      <c r="E2674" s="14">
        <v>5.184200474</v>
      </c>
      <c r="F2674" s="14">
        <v>2.374121509</v>
      </c>
      <c r="G2674" s="51" t="s">
        <v>12742</v>
      </c>
      <c r="H2674" s="51" t="s">
        <v>12743</v>
      </c>
      <c r="I2674" s="14" t="s">
        <v>164</v>
      </c>
      <c r="J2674" s="14">
        <v>1.508083519</v>
      </c>
      <c r="K2674" s="14">
        <v>0.563588283</v>
      </c>
      <c r="L2674" s="14">
        <v>1.042318408</v>
      </c>
      <c r="M2674" s="14">
        <v>0.217180599</v>
      </c>
      <c r="N2674" s="14">
        <v>0.147076942</v>
      </c>
      <c r="O2674" s="14">
        <v>0.124991681</v>
      </c>
      <c r="P2674" s="14" t="s">
        <v>9012</v>
      </c>
      <c r="Q2674" s="14" t="s">
        <v>9013</v>
      </c>
      <c r="T2674" s="14" t="s">
        <v>9014</v>
      </c>
      <c r="U2674" s="14" t="s">
        <v>9015</v>
      </c>
    </row>
    <row r="2675" spans="1:15">
      <c r="A2675" s="14" t="s">
        <v>12744</v>
      </c>
      <c r="B2675" s="14">
        <v>23.75308034</v>
      </c>
      <c r="C2675" s="14">
        <v>35.11297944</v>
      </c>
      <c r="D2675" s="14">
        <v>12.39318125</v>
      </c>
      <c r="E2675" s="14">
        <v>0.352931231</v>
      </c>
      <c r="F2675" s="14">
        <v>-1.502540994</v>
      </c>
      <c r="G2675" s="14">
        <v>0.001920709</v>
      </c>
      <c r="H2675" s="14">
        <v>0.006477392</v>
      </c>
      <c r="I2675" s="14" t="s">
        <v>147</v>
      </c>
      <c r="J2675" s="14">
        <v>0.786181592</v>
      </c>
      <c r="K2675" s="14">
        <v>0.791315255</v>
      </c>
      <c r="L2675" s="14">
        <v>0.88313692</v>
      </c>
      <c r="M2675" s="14">
        <v>1.457414408</v>
      </c>
      <c r="N2675" s="14">
        <v>2.312434322</v>
      </c>
      <c r="O2675" s="14">
        <v>1.974336684</v>
      </c>
    </row>
    <row r="2676" spans="1:21">
      <c r="A2676" s="14" t="s">
        <v>12745</v>
      </c>
      <c r="B2676" s="14">
        <v>197.0668254</v>
      </c>
      <c r="C2676" s="14">
        <v>89.81615754</v>
      </c>
      <c r="D2676" s="14">
        <v>304.3174933</v>
      </c>
      <c r="E2676" s="14">
        <v>3.386308226</v>
      </c>
      <c r="F2676" s="14">
        <v>1.759713295</v>
      </c>
      <c r="G2676" s="51" t="s">
        <v>12746</v>
      </c>
      <c r="H2676" s="51" t="s">
        <v>12747</v>
      </c>
      <c r="I2676" s="14" t="s">
        <v>164</v>
      </c>
      <c r="J2676" s="14">
        <v>3.402253484</v>
      </c>
      <c r="K2676" s="14">
        <v>2.50090064</v>
      </c>
      <c r="L2676" s="14">
        <v>3.613370479</v>
      </c>
      <c r="M2676" s="14">
        <v>0.749790165</v>
      </c>
      <c r="N2676" s="14">
        <v>0.617781522</v>
      </c>
      <c r="O2676" s="14">
        <v>0.957971957</v>
      </c>
      <c r="P2676" s="14" t="s">
        <v>12748</v>
      </c>
      <c r="Q2676" s="14" t="s">
        <v>12749</v>
      </c>
      <c r="T2676" s="14" t="s">
        <v>12750</v>
      </c>
      <c r="U2676" s="14" t="s">
        <v>12751</v>
      </c>
    </row>
    <row r="2677" spans="1:15">
      <c r="A2677" s="14" t="s">
        <v>12752</v>
      </c>
      <c r="B2677" s="14">
        <v>1808.062781</v>
      </c>
      <c r="C2677" s="14">
        <v>1101.071042</v>
      </c>
      <c r="D2677" s="14">
        <v>2515.05452</v>
      </c>
      <c r="E2677" s="14">
        <v>2.284080688</v>
      </c>
      <c r="F2677" s="14">
        <v>1.191613617</v>
      </c>
      <c r="G2677" s="51" t="s">
        <v>12753</v>
      </c>
      <c r="H2677" s="51" t="s">
        <v>12754</v>
      </c>
      <c r="I2677" s="14" t="s">
        <v>164</v>
      </c>
      <c r="J2677" s="14">
        <v>23.06057041</v>
      </c>
      <c r="K2677" s="14">
        <v>19.27362877</v>
      </c>
      <c r="L2677" s="14">
        <v>27.40499859</v>
      </c>
      <c r="M2677" s="14">
        <v>8.047041775</v>
      </c>
      <c r="N2677" s="14">
        <v>7.097464973</v>
      </c>
      <c r="O2677" s="14">
        <v>10.09959168</v>
      </c>
    </row>
    <row r="2678" spans="1:21">
      <c r="A2678" s="14" t="s">
        <v>12755</v>
      </c>
      <c r="B2678" s="14">
        <v>1210.200723</v>
      </c>
      <c r="C2678" s="14">
        <v>0</v>
      </c>
      <c r="D2678" s="14">
        <v>2420.401446</v>
      </c>
      <c r="E2678" s="14">
        <v>13056.08814</v>
      </c>
      <c r="F2678" s="14">
        <v>13.67243508</v>
      </c>
      <c r="G2678" s="51" t="s">
        <v>12756</v>
      </c>
      <c r="H2678" s="51" t="s">
        <v>12757</v>
      </c>
      <c r="I2678" s="14" t="s">
        <v>164</v>
      </c>
      <c r="J2678" s="14">
        <v>17.65656172</v>
      </c>
      <c r="K2678" s="14">
        <v>21.39365053</v>
      </c>
      <c r="L2678" s="14">
        <v>23.9629228</v>
      </c>
      <c r="M2678" s="14">
        <v>0</v>
      </c>
      <c r="N2678" s="14">
        <v>0</v>
      </c>
      <c r="O2678" s="14">
        <v>0</v>
      </c>
      <c r="P2678" s="14" t="s">
        <v>12758</v>
      </c>
      <c r="Q2678" s="14" t="s">
        <v>12759</v>
      </c>
      <c r="T2678" s="14" t="s">
        <v>12760</v>
      </c>
      <c r="U2678" s="14" t="s">
        <v>12761</v>
      </c>
    </row>
    <row r="2679" spans="1:21">
      <c r="A2679" s="14" t="s">
        <v>12762</v>
      </c>
      <c r="B2679" s="14">
        <v>47614.52011</v>
      </c>
      <c r="C2679" s="14">
        <v>75480.54244</v>
      </c>
      <c r="D2679" s="14">
        <v>19748.49779</v>
      </c>
      <c r="E2679" s="14">
        <v>0.261636806</v>
      </c>
      <c r="F2679" s="14">
        <v>-1.934362588</v>
      </c>
      <c r="G2679" s="51" t="s">
        <v>12763</v>
      </c>
      <c r="H2679" s="51" t="s">
        <v>10928</v>
      </c>
      <c r="I2679" s="14" t="s">
        <v>147</v>
      </c>
      <c r="J2679" s="14">
        <v>147.3922017</v>
      </c>
      <c r="K2679" s="14">
        <v>204.7867357</v>
      </c>
      <c r="L2679" s="14">
        <v>151.0164134</v>
      </c>
      <c r="M2679" s="14">
        <v>574.0298911</v>
      </c>
      <c r="N2679" s="14">
        <v>552.8431228</v>
      </c>
      <c r="O2679" s="14">
        <v>446.0238106</v>
      </c>
      <c r="Q2679" s="14" t="s">
        <v>12764</v>
      </c>
      <c r="R2679" s="14" t="s">
        <v>11797</v>
      </c>
      <c r="S2679" s="14" t="s">
        <v>11798</v>
      </c>
      <c r="T2679" s="14" t="s">
        <v>12765</v>
      </c>
      <c r="U2679" s="14" t="s">
        <v>12766</v>
      </c>
    </row>
    <row r="2680" spans="1:21">
      <c r="A2680" s="14" t="s">
        <v>12767</v>
      </c>
      <c r="B2680" s="14">
        <v>641.672606</v>
      </c>
      <c r="C2680" s="14">
        <v>906.3570458</v>
      </c>
      <c r="D2680" s="14">
        <v>376.9881662</v>
      </c>
      <c r="E2680" s="14">
        <v>0.415837165</v>
      </c>
      <c r="F2680" s="14">
        <v>-1.265909391</v>
      </c>
      <c r="G2680" s="51" t="s">
        <v>12768</v>
      </c>
      <c r="H2680" s="51" t="s">
        <v>12769</v>
      </c>
      <c r="I2680" s="14" t="s">
        <v>147</v>
      </c>
      <c r="J2680" s="14">
        <v>3.21362532</v>
      </c>
      <c r="K2680" s="14">
        <v>4.126916046</v>
      </c>
      <c r="L2680" s="14">
        <v>3.192043683</v>
      </c>
      <c r="M2680" s="14">
        <v>6.66847503</v>
      </c>
      <c r="N2680" s="14">
        <v>7.064659511</v>
      </c>
      <c r="O2680" s="14">
        <v>7.127283062</v>
      </c>
      <c r="P2680" s="14" t="s">
        <v>2007</v>
      </c>
      <c r="Q2680" s="14" t="s">
        <v>2008</v>
      </c>
      <c r="T2680" s="14" t="s">
        <v>2009</v>
      </c>
      <c r="U2680" s="14" t="s">
        <v>2010</v>
      </c>
    </row>
    <row r="2681" spans="1:21">
      <c r="A2681" s="14" t="s">
        <v>12770</v>
      </c>
      <c r="B2681" s="14">
        <v>9650.589888</v>
      </c>
      <c r="C2681" s="14">
        <v>4144.372488</v>
      </c>
      <c r="D2681" s="14">
        <v>15156.80729</v>
      </c>
      <c r="E2681" s="14">
        <v>3.656955951</v>
      </c>
      <c r="F2681" s="14">
        <v>1.870643249</v>
      </c>
      <c r="G2681" s="51" t="s">
        <v>12771</v>
      </c>
      <c r="H2681" s="51" t="s">
        <v>12772</v>
      </c>
      <c r="I2681" s="14" t="s">
        <v>164</v>
      </c>
      <c r="J2681" s="14">
        <v>207.0352621</v>
      </c>
      <c r="K2681" s="14">
        <v>147.1582428</v>
      </c>
      <c r="L2681" s="14">
        <v>206.6872882</v>
      </c>
      <c r="M2681" s="14">
        <v>32.34553637</v>
      </c>
      <c r="N2681" s="14">
        <v>39.04505321</v>
      </c>
      <c r="O2681" s="14">
        <v>56.24425317</v>
      </c>
      <c r="P2681" s="14" t="s">
        <v>12773</v>
      </c>
      <c r="Q2681" s="14" t="s">
        <v>12774</v>
      </c>
      <c r="T2681" s="14" t="s">
        <v>12775</v>
      </c>
      <c r="U2681" s="14" t="s">
        <v>12776</v>
      </c>
    </row>
    <row r="2682" spans="1:15">
      <c r="A2682" s="14" t="s">
        <v>12777</v>
      </c>
      <c r="B2682" s="14">
        <v>92.77599139</v>
      </c>
      <c r="C2682" s="14">
        <v>128.7064832</v>
      </c>
      <c r="D2682" s="14">
        <v>56.84549954</v>
      </c>
      <c r="E2682" s="14">
        <v>0.441714531</v>
      </c>
      <c r="F2682" s="14">
        <v>-1.178813802</v>
      </c>
      <c r="G2682" s="14">
        <v>0.013448567</v>
      </c>
      <c r="H2682" s="14">
        <v>0.034754001</v>
      </c>
      <c r="I2682" s="14" t="s">
        <v>147</v>
      </c>
      <c r="J2682" s="14">
        <v>0.349515513</v>
      </c>
      <c r="K2682" s="14">
        <v>0.796173978</v>
      </c>
      <c r="L2682" s="14">
        <v>0.43394763</v>
      </c>
      <c r="M2682" s="14">
        <v>1.109609226</v>
      </c>
      <c r="N2682" s="14">
        <v>1.117387741</v>
      </c>
      <c r="O2682" s="14">
        <v>0.68525144</v>
      </c>
    </row>
    <row r="2683" spans="1:21">
      <c r="A2683" s="14" t="s">
        <v>12778</v>
      </c>
      <c r="B2683" s="14">
        <v>773.2479724</v>
      </c>
      <c r="C2683" s="14">
        <v>333.0877113</v>
      </c>
      <c r="D2683" s="14">
        <v>1213.408233</v>
      </c>
      <c r="E2683" s="14">
        <v>3.641782997</v>
      </c>
      <c r="F2683" s="14">
        <v>1.864644959</v>
      </c>
      <c r="G2683" s="51" t="s">
        <v>7405</v>
      </c>
      <c r="H2683" s="51" t="s">
        <v>12779</v>
      </c>
      <c r="I2683" s="14" t="s">
        <v>164</v>
      </c>
      <c r="J2683" s="14">
        <v>30.87620845</v>
      </c>
      <c r="K2683" s="14">
        <v>18.36150628</v>
      </c>
      <c r="L2683" s="14">
        <v>22.08663947</v>
      </c>
      <c r="M2683" s="14">
        <v>4.449965712</v>
      </c>
      <c r="N2683" s="14">
        <v>5.575465789</v>
      </c>
      <c r="O2683" s="14">
        <v>6.17325861</v>
      </c>
      <c r="P2683" s="14" t="s">
        <v>12780</v>
      </c>
      <c r="Q2683" s="14" t="s">
        <v>12781</v>
      </c>
      <c r="T2683" s="14" t="s">
        <v>12782</v>
      </c>
      <c r="U2683" s="14" t="s">
        <v>12783</v>
      </c>
    </row>
    <row r="2684" spans="1:21">
      <c r="A2684" s="14" t="s">
        <v>12784</v>
      </c>
      <c r="B2684" s="14">
        <v>189.6804797</v>
      </c>
      <c r="C2684" s="14">
        <v>300.7306799</v>
      </c>
      <c r="D2684" s="14">
        <v>78.63027951</v>
      </c>
      <c r="E2684" s="14">
        <v>0.261631788</v>
      </c>
      <c r="F2684" s="14">
        <v>-1.934390255</v>
      </c>
      <c r="G2684" s="51" t="s">
        <v>9605</v>
      </c>
      <c r="H2684" s="51" t="s">
        <v>11812</v>
      </c>
      <c r="I2684" s="14" t="s">
        <v>147</v>
      </c>
      <c r="J2684" s="14">
        <v>0.699178698</v>
      </c>
      <c r="K2684" s="14">
        <v>0.419403135</v>
      </c>
      <c r="L2684" s="14">
        <v>0.564403199</v>
      </c>
      <c r="M2684" s="14">
        <v>2.205534948</v>
      </c>
      <c r="N2684" s="14">
        <v>1.953629572</v>
      </c>
      <c r="O2684" s="14">
        <v>1.040501596</v>
      </c>
      <c r="P2684" s="14" t="s">
        <v>12785</v>
      </c>
      <c r="Q2684" s="14" t="s">
        <v>12786</v>
      </c>
      <c r="T2684" s="14" t="s">
        <v>2621</v>
      </c>
      <c r="U2684" s="14" t="s">
        <v>2622</v>
      </c>
    </row>
    <row r="2685" spans="1:21">
      <c r="A2685" s="14" t="s">
        <v>12787</v>
      </c>
      <c r="B2685" s="14">
        <v>50.21985466</v>
      </c>
      <c r="C2685" s="14">
        <v>82.43211692</v>
      </c>
      <c r="D2685" s="14">
        <v>18.0075924</v>
      </c>
      <c r="E2685" s="14">
        <v>0.218621603</v>
      </c>
      <c r="F2685" s="14">
        <v>-2.19349213</v>
      </c>
      <c r="G2685" s="14">
        <v>0.007931065</v>
      </c>
      <c r="H2685" s="14">
        <v>0.022084736</v>
      </c>
      <c r="I2685" s="14" t="s">
        <v>147</v>
      </c>
      <c r="J2685" s="14">
        <v>0.412599024</v>
      </c>
      <c r="K2685" s="14">
        <v>0.259558276</v>
      </c>
      <c r="L2685" s="14">
        <v>0.264847159</v>
      </c>
      <c r="M2685" s="14">
        <v>1.868051141</v>
      </c>
      <c r="N2685" s="14">
        <v>1.31237887</v>
      </c>
      <c r="O2685" s="14">
        <v>0.230257628</v>
      </c>
      <c r="P2685" s="14" t="s">
        <v>12788</v>
      </c>
      <c r="Q2685" s="14" t="s">
        <v>12789</v>
      </c>
      <c r="R2685" s="14" t="s">
        <v>12790</v>
      </c>
      <c r="S2685" s="14" t="s">
        <v>12791</v>
      </c>
      <c r="T2685" s="14" t="s">
        <v>12792</v>
      </c>
      <c r="U2685" s="14" t="s">
        <v>12793</v>
      </c>
    </row>
    <row r="2686" spans="1:21">
      <c r="A2686" s="14" t="s">
        <v>12794</v>
      </c>
      <c r="B2686" s="14">
        <v>48545.5846</v>
      </c>
      <c r="C2686" s="14">
        <v>78133.32143</v>
      </c>
      <c r="D2686" s="14">
        <v>18957.84776</v>
      </c>
      <c r="E2686" s="14">
        <v>0.242633623</v>
      </c>
      <c r="F2686" s="14">
        <v>-2.043148608</v>
      </c>
      <c r="G2686" s="51" t="s">
        <v>12795</v>
      </c>
      <c r="H2686" s="51" t="s">
        <v>12796</v>
      </c>
      <c r="I2686" s="14" t="s">
        <v>147</v>
      </c>
      <c r="J2686" s="14">
        <v>468.9302325</v>
      </c>
      <c r="K2686" s="14">
        <v>560.033755</v>
      </c>
      <c r="L2686" s="14">
        <v>304.3920109</v>
      </c>
      <c r="M2686" s="14">
        <v>1638.590285</v>
      </c>
      <c r="N2686" s="14">
        <v>1572.204889</v>
      </c>
      <c r="O2686" s="14">
        <v>1292.426924</v>
      </c>
      <c r="P2686" s="14" t="s">
        <v>12797</v>
      </c>
      <c r="Q2686" s="14" t="s">
        <v>12798</v>
      </c>
      <c r="R2686" s="14" t="s">
        <v>12799</v>
      </c>
      <c r="S2686" s="14" t="s">
        <v>12800</v>
      </c>
      <c r="T2686" s="14" t="s">
        <v>12801</v>
      </c>
      <c r="U2686" s="14" t="s">
        <v>12802</v>
      </c>
    </row>
    <row r="2687" spans="1:21">
      <c r="A2687" s="14" t="s">
        <v>12803</v>
      </c>
      <c r="B2687" s="14">
        <v>6554.941375</v>
      </c>
      <c r="C2687" s="14">
        <v>8762.43734</v>
      </c>
      <c r="D2687" s="14">
        <v>4347.445409</v>
      </c>
      <c r="E2687" s="14">
        <v>0.496162101</v>
      </c>
      <c r="F2687" s="14">
        <v>-1.011116556</v>
      </c>
      <c r="G2687" s="51" t="s">
        <v>12804</v>
      </c>
      <c r="H2687" s="14">
        <v>0.000146817</v>
      </c>
      <c r="I2687" s="14" t="s">
        <v>147</v>
      </c>
      <c r="J2687" s="14">
        <v>76.24090949</v>
      </c>
      <c r="K2687" s="14">
        <v>98.56784438</v>
      </c>
      <c r="L2687" s="14">
        <v>92.31736305</v>
      </c>
      <c r="M2687" s="14">
        <v>162.8699995</v>
      </c>
      <c r="N2687" s="14">
        <v>161.6832834</v>
      </c>
      <c r="O2687" s="14">
        <v>114.0392623</v>
      </c>
      <c r="Q2687" s="14" t="s">
        <v>12805</v>
      </c>
      <c r="T2687" s="14" t="s">
        <v>12806</v>
      </c>
      <c r="U2687" s="14" t="s">
        <v>12807</v>
      </c>
    </row>
    <row r="2688" spans="1:21">
      <c r="A2688" s="14" t="s">
        <v>12808</v>
      </c>
      <c r="B2688" s="14">
        <v>31.51019297</v>
      </c>
      <c r="C2688" s="14">
        <v>0.723792487</v>
      </c>
      <c r="D2688" s="14">
        <v>62.29659344</v>
      </c>
      <c r="E2688" s="14">
        <v>91.88524022</v>
      </c>
      <c r="F2688" s="14">
        <v>6.521761231</v>
      </c>
      <c r="G2688" s="51" t="s">
        <v>11543</v>
      </c>
      <c r="H2688" s="51" t="s">
        <v>11544</v>
      </c>
      <c r="I2688" s="14" t="s">
        <v>164</v>
      </c>
      <c r="J2688" s="14">
        <v>2.370553659</v>
      </c>
      <c r="K2688" s="14">
        <v>3.522239286</v>
      </c>
      <c r="L2688" s="14">
        <v>4.782352156</v>
      </c>
      <c r="M2688" s="14">
        <v>0.096582531</v>
      </c>
      <c r="N2688" s="14">
        <v>0</v>
      </c>
      <c r="O2688" s="14">
        <v>0</v>
      </c>
      <c r="P2688" s="14" t="s">
        <v>12809</v>
      </c>
      <c r="Q2688" s="14" t="s">
        <v>12810</v>
      </c>
      <c r="T2688" s="14" t="s">
        <v>12811</v>
      </c>
      <c r="U2688" s="14" t="s">
        <v>12812</v>
      </c>
    </row>
    <row r="2689" spans="1:21">
      <c r="A2689" s="14" t="s">
        <v>12813</v>
      </c>
      <c r="B2689" s="14">
        <v>347.0926495</v>
      </c>
      <c r="C2689" s="14">
        <v>658.2001701</v>
      </c>
      <c r="D2689" s="14">
        <v>35.98512886</v>
      </c>
      <c r="E2689" s="14">
        <v>0.054660469</v>
      </c>
      <c r="F2689" s="14">
        <v>-4.193358352</v>
      </c>
      <c r="G2689" s="51" t="s">
        <v>12814</v>
      </c>
      <c r="H2689" s="51" t="s">
        <v>12815</v>
      </c>
      <c r="I2689" s="14" t="s">
        <v>147</v>
      </c>
      <c r="J2689" s="14">
        <v>1.843911228</v>
      </c>
      <c r="K2689" s="14">
        <v>2.183472621</v>
      </c>
      <c r="L2689" s="14">
        <v>1.879844705</v>
      </c>
      <c r="M2689" s="14">
        <v>32.10962787</v>
      </c>
      <c r="N2689" s="14">
        <v>34.63378968</v>
      </c>
      <c r="O2689" s="14">
        <v>21.15553917</v>
      </c>
      <c r="P2689" s="14" t="s">
        <v>12816</v>
      </c>
      <c r="Q2689" s="14" t="s">
        <v>12817</v>
      </c>
      <c r="T2689" s="14" t="s">
        <v>12818</v>
      </c>
      <c r="U2689" s="14" t="s">
        <v>12819</v>
      </c>
    </row>
    <row r="2690" spans="1:21">
      <c r="A2690" s="14" t="s">
        <v>12820</v>
      </c>
      <c r="B2690" s="14">
        <v>244.0979625</v>
      </c>
      <c r="C2690" s="14">
        <v>156.1955133</v>
      </c>
      <c r="D2690" s="14">
        <v>332.0004117</v>
      </c>
      <c r="E2690" s="14">
        <v>2.12748732</v>
      </c>
      <c r="F2690" s="14">
        <v>1.089150533</v>
      </c>
      <c r="G2690" s="14">
        <v>0.011781146</v>
      </c>
      <c r="H2690" s="14">
        <v>0.031062398</v>
      </c>
      <c r="I2690" s="14" t="s">
        <v>164</v>
      </c>
      <c r="J2690" s="14">
        <v>3.610350712</v>
      </c>
      <c r="K2690" s="14">
        <v>5.090028516</v>
      </c>
      <c r="L2690" s="14">
        <v>3.936490763</v>
      </c>
      <c r="M2690" s="14">
        <v>1.883534718</v>
      </c>
      <c r="N2690" s="14">
        <v>2.075500674</v>
      </c>
      <c r="O2690" s="14">
        <v>0.84243145</v>
      </c>
      <c r="P2690" s="14" t="s">
        <v>2073</v>
      </c>
      <c r="Q2690" s="14" t="s">
        <v>2074</v>
      </c>
      <c r="T2690" s="14" t="s">
        <v>2075</v>
      </c>
      <c r="U2690" s="14" t="s">
        <v>2076</v>
      </c>
    </row>
    <row r="2691" spans="1:21">
      <c r="A2691" s="14" t="s">
        <v>12821</v>
      </c>
      <c r="B2691" s="14">
        <v>6533.81468</v>
      </c>
      <c r="C2691" s="14">
        <v>9905.151478</v>
      </c>
      <c r="D2691" s="14">
        <v>3162.477882</v>
      </c>
      <c r="E2691" s="14">
        <v>0.319283235</v>
      </c>
      <c r="F2691" s="14">
        <v>-1.647091295</v>
      </c>
      <c r="G2691" s="51" t="s">
        <v>12822</v>
      </c>
      <c r="H2691" s="51" t="s">
        <v>4882</v>
      </c>
      <c r="I2691" s="14" t="s">
        <v>147</v>
      </c>
      <c r="J2691" s="14">
        <v>14.72442387</v>
      </c>
      <c r="K2691" s="14">
        <v>27.26734723</v>
      </c>
      <c r="L2691" s="14">
        <v>24.25940817</v>
      </c>
      <c r="M2691" s="14">
        <v>67.71277831</v>
      </c>
      <c r="N2691" s="14">
        <v>55.65202591</v>
      </c>
      <c r="O2691" s="14">
        <v>45.71954264</v>
      </c>
      <c r="P2691" s="14" t="s">
        <v>12823</v>
      </c>
      <c r="Q2691" s="14" t="s">
        <v>12824</v>
      </c>
      <c r="T2691" s="14" t="s">
        <v>12825</v>
      </c>
      <c r="U2691" s="14" t="s">
        <v>12826</v>
      </c>
    </row>
    <row r="2692" spans="1:21">
      <c r="A2692" s="14" t="s">
        <v>12827</v>
      </c>
      <c r="B2692" s="14">
        <v>1046.033254</v>
      </c>
      <c r="C2692" s="14">
        <v>226.2114909</v>
      </c>
      <c r="D2692" s="14">
        <v>1865.855017</v>
      </c>
      <c r="E2692" s="14">
        <v>8.240407549</v>
      </c>
      <c r="F2692" s="14">
        <v>3.042715691</v>
      </c>
      <c r="G2692" s="51" t="s">
        <v>12828</v>
      </c>
      <c r="H2692" s="51" t="s">
        <v>12829</v>
      </c>
      <c r="I2692" s="14" t="s">
        <v>164</v>
      </c>
      <c r="J2692" s="14">
        <v>22.62543861</v>
      </c>
      <c r="K2692" s="14">
        <v>31.00128573</v>
      </c>
      <c r="L2692" s="14">
        <v>28.27430418</v>
      </c>
      <c r="M2692" s="14">
        <v>2.306615119</v>
      </c>
      <c r="N2692" s="14">
        <v>2.593641366</v>
      </c>
      <c r="O2692" s="14">
        <v>3.336598018</v>
      </c>
      <c r="P2692" s="14" t="s">
        <v>12830</v>
      </c>
      <c r="Q2692" s="14" t="s">
        <v>12831</v>
      </c>
      <c r="T2692" s="14" t="s">
        <v>12832</v>
      </c>
      <c r="U2692" s="14" t="s">
        <v>12833</v>
      </c>
    </row>
    <row r="2693" spans="1:21">
      <c r="A2693" s="14" t="s">
        <v>12834</v>
      </c>
      <c r="B2693" s="14">
        <v>420.0358298</v>
      </c>
      <c r="C2693" s="14">
        <v>583.0540398</v>
      </c>
      <c r="D2693" s="14">
        <v>257.0176198</v>
      </c>
      <c r="E2693" s="14">
        <v>0.44045956</v>
      </c>
      <c r="F2693" s="14">
        <v>-1.182918527</v>
      </c>
      <c r="G2693" s="51" t="s">
        <v>12835</v>
      </c>
      <c r="H2693" s="51" t="s">
        <v>12836</v>
      </c>
      <c r="I2693" s="14" t="s">
        <v>147</v>
      </c>
      <c r="J2693" s="14">
        <v>3.751466511</v>
      </c>
      <c r="K2693" s="14">
        <v>4.102456148</v>
      </c>
      <c r="L2693" s="14">
        <v>3.109662815</v>
      </c>
      <c r="M2693" s="14">
        <v>5.212802491</v>
      </c>
      <c r="N2693" s="14">
        <v>6.529168365</v>
      </c>
      <c r="O2693" s="14">
        <v>8.996042495</v>
      </c>
      <c r="P2693" s="14" t="s">
        <v>12837</v>
      </c>
      <c r="Q2693" s="14" t="s">
        <v>12838</v>
      </c>
      <c r="R2693" s="14" t="s">
        <v>3667</v>
      </c>
      <c r="S2693" s="14" t="s">
        <v>3668</v>
      </c>
      <c r="T2693" s="14" t="s">
        <v>12839</v>
      </c>
      <c r="U2693" s="14" t="s">
        <v>12840</v>
      </c>
    </row>
    <row r="2694" spans="1:21">
      <c r="A2694" s="14" t="s">
        <v>12841</v>
      </c>
      <c r="B2694" s="14">
        <v>3821.757533</v>
      </c>
      <c r="C2694" s="14">
        <v>5168.660712</v>
      </c>
      <c r="D2694" s="14">
        <v>2474.854354</v>
      </c>
      <c r="E2694" s="14">
        <v>0.478803417</v>
      </c>
      <c r="F2694" s="14">
        <v>-1.062494645</v>
      </c>
      <c r="G2694" s="51" t="s">
        <v>12842</v>
      </c>
      <c r="H2694" s="51" t="s">
        <v>12843</v>
      </c>
      <c r="I2694" s="14" t="s">
        <v>147</v>
      </c>
      <c r="J2694" s="14">
        <v>36.48645273</v>
      </c>
      <c r="K2694" s="14">
        <v>25.63481019</v>
      </c>
      <c r="L2694" s="14">
        <v>27.8274187</v>
      </c>
      <c r="M2694" s="14">
        <v>48.34622839</v>
      </c>
      <c r="N2694" s="14">
        <v>48.26416811</v>
      </c>
      <c r="O2694" s="14">
        <v>58.64416973</v>
      </c>
      <c r="P2694" s="14" t="s">
        <v>12844</v>
      </c>
      <c r="Q2694" s="14" t="s">
        <v>12845</v>
      </c>
      <c r="T2694" s="14" t="s">
        <v>12846</v>
      </c>
      <c r="U2694" s="14" t="s">
        <v>12847</v>
      </c>
    </row>
    <row r="2695" spans="1:15">
      <c r="A2695" s="14" t="s">
        <v>12848</v>
      </c>
      <c r="B2695" s="14">
        <v>6.33702436</v>
      </c>
      <c r="C2695" s="14">
        <v>1.062780363</v>
      </c>
      <c r="D2695" s="14">
        <v>11.61126836</v>
      </c>
      <c r="E2695" s="14">
        <v>11.26906095</v>
      </c>
      <c r="F2695" s="14">
        <v>3.494295396</v>
      </c>
      <c r="G2695" s="14">
        <v>0.010179112</v>
      </c>
      <c r="H2695" s="14">
        <v>0.027418801</v>
      </c>
      <c r="I2695" s="14" t="s">
        <v>164</v>
      </c>
      <c r="J2695" s="14">
        <v>0.061393224</v>
      </c>
      <c r="K2695" s="14">
        <v>0.135947049</v>
      </c>
      <c r="L2695" s="14">
        <v>0.236449723</v>
      </c>
      <c r="M2695" s="14">
        <v>0.021011087</v>
      </c>
      <c r="N2695" s="14">
        <v>0.010078822</v>
      </c>
      <c r="O2695" s="14">
        <v>0</v>
      </c>
    </row>
    <row r="2696" spans="1:21">
      <c r="A2696" s="14" t="s">
        <v>12849</v>
      </c>
      <c r="B2696" s="14">
        <v>61.85132449</v>
      </c>
      <c r="C2696" s="14">
        <v>117.1704103</v>
      </c>
      <c r="D2696" s="14">
        <v>6.532238664</v>
      </c>
      <c r="E2696" s="14">
        <v>0.055768209</v>
      </c>
      <c r="F2696" s="14">
        <v>-4.164413257</v>
      </c>
      <c r="G2696" s="51" t="s">
        <v>12850</v>
      </c>
      <c r="H2696" s="14">
        <v>0.000133671</v>
      </c>
      <c r="I2696" s="14" t="s">
        <v>147</v>
      </c>
      <c r="J2696" s="14">
        <v>0.055648396</v>
      </c>
      <c r="K2696" s="14">
        <v>0.616129498</v>
      </c>
      <c r="L2696" s="14">
        <v>0.428648213</v>
      </c>
      <c r="M2696" s="14">
        <v>6.237233905</v>
      </c>
      <c r="N2696" s="14">
        <v>8.359168227</v>
      </c>
      <c r="O2696" s="14">
        <v>1.164581127</v>
      </c>
      <c r="P2696" s="14" t="s">
        <v>12851</v>
      </c>
      <c r="Q2696" s="14" t="s">
        <v>12852</v>
      </c>
      <c r="T2696" s="14" t="s">
        <v>6931</v>
      </c>
      <c r="U2696" s="14" t="s">
        <v>6932</v>
      </c>
    </row>
    <row r="2697" spans="1:17">
      <c r="A2697" s="14" t="s">
        <v>12853</v>
      </c>
      <c r="B2697" s="14">
        <v>275.8906428</v>
      </c>
      <c r="C2697" s="14">
        <v>372.2495563</v>
      </c>
      <c r="D2697" s="14">
        <v>179.5317293</v>
      </c>
      <c r="E2697" s="14">
        <v>0.482033292</v>
      </c>
      <c r="F2697" s="14">
        <v>-1.052795305</v>
      </c>
      <c r="G2697" s="14">
        <v>0.009483105</v>
      </c>
      <c r="H2697" s="14">
        <v>0.025789702</v>
      </c>
      <c r="I2697" s="14" t="s">
        <v>147</v>
      </c>
      <c r="J2697" s="14">
        <v>12.94312519</v>
      </c>
      <c r="K2697" s="14">
        <v>7.722029797</v>
      </c>
      <c r="L2697" s="14">
        <v>7.688423236</v>
      </c>
      <c r="M2697" s="14">
        <v>13.26209108</v>
      </c>
      <c r="N2697" s="14">
        <v>10.45289586</v>
      </c>
      <c r="O2697" s="14">
        <v>25.73237403</v>
      </c>
      <c r="P2697" s="14" t="s">
        <v>12854</v>
      </c>
      <c r="Q2697" s="14" t="s">
        <v>12855</v>
      </c>
    </row>
    <row r="2698" spans="1:21">
      <c r="A2698" s="14" t="s">
        <v>12856</v>
      </c>
      <c r="B2698" s="14">
        <v>4292.355312</v>
      </c>
      <c r="C2698" s="14">
        <v>5733.619919</v>
      </c>
      <c r="D2698" s="14">
        <v>2851.090705</v>
      </c>
      <c r="E2698" s="14">
        <v>0.497272284</v>
      </c>
      <c r="F2698" s="14">
        <v>-1.00789207</v>
      </c>
      <c r="G2698" s="51" t="s">
        <v>12857</v>
      </c>
      <c r="H2698" s="51" t="s">
        <v>12858</v>
      </c>
      <c r="I2698" s="14" t="s">
        <v>147</v>
      </c>
      <c r="J2698" s="14">
        <v>23.13258546</v>
      </c>
      <c r="K2698" s="14">
        <v>24.71882116</v>
      </c>
      <c r="L2698" s="14">
        <v>20.87728717</v>
      </c>
      <c r="M2698" s="14">
        <v>42.37176127</v>
      </c>
      <c r="N2698" s="14">
        <v>35.41323043</v>
      </c>
      <c r="O2698" s="14">
        <v>35.54784971</v>
      </c>
      <c r="P2698" s="14" t="s">
        <v>12859</v>
      </c>
      <c r="Q2698" s="14" t="s">
        <v>12860</v>
      </c>
      <c r="R2698" s="14" t="s">
        <v>4592</v>
      </c>
      <c r="S2698" s="14" t="s">
        <v>4593</v>
      </c>
      <c r="T2698" s="14" t="s">
        <v>12861</v>
      </c>
      <c r="U2698" s="14" t="s">
        <v>12862</v>
      </c>
    </row>
    <row r="2699" spans="1:21">
      <c r="A2699" s="14" t="s">
        <v>12863</v>
      </c>
      <c r="B2699" s="14">
        <v>15.74850032</v>
      </c>
      <c r="C2699" s="14">
        <v>29.53110949</v>
      </c>
      <c r="D2699" s="14">
        <v>1.965891143</v>
      </c>
      <c r="E2699" s="14">
        <v>0.066582978</v>
      </c>
      <c r="F2699" s="14">
        <v>-3.908702791</v>
      </c>
      <c r="G2699" s="51" t="s">
        <v>7900</v>
      </c>
      <c r="H2699" s="51" t="s">
        <v>12864</v>
      </c>
      <c r="I2699" s="14" t="s">
        <v>147</v>
      </c>
      <c r="J2699" s="14">
        <v>0.0132092</v>
      </c>
      <c r="K2699" s="14">
        <v>0.039886362</v>
      </c>
      <c r="L2699" s="14">
        <v>0.025436941</v>
      </c>
      <c r="M2699" s="14">
        <v>0.452068853</v>
      </c>
      <c r="N2699" s="14">
        <v>0.303594477</v>
      </c>
      <c r="O2699" s="14">
        <v>0.199033465</v>
      </c>
      <c r="P2699" s="14" t="s">
        <v>12865</v>
      </c>
      <c r="Q2699" s="14" t="s">
        <v>12866</v>
      </c>
      <c r="T2699" s="14" t="s">
        <v>2191</v>
      </c>
      <c r="U2699" s="14" t="s">
        <v>2192</v>
      </c>
    </row>
    <row r="2700" spans="1:21">
      <c r="A2700" s="14" t="s">
        <v>12867</v>
      </c>
      <c r="B2700" s="14">
        <v>139.9329679</v>
      </c>
      <c r="C2700" s="14">
        <v>235.2810404</v>
      </c>
      <c r="D2700" s="14">
        <v>44.58489545</v>
      </c>
      <c r="E2700" s="14">
        <v>0.189385323</v>
      </c>
      <c r="F2700" s="14">
        <v>-2.400603562</v>
      </c>
      <c r="G2700" s="51" t="s">
        <v>10458</v>
      </c>
      <c r="H2700" s="51" t="s">
        <v>1589</v>
      </c>
      <c r="I2700" s="14" t="s">
        <v>147</v>
      </c>
      <c r="J2700" s="14">
        <v>0.381831125</v>
      </c>
      <c r="K2700" s="14">
        <v>1.456387322</v>
      </c>
      <c r="L2700" s="14">
        <v>0.870740251</v>
      </c>
      <c r="M2700" s="14">
        <v>3.524842149</v>
      </c>
      <c r="N2700" s="14">
        <v>3.612610727</v>
      </c>
      <c r="O2700" s="14">
        <v>4.72716907</v>
      </c>
      <c r="P2700" s="14" t="s">
        <v>12868</v>
      </c>
      <c r="Q2700" s="14" t="s">
        <v>12869</v>
      </c>
      <c r="T2700" s="14" t="s">
        <v>12870</v>
      </c>
      <c r="U2700" s="14" t="s">
        <v>12871</v>
      </c>
    </row>
    <row r="2701" spans="1:21">
      <c r="A2701" s="14" t="s">
        <v>12872</v>
      </c>
      <c r="B2701" s="14">
        <v>383.1788686</v>
      </c>
      <c r="C2701" s="14">
        <v>599.7989728</v>
      </c>
      <c r="D2701" s="14">
        <v>166.5587645</v>
      </c>
      <c r="E2701" s="14">
        <v>0.277715558</v>
      </c>
      <c r="F2701" s="14">
        <v>-1.848320096</v>
      </c>
      <c r="G2701" s="51" t="s">
        <v>12873</v>
      </c>
      <c r="H2701" s="51" t="s">
        <v>12145</v>
      </c>
      <c r="I2701" s="14" t="s">
        <v>147</v>
      </c>
      <c r="J2701" s="14">
        <v>2.771290111</v>
      </c>
      <c r="K2701" s="14">
        <v>1.260475806</v>
      </c>
      <c r="L2701" s="14">
        <v>1.819826883</v>
      </c>
      <c r="M2701" s="14">
        <v>5.377141482</v>
      </c>
      <c r="N2701" s="14">
        <v>6.586421377</v>
      </c>
      <c r="O2701" s="14">
        <v>5.309437429</v>
      </c>
      <c r="P2701" s="14" t="s">
        <v>12874</v>
      </c>
      <c r="Q2701" s="14" t="s">
        <v>12875</v>
      </c>
      <c r="T2701" s="14" t="s">
        <v>12876</v>
      </c>
      <c r="U2701" s="14" t="s">
        <v>12877</v>
      </c>
    </row>
    <row r="2702" spans="1:21">
      <c r="A2702" s="14" t="s">
        <v>12878</v>
      </c>
      <c r="B2702" s="14">
        <v>647.1112268</v>
      </c>
      <c r="C2702" s="14">
        <v>932.4368436</v>
      </c>
      <c r="D2702" s="14">
        <v>361.7856101</v>
      </c>
      <c r="E2702" s="14">
        <v>0.38814177</v>
      </c>
      <c r="F2702" s="14">
        <v>-1.365344399</v>
      </c>
      <c r="G2702" s="51" t="s">
        <v>12879</v>
      </c>
      <c r="H2702" s="51" t="s">
        <v>12880</v>
      </c>
      <c r="I2702" s="14" t="s">
        <v>147</v>
      </c>
      <c r="J2702" s="14">
        <v>4.266281024</v>
      </c>
      <c r="K2702" s="14">
        <v>4.197912072</v>
      </c>
      <c r="L2702" s="14">
        <v>4.637080874</v>
      </c>
      <c r="M2702" s="14">
        <v>9.314674999</v>
      </c>
      <c r="N2702" s="14">
        <v>10.55486885</v>
      </c>
      <c r="O2702" s="14">
        <v>7.702807741</v>
      </c>
      <c r="P2702" s="14" t="s">
        <v>12881</v>
      </c>
      <c r="Q2702" s="14" t="s">
        <v>12882</v>
      </c>
      <c r="T2702" s="14" t="s">
        <v>12883</v>
      </c>
      <c r="U2702" s="14" t="s">
        <v>12884</v>
      </c>
    </row>
    <row r="2703" spans="1:15">
      <c r="A2703" s="14" t="s">
        <v>12885</v>
      </c>
      <c r="B2703" s="14">
        <v>27.62461824</v>
      </c>
      <c r="C2703" s="14">
        <v>42.53418127</v>
      </c>
      <c r="D2703" s="14">
        <v>12.71505522</v>
      </c>
      <c r="E2703" s="14">
        <v>0.299511199</v>
      </c>
      <c r="F2703" s="14">
        <v>-1.739318145</v>
      </c>
      <c r="G2703" s="14">
        <v>0.012282732</v>
      </c>
      <c r="H2703" s="14">
        <v>0.032161151</v>
      </c>
      <c r="I2703" s="14" t="s">
        <v>147</v>
      </c>
      <c r="J2703" s="14">
        <v>0.307238371</v>
      </c>
      <c r="K2703" s="14">
        <v>0.432942437</v>
      </c>
      <c r="L2703" s="14">
        <v>0.44373644</v>
      </c>
      <c r="M2703" s="14">
        <v>1.156634699</v>
      </c>
      <c r="N2703" s="14">
        <v>1.588822313</v>
      </c>
      <c r="O2703" s="14">
        <v>0.437221455</v>
      </c>
    </row>
    <row r="2704" spans="1:21">
      <c r="A2704" s="14" t="s">
        <v>12886</v>
      </c>
      <c r="B2704" s="14">
        <v>134.6892473</v>
      </c>
      <c r="C2704" s="14">
        <v>233.4570178</v>
      </c>
      <c r="D2704" s="14">
        <v>35.92147683</v>
      </c>
      <c r="E2704" s="14">
        <v>0.15391964</v>
      </c>
      <c r="F2704" s="14">
        <v>-2.699750766</v>
      </c>
      <c r="G2704" s="14">
        <v>0.000394335</v>
      </c>
      <c r="H2704" s="14">
        <v>0.001611445</v>
      </c>
      <c r="I2704" s="14" t="s">
        <v>147</v>
      </c>
      <c r="J2704" s="14">
        <v>2.331402791</v>
      </c>
      <c r="K2704" s="14">
        <v>0.974071397</v>
      </c>
      <c r="L2704" s="14">
        <v>1.482408402</v>
      </c>
      <c r="M2704" s="14">
        <v>10.53822726</v>
      </c>
      <c r="N2704" s="14">
        <v>12.49329134</v>
      </c>
      <c r="O2704" s="14">
        <v>1.767501413</v>
      </c>
      <c r="P2704" s="14" t="s">
        <v>12887</v>
      </c>
      <c r="Q2704" s="14" t="s">
        <v>12888</v>
      </c>
      <c r="R2704" s="14" t="s">
        <v>1313</v>
      </c>
      <c r="S2704" s="14" t="s">
        <v>1314</v>
      </c>
      <c r="T2704" s="14" t="s">
        <v>12889</v>
      </c>
      <c r="U2704" s="14" t="s">
        <v>12890</v>
      </c>
    </row>
    <row r="2705" spans="1:15">
      <c r="A2705" s="14" t="s">
        <v>12891</v>
      </c>
      <c r="B2705" s="14">
        <v>56.05462046</v>
      </c>
      <c r="C2705" s="14">
        <v>21.44903113</v>
      </c>
      <c r="D2705" s="14">
        <v>90.66020979</v>
      </c>
      <c r="E2705" s="14">
        <v>4.203534306</v>
      </c>
      <c r="F2705" s="14">
        <v>2.071602847</v>
      </c>
      <c r="G2705" s="51" t="s">
        <v>2686</v>
      </c>
      <c r="H2705" s="51" t="s">
        <v>2687</v>
      </c>
      <c r="I2705" s="14" t="s">
        <v>164</v>
      </c>
      <c r="J2705" s="14">
        <v>1.495866821</v>
      </c>
      <c r="K2705" s="14">
        <v>1.505634636</v>
      </c>
      <c r="L2705" s="14">
        <v>1.319006567</v>
      </c>
      <c r="M2705" s="14">
        <v>0.148193821</v>
      </c>
      <c r="N2705" s="14">
        <v>0.336048529</v>
      </c>
      <c r="O2705" s="14">
        <v>0.369066346</v>
      </c>
    </row>
    <row r="2706" spans="1:21">
      <c r="A2706" s="14" t="s">
        <v>12892</v>
      </c>
      <c r="B2706" s="14">
        <v>9.329171398</v>
      </c>
      <c r="C2706" s="14">
        <v>17.03790936</v>
      </c>
      <c r="D2706" s="14">
        <v>1.620433437</v>
      </c>
      <c r="E2706" s="14">
        <v>0.095524676</v>
      </c>
      <c r="F2706" s="14">
        <v>-3.387982731</v>
      </c>
      <c r="G2706" s="14">
        <v>0.006395955</v>
      </c>
      <c r="H2706" s="14">
        <v>0.018308075</v>
      </c>
      <c r="I2706" s="14" t="s">
        <v>147</v>
      </c>
      <c r="J2706" s="14">
        <v>0.029151018</v>
      </c>
      <c r="K2706" s="14">
        <v>0</v>
      </c>
      <c r="L2706" s="14">
        <v>0.018712028</v>
      </c>
      <c r="M2706" s="14">
        <v>0.108079645</v>
      </c>
      <c r="N2706" s="14">
        <v>0.239283665</v>
      </c>
      <c r="O2706" s="14">
        <v>0.056938707</v>
      </c>
      <c r="Q2706" s="14" t="s">
        <v>12893</v>
      </c>
      <c r="T2706" s="14" t="s">
        <v>12894</v>
      </c>
      <c r="U2706" s="14" t="s">
        <v>12895</v>
      </c>
    </row>
    <row r="2707" spans="1:21">
      <c r="A2707" s="14" t="s">
        <v>12896</v>
      </c>
      <c r="B2707" s="14">
        <v>3047.570066</v>
      </c>
      <c r="C2707" s="14">
        <v>4133.009601</v>
      </c>
      <c r="D2707" s="14">
        <v>1962.130531</v>
      </c>
      <c r="E2707" s="14">
        <v>0.474770754</v>
      </c>
      <c r="F2707" s="14">
        <v>-1.074697029</v>
      </c>
      <c r="G2707" s="14">
        <v>0.00028456</v>
      </c>
      <c r="H2707" s="14">
        <v>0.001204293</v>
      </c>
      <c r="I2707" s="14" t="s">
        <v>147</v>
      </c>
      <c r="J2707" s="14">
        <v>17.63044237</v>
      </c>
      <c r="K2707" s="14">
        <v>15.09090659</v>
      </c>
      <c r="L2707" s="14">
        <v>14.32161578</v>
      </c>
      <c r="M2707" s="14">
        <v>32.22908542</v>
      </c>
      <c r="N2707" s="14">
        <v>29.9772989</v>
      </c>
      <c r="O2707" s="14">
        <v>18.20604752</v>
      </c>
      <c r="P2707" s="14" t="s">
        <v>12897</v>
      </c>
      <c r="Q2707" s="14" t="s">
        <v>12898</v>
      </c>
      <c r="T2707" s="14" t="s">
        <v>12899</v>
      </c>
      <c r="U2707" s="14" t="s">
        <v>12900</v>
      </c>
    </row>
    <row r="2708" spans="1:21">
      <c r="A2708" s="14" t="s">
        <v>12901</v>
      </c>
      <c r="B2708" s="14">
        <v>9138.186702</v>
      </c>
      <c r="C2708" s="14">
        <v>5129.263483</v>
      </c>
      <c r="D2708" s="14">
        <v>13147.10992</v>
      </c>
      <c r="E2708" s="14">
        <v>2.563284276</v>
      </c>
      <c r="F2708" s="14">
        <v>1.357993487</v>
      </c>
      <c r="G2708" s="51" t="s">
        <v>5548</v>
      </c>
      <c r="H2708" s="51" t="s">
        <v>12902</v>
      </c>
      <c r="I2708" s="14" t="s">
        <v>164</v>
      </c>
      <c r="J2708" s="14">
        <v>431.6513445</v>
      </c>
      <c r="K2708" s="14">
        <v>437.8732136</v>
      </c>
      <c r="L2708" s="14">
        <v>387.9278543</v>
      </c>
      <c r="M2708" s="14">
        <v>140.9953524</v>
      </c>
      <c r="N2708" s="14">
        <v>158.6905984</v>
      </c>
      <c r="O2708" s="14">
        <v>99.96233224</v>
      </c>
      <c r="P2708" s="14" t="s">
        <v>12903</v>
      </c>
      <c r="Q2708" s="14" t="s">
        <v>12904</v>
      </c>
      <c r="T2708" s="14" t="s">
        <v>12905</v>
      </c>
      <c r="U2708" s="14" t="s">
        <v>12906</v>
      </c>
    </row>
    <row r="2709" spans="1:21">
      <c r="A2709" s="14" t="s">
        <v>12907</v>
      </c>
      <c r="B2709" s="14">
        <v>2810.826874</v>
      </c>
      <c r="C2709" s="14">
        <v>3838.259149</v>
      </c>
      <c r="D2709" s="14">
        <v>1783.3946</v>
      </c>
      <c r="E2709" s="14">
        <v>0.464645552</v>
      </c>
      <c r="F2709" s="14">
        <v>-1.105797497</v>
      </c>
      <c r="G2709" s="14">
        <v>0.000199767</v>
      </c>
      <c r="H2709" s="14">
        <v>0.000876251</v>
      </c>
      <c r="I2709" s="14" t="s">
        <v>147</v>
      </c>
      <c r="J2709" s="14">
        <v>18.1179627</v>
      </c>
      <c r="K2709" s="14">
        <v>19.92042839</v>
      </c>
      <c r="L2709" s="14">
        <v>32.78779715</v>
      </c>
      <c r="M2709" s="14">
        <v>33.54213348</v>
      </c>
      <c r="N2709" s="14">
        <v>35.4523882</v>
      </c>
      <c r="O2709" s="14">
        <v>57.81011475</v>
      </c>
      <c r="P2709" s="14" t="s">
        <v>12908</v>
      </c>
      <c r="Q2709" s="14" t="s">
        <v>12909</v>
      </c>
      <c r="T2709" s="14" t="s">
        <v>12910</v>
      </c>
      <c r="U2709" s="14" t="s">
        <v>12911</v>
      </c>
    </row>
    <row r="2710" spans="1:21">
      <c r="A2710" s="14" t="s">
        <v>12912</v>
      </c>
      <c r="B2710" s="14">
        <v>339.4211753</v>
      </c>
      <c r="C2710" s="14">
        <v>52.23904613</v>
      </c>
      <c r="D2710" s="14">
        <v>626.6033044</v>
      </c>
      <c r="E2710" s="14">
        <v>11.95785373</v>
      </c>
      <c r="F2710" s="14">
        <v>3.579886564</v>
      </c>
      <c r="G2710" s="51" t="s">
        <v>12913</v>
      </c>
      <c r="H2710" s="51" t="s">
        <v>12914</v>
      </c>
      <c r="I2710" s="14" t="s">
        <v>164</v>
      </c>
      <c r="J2710" s="14">
        <v>16.36010829</v>
      </c>
      <c r="K2710" s="14">
        <v>9.754162281</v>
      </c>
      <c r="L2710" s="14">
        <v>14.90028258</v>
      </c>
      <c r="M2710" s="14">
        <v>0.646328191</v>
      </c>
      <c r="N2710" s="14">
        <v>0.921254534</v>
      </c>
      <c r="O2710" s="14">
        <v>1.282780669</v>
      </c>
      <c r="P2710" s="14" t="s">
        <v>2228</v>
      </c>
      <c r="Q2710" s="14" t="s">
        <v>2229</v>
      </c>
      <c r="R2710" s="14" t="s">
        <v>556</v>
      </c>
      <c r="S2710" s="14" t="s">
        <v>557</v>
      </c>
      <c r="T2710" s="14" t="s">
        <v>558</v>
      </c>
      <c r="U2710" s="14" t="s">
        <v>559</v>
      </c>
    </row>
    <row r="2711" spans="1:21">
      <c r="A2711" s="14" t="s">
        <v>12915</v>
      </c>
      <c r="B2711" s="14">
        <v>14413.07274</v>
      </c>
      <c r="C2711" s="14">
        <v>21433.48019</v>
      </c>
      <c r="D2711" s="14">
        <v>7392.665283</v>
      </c>
      <c r="E2711" s="14">
        <v>0.344918022</v>
      </c>
      <c r="F2711" s="14">
        <v>-1.535674584</v>
      </c>
      <c r="G2711" s="51" t="s">
        <v>12916</v>
      </c>
      <c r="H2711" s="51" t="s">
        <v>12917</v>
      </c>
      <c r="I2711" s="14" t="s">
        <v>147</v>
      </c>
      <c r="J2711" s="14">
        <v>32.60981935</v>
      </c>
      <c r="K2711" s="14">
        <v>25.32175497</v>
      </c>
      <c r="L2711" s="14">
        <v>29.18503244</v>
      </c>
      <c r="M2711" s="14">
        <v>74.75041916</v>
      </c>
      <c r="N2711" s="14">
        <v>72.92418154</v>
      </c>
      <c r="O2711" s="14">
        <v>58.58709025</v>
      </c>
      <c r="P2711" s="14" t="s">
        <v>12918</v>
      </c>
      <c r="Q2711" s="14" t="s">
        <v>12919</v>
      </c>
      <c r="T2711" s="14" t="s">
        <v>6342</v>
      </c>
      <c r="U2711" s="14" t="s">
        <v>6343</v>
      </c>
    </row>
    <row r="2712" spans="1:21">
      <c r="A2712" s="14" t="s">
        <v>12920</v>
      </c>
      <c r="B2712" s="14">
        <v>1232.831358</v>
      </c>
      <c r="C2712" s="14">
        <v>479.1624279</v>
      </c>
      <c r="D2712" s="14">
        <v>1986.500289</v>
      </c>
      <c r="E2712" s="14">
        <v>4.147063466</v>
      </c>
      <c r="F2712" s="14">
        <v>2.052090126</v>
      </c>
      <c r="G2712" s="51" t="s">
        <v>12921</v>
      </c>
      <c r="H2712" s="51" t="s">
        <v>12922</v>
      </c>
      <c r="I2712" s="14" t="s">
        <v>164</v>
      </c>
      <c r="J2712" s="14">
        <v>44.96504364</v>
      </c>
      <c r="K2712" s="14">
        <v>36.03552421</v>
      </c>
      <c r="L2712" s="14">
        <v>41.01076879</v>
      </c>
      <c r="M2712" s="14">
        <v>8.100250397</v>
      </c>
      <c r="N2712" s="14">
        <v>11.43219282</v>
      </c>
      <c r="O2712" s="14">
        <v>4.242585231</v>
      </c>
      <c r="P2712" s="14" t="s">
        <v>12923</v>
      </c>
      <c r="Q2712" s="14" t="s">
        <v>12924</v>
      </c>
      <c r="T2712" s="14" t="s">
        <v>12925</v>
      </c>
      <c r="U2712" s="14" t="s">
        <v>12926</v>
      </c>
    </row>
    <row r="2713" spans="1:15">
      <c r="A2713" s="14" t="s">
        <v>12927</v>
      </c>
      <c r="B2713" s="14">
        <v>737.5675949</v>
      </c>
      <c r="C2713" s="14">
        <v>1220.196109</v>
      </c>
      <c r="D2713" s="14">
        <v>254.9390807</v>
      </c>
      <c r="E2713" s="14">
        <v>0.208963688</v>
      </c>
      <c r="F2713" s="14">
        <v>-2.258675829</v>
      </c>
      <c r="G2713" s="51" t="s">
        <v>12928</v>
      </c>
      <c r="H2713" s="51" t="s">
        <v>12929</v>
      </c>
      <c r="I2713" s="14" t="s">
        <v>147</v>
      </c>
      <c r="J2713" s="14">
        <v>2.192624888</v>
      </c>
      <c r="K2713" s="14">
        <v>1.11359481</v>
      </c>
      <c r="L2713" s="14">
        <v>1.878745514</v>
      </c>
      <c r="M2713" s="14">
        <v>6.190220476</v>
      </c>
      <c r="N2713" s="14">
        <v>10.31994031</v>
      </c>
      <c r="O2713" s="14">
        <v>3.524952914</v>
      </c>
    </row>
    <row r="2714" spans="1:21">
      <c r="A2714" s="14" t="s">
        <v>12930</v>
      </c>
      <c r="B2714" s="14">
        <v>4383.67087</v>
      </c>
      <c r="C2714" s="14">
        <v>6066.497869</v>
      </c>
      <c r="D2714" s="14">
        <v>2700.843872</v>
      </c>
      <c r="E2714" s="14">
        <v>0.445216052</v>
      </c>
      <c r="F2714" s="14">
        <v>-1.167422486</v>
      </c>
      <c r="G2714" s="14">
        <v>0.002111359</v>
      </c>
      <c r="H2714" s="14">
        <v>0.007031222</v>
      </c>
      <c r="I2714" s="14" t="s">
        <v>147</v>
      </c>
      <c r="J2714" s="14">
        <v>29.13471511</v>
      </c>
      <c r="K2714" s="14">
        <v>42.53123625</v>
      </c>
      <c r="L2714" s="14">
        <v>30.21391166</v>
      </c>
      <c r="M2714" s="14">
        <v>76.86337292</v>
      </c>
      <c r="N2714" s="14">
        <v>73.2805901</v>
      </c>
      <c r="O2714" s="14">
        <v>34.90208755</v>
      </c>
      <c r="P2714" s="14" t="s">
        <v>12931</v>
      </c>
      <c r="Q2714" s="14" t="s">
        <v>12932</v>
      </c>
      <c r="T2714" s="14" t="s">
        <v>12933</v>
      </c>
      <c r="U2714" s="14" t="s">
        <v>12934</v>
      </c>
    </row>
    <row r="2715" spans="1:21">
      <c r="A2715" s="14" t="s">
        <v>12935</v>
      </c>
      <c r="B2715" s="14">
        <v>568.3369873</v>
      </c>
      <c r="C2715" s="14">
        <v>337.3130667</v>
      </c>
      <c r="D2715" s="14">
        <v>799.360908</v>
      </c>
      <c r="E2715" s="14">
        <v>2.36838328</v>
      </c>
      <c r="F2715" s="14">
        <v>1.243902574</v>
      </c>
      <c r="G2715" s="14">
        <v>0.011509797</v>
      </c>
      <c r="H2715" s="14">
        <v>0.030504987</v>
      </c>
      <c r="I2715" s="14" t="s">
        <v>164</v>
      </c>
      <c r="J2715" s="14">
        <v>6.559266534</v>
      </c>
      <c r="K2715" s="14">
        <v>7.253137878</v>
      </c>
      <c r="L2715" s="14">
        <v>8.262891802</v>
      </c>
      <c r="M2715" s="14">
        <v>1.184771112</v>
      </c>
      <c r="N2715" s="14">
        <v>1.727404667</v>
      </c>
      <c r="O2715" s="14">
        <v>5.033195591</v>
      </c>
      <c r="P2715" s="14" t="s">
        <v>2265</v>
      </c>
      <c r="Q2715" s="14" t="s">
        <v>2266</v>
      </c>
      <c r="T2715" s="14" t="s">
        <v>879</v>
      </c>
      <c r="U2715" s="14" t="s">
        <v>880</v>
      </c>
    </row>
    <row r="2716" spans="1:21">
      <c r="A2716" s="14" t="s">
        <v>12936</v>
      </c>
      <c r="B2716" s="14">
        <v>4.559773963</v>
      </c>
      <c r="C2716" s="14">
        <v>0</v>
      </c>
      <c r="D2716" s="14">
        <v>9.119547927</v>
      </c>
      <c r="E2716" s="14">
        <v>49.20240159</v>
      </c>
      <c r="F2716" s="14">
        <v>5.620656831</v>
      </c>
      <c r="G2716" s="14">
        <v>0.001122417</v>
      </c>
      <c r="H2716" s="14">
        <v>0.004060442</v>
      </c>
      <c r="I2716" s="14" t="s">
        <v>164</v>
      </c>
      <c r="J2716" s="14">
        <v>0.19498963</v>
      </c>
      <c r="K2716" s="14">
        <v>0.220795747</v>
      </c>
      <c r="L2716" s="14">
        <v>0.258150276</v>
      </c>
      <c r="M2716" s="14">
        <v>0</v>
      </c>
      <c r="N2716" s="14">
        <v>0</v>
      </c>
      <c r="O2716" s="14">
        <v>0</v>
      </c>
      <c r="P2716" s="14" t="s">
        <v>12937</v>
      </c>
      <c r="Q2716" s="14" t="s">
        <v>12938</v>
      </c>
      <c r="T2716" s="14" t="s">
        <v>12939</v>
      </c>
      <c r="U2716" s="14" t="s">
        <v>12940</v>
      </c>
    </row>
    <row r="2717" spans="1:21">
      <c r="A2717" s="14" t="s">
        <v>12941</v>
      </c>
      <c r="B2717" s="14">
        <v>337.4693835</v>
      </c>
      <c r="C2717" s="14">
        <v>168.3365775</v>
      </c>
      <c r="D2717" s="14">
        <v>506.6021895</v>
      </c>
      <c r="E2717" s="14">
        <v>3.011516811</v>
      </c>
      <c r="F2717" s="14">
        <v>1.590490313</v>
      </c>
      <c r="G2717" s="14">
        <v>0.000446418</v>
      </c>
      <c r="H2717" s="14">
        <v>0.001799105</v>
      </c>
      <c r="I2717" s="14" t="s">
        <v>164</v>
      </c>
      <c r="J2717" s="14">
        <v>3.487623195</v>
      </c>
      <c r="K2717" s="14">
        <v>2.13111924</v>
      </c>
      <c r="L2717" s="14">
        <v>2.628493781</v>
      </c>
      <c r="M2717" s="14">
        <v>0.754044184</v>
      </c>
      <c r="N2717" s="14">
        <v>1.076301668</v>
      </c>
      <c r="O2717" s="14">
        <v>0.382367416</v>
      </c>
      <c r="P2717" s="14" t="s">
        <v>12942</v>
      </c>
      <c r="Q2717" s="14" t="s">
        <v>12943</v>
      </c>
      <c r="R2717" s="14" t="s">
        <v>1043</v>
      </c>
      <c r="S2717" s="14" t="s">
        <v>1044</v>
      </c>
      <c r="T2717" s="14" t="s">
        <v>12944</v>
      </c>
      <c r="U2717" s="14" t="s">
        <v>12945</v>
      </c>
    </row>
    <row r="2718" spans="1:21">
      <c r="A2718" s="14" t="s">
        <v>12946</v>
      </c>
      <c r="B2718" s="14">
        <v>1544.537736</v>
      </c>
      <c r="C2718" s="14">
        <v>807.2176971</v>
      </c>
      <c r="D2718" s="14">
        <v>2281.857776</v>
      </c>
      <c r="E2718" s="14">
        <v>2.825856708</v>
      </c>
      <c r="F2718" s="14">
        <v>1.498688312</v>
      </c>
      <c r="G2718" s="51" t="s">
        <v>12947</v>
      </c>
      <c r="H2718" s="51" t="s">
        <v>12948</v>
      </c>
      <c r="I2718" s="14" t="s">
        <v>164</v>
      </c>
      <c r="J2718" s="14">
        <v>20.63277003</v>
      </c>
      <c r="K2718" s="14">
        <v>20.35090843</v>
      </c>
      <c r="L2718" s="14">
        <v>19.86625101</v>
      </c>
      <c r="M2718" s="14">
        <v>4.588498856</v>
      </c>
      <c r="N2718" s="14">
        <v>4.076840113</v>
      </c>
      <c r="O2718" s="14">
        <v>9.435660544</v>
      </c>
      <c r="P2718" s="14" t="s">
        <v>12949</v>
      </c>
      <c r="Q2718" s="14" t="s">
        <v>12950</v>
      </c>
      <c r="R2718" s="14" t="s">
        <v>12951</v>
      </c>
      <c r="S2718" s="14" t="s">
        <v>12952</v>
      </c>
      <c r="T2718" s="14" t="s">
        <v>12953</v>
      </c>
      <c r="U2718" s="14" t="s">
        <v>12954</v>
      </c>
    </row>
    <row r="2719" spans="1:21">
      <c r="A2719" s="14" t="s">
        <v>12955</v>
      </c>
      <c r="B2719" s="14">
        <v>734.1399997</v>
      </c>
      <c r="C2719" s="14">
        <v>1465.930666</v>
      </c>
      <c r="D2719" s="14">
        <v>2.349333601</v>
      </c>
      <c r="E2719" s="14">
        <v>0.001572523</v>
      </c>
      <c r="F2719" s="14">
        <v>-9.312703206</v>
      </c>
      <c r="G2719" s="51" t="s">
        <v>12956</v>
      </c>
      <c r="H2719" s="51" t="s">
        <v>12957</v>
      </c>
      <c r="I2719" s="14" t="s">
        <v>147</v>
      </c>
      <c r="J2719" s="14">
        <v>0.017651529</v>
      </c>
      <c r="K2719" s="14">
        <v>0.106600749</v>
      </c>
      <c r="L2719" s="14">
        <v>0</v>
      </c>
      <c r="M2719" s="14">
        <v>26.92785554</v>
      </c>
      <c r="N2719" s="14">
        <v>23.83458356</v>
      </c>
      <c r="O2719" s="14">
        <v>12.57444974</v>
      </c>
      <c r="P2719" s="14" t="s">
        <v>10059</v>
      </c>
      <c r="Q2719" s="14" t="s">
        <v>10060</v>
      </c>
      <c r="R2719" s="14" t="s">
        <v>1271</v>
      </c>
      <c r="S2719" s="14" t="s">
        <v>1272</v>
      </c>
      <c r="T2719" s="14" t="s">
        <v>10061</v>
      </c>
      <c r="U2719" s="14" t="s">
        <v>10062</v>
      </c>
    </row>
    <row r="2720" spans="1:21">
      <c r="A2720" s="14" t="s">
        <v>12958</v>
      </c>
      <c r="B2720" s="14">
        <v>27824.6628</v>
      </c>
      <c r="C2720" s="14">
        <v>39870.60201</v>
      </c>
      <c r="D2720" s="14">
        <v>15778.72358</v>
      </c>
      <c r="E2720" s="14">
        <v>0.395749384</v>
      </c>
      <c r="F2720" s="14">
        <v>-1.33734099</v>
      </c>
      <c r="G2720" s="51" t="s">
        <v>12959</v>
      </c>
      <c r="H2720" s="51" t="s">
        <v>12960</v>
      </c>
      <c r="I2720" s="14" t="s">
        <v>147</v>
      </c>
      <c r="J2720" s="14">
        <v>104.2187272</v>
      </c>
      <c r="K2720" s="14">
        <v>128.2730868</v>
      </c>
      <c r="L2720" s="14">
        <v>107.3775331</v>
      </c>
      <c r="M2720" s="14">
        <v>247.7112614</v>
      </c>
      <c r="N2720" s="14">
        <v>239.0691004</v>
      </c>
      <c r="O2720" s="14">
        <v>217.3291413</v>
      </c>
      <c r="P2720" s="14" t="s">
        <v>12961</v>
      </c>
      <c r="Q2720" s="14" t="s">
        <v>12962</v>
      </c>
      <c r="R2720" s="14" t="s">
        <v>5329</v>
      </c>
      <c r="S2720" s="14" t="s">
        <v>5330</v>
      </c>
      <c r="T2720" s="14" t="s">
        <v>12963</v>
      </c>
      <c r="U2720" s="14" t="s">
        <v>12964</v>
      </c>
    </row>
    <row r="2721" spans="1:21">
      <c r="A2721" s="14" t="s">
        <v>12965</v>
      </c>
      <c r="B2721" s="14">
        <v>415.9584204</v>
      </c>
      <c r="C2721" s="14">
        <v>132.1496911</v>
      </c>
      <c r="D2721" s="14">
        <v>699.7671498</v>
      </c>
      <c r="E2721" s="14">
        <v>5.288785424</v>
      </c>
      <c r="F2721" s="14">
        <v>2.402936444</v>
      </c>
      <c r="G2721" s="51" t="s">
        <v>2808</v>
      </c>
      <c r="H2721" s="51" t="s">
        <v>2809</v>
      </c>
      <c r="I2721" s="14" t="s">
        <v>164</v>
      </c>
      <c r="J2721" s="14">
        <v>20.82239756</v>
      </c>
      <c r="K2721" s="14">
        <v>14.63035632</v>
      </c>
      <c r="L2721" s="14">
        <v>17.86961271</v>
      </c>
      <c r="M2721" s="14">
        <v>1.742823882</v>
      </c>
      <c r="N2721" s="14">
        <v>1.217900295</v>
      </c>
      <c r="O2721" s="14">
        <v>5.641729781</v>
      </c>
      <c r="P2721" s="14" t="s">
        <v>12966</v>
      </c>
      <c r="Q2721" s="14" t="s">
        <v>12967</v>
      </c>
      <c r="T2721" s="14" t="s">
        <v>2191</v>
      </c>
      <c r="U2721" s="14" t="s">
        <v>2192</v>
      </c>
    </row>
    <row r="2722" spans="1:21">
      <c r="A2722" s="14" t="s">
        <v>12968</v>
      </c>
      <c r="B2722" s="14">
        <v>19925.99378</v>
      </c>
      <c r="C2722" s="14">
        <v>30407.1755</v>
      </c>
      <c r="D2722" s="14">
        <v>9444.812052</v>
      </c>
      <c r="E2722" s="14">
        <v>0.310612265</v>
      </c>
      <c r="F2722" s="14">
        <v>-1.686813297</v>
      </c>
      <c r="G2722" s="51" t="s">
        <v>8746</v>
      </c>
      <c r="H2722" s="51" t="s">
        <v>8747</v>
      </c>
      <c r="I2722" s="14" t="s">
        <v>147</v>
      </c>
      <c r="J2722" s="14">
        <v>213.8778033</v>
      </c>
      <c r="K2722" s="14">
        <v>287.2415667</v>
      </c>
      <c r="L2722" s="14">
        <v>210.8512655</v>
      </c>
      <c r="M2722" s="14">
        <v>714.3368621</v>
      </c>
      <c r="N2722" s="14">
        <v>739.3681339</v>
      </c>
      <c r="O2722" s="14">
        <v>407.0786625</v>
      </c>
      <c r="Q2722" s="14" t="s">
        <v>12969</v>
      </c>
      <c r="R2722" s="14" t="s">
        <v>2668</v>
      </c>
      <c r="S2722" s="14" t="s">
        <v>2669</v>
      </c>
      <c r="T2722" s="14" t="s">
        <v>6682</v>
      </c>
      <c r="U2722" s="14" t="s">
        <v>6683</v>
      </c>
    </row>
    <row r="2723" spans="1:15">
      <c r="A2723" s="14" t="s">
        <v>12970</v>
      </c>
      <c r="B2723" s="14">
        <v>4870.859927</v>
      </c>
      <c r="C2723" s="14">
        <v>6665.159573</v>
      </c>
      <c r="D2723" s="14">
        <v>3076.560281</v>
      </c>
      <c r="E2723" s="14">
        <v>0.461601015</v>
      </c>
      <c r="F2723" s="14">
        <v>-1.115281697</v>
      </c>
      <c r="G2723" s="51" t="s">
        <v>10594</v>
      </c>
      <c r="H2723" s="14">
        <v>0.000390588</v>
      </c>
      <c r="I2723" s="14" t="s">
        <v>147</v>
      </c>
      <c r="J2723" s="14">
        <v>60.22057399</v>
      </c>
      <c r="K2723" s="14">
        <v>79.74102665</v>
      </c>
      <c r="L2723" s="14">
        <v>64.82360168</v>
      </c>
      <c r="M2723" s="14">
        <v>137.2792283</v>
      </c>
      <c r="N2723" s="14">
        <v>137.8414442</v>
      </c>
      <c r="O2723" s="14">
        <v>85.5949382</v>
      </c>
    </row>
    <row r="2724" spans="1:21">
      <c r="A2724" s="14" t="s">
        <v>12971</v>
      </c>
      <c r="B2724" s="14">
        <v>2284.999189</v>
      </c>
      <c r="C2724" s="14">
        <v>3401.383986</v>
      </c>
      <c r="D2724" s="14">
        <v>1168.614392</v>
      </c>
      <c r="E2724" s="14">
        <v>0.343616354</v>
      </c>
      <c r="F2724" s="14">
        <v>-1.541129393</v>
      </c>
      <c r="G2724" s="51" t="s">
        <v>2357</v>
      </c>
      <c r="H2724" s="51" t="s">
        <v>2358</v>
      </c>
      <c r="I2724" s="14" t="s">
        <v>147</v>
      </c>
      <c r="J2724" s="14">
        <v>6.987843785</v>
      </c>
      <c r="K2724" s="14">
        <v>4.940177811</v>
      </c>
      <c r="L2724" s="14">
        <v>7.737477674</v>
      </c>
      <c r="M2724" s="14">
        <v>17.66107348</v>
      </c>
      <c r="N2724" s="14">
        <v>16.92549405</v>
      </c>
      <c r="O2724" s="14">
        <v>11.92652263</v>
      </c>
      <c r="P2724" s="14" t="s">
        <v>12972</v>
      </c>
      <c r="Q2724" s="14" t="s">
        <v>12973</v>
      </c>
      <c r="T2724" s="14" t="s">
        <v>12974</v>
      </c>
      <c r="U2724" s="14" t="s">
        <v>12975</v>
      </c>
    </row>
    <row r="2725" spans="1:21">
      <c r="A2725" s="14" t="s">
        <v>12976</v>
      </c>
      <c r="B2725" s="14">
        <v>9411.37299</v>
      </c>
      <c r="C2725" s="14">
        <v>13047.19512</v>
      </c>
      <c r="D2725" s="14">
        <v>5775.550864</v>
      </c>
      <c r="E2725" s="14">
        <v>0.44265672</v>
      </c>
      <c r="F2725" s="14">
        <v>-1.175739771</v>
      </c>
      <c r="G2725" s="51" t="s">
        <v>12977</v>
      </c>
      <c r="H2725" s="51" t="s">
        <v>12978</v>
      </c>
      <c r="I2725" s="14" t="s">
        <v>147</v>
      </c>
      <c r="J2725" s="14">
        <v>73.87764763</v>
      </c>
      <c r="K2725" s="14">
        <v>84.04935719</v>
      </c>
      <c r="L2725" s="14">
        <v>88.00634707</v>
      </c>
      <c r="M2725" s="14">
        <v>131.5768747</v>
      </c>
      <c r="N2725" s="14">
        <v>142.2897321</v>
      </c>
      <c r="O2725" s="14">
        <v>186.705221</v>
      </c>
      <c r="P2725" s="14" t="s">
        <v>12979</v>
      </c>
      <c r="Q2725" s="14" t="s">
        <v>12980</v>
      </c>
      <c r="T2725" s="14" t="s">
        <v>12981</v>
      </c>
      <c r="U2725" s="14" t="s">
        <v>12982</v>
      </c>
    </row>
    <row r="2726" spans="1:21">
      <c r="A2726" s="14" t="s">
        <v>12983</v>
      </c>
      <c r="B2726" s="14">
        <v>29.74319021</v>
      </c>
      <c r="C2726" s="14">
        <v>43.97635371</v>
      </c>
      <c r="D2726" s="14">
        <v>15.51002671</v>
      </c>
      <c r="E2726" s="14">
        <v>0.351673364</v>
      </c>
      <c r="F2726" s="14">
        <v>-1.507692025</v>
      </c>
      <c r="G2726" s="14">
        <v>0.003934245</v>
      </c>
      <c r="H2726" s="14">
        <v>0.012051711</v>
      </c>
      <c r="I2726" s="14" t="s">
        <v>147</v>
      </c>
      <c r="J2726" s="14">
        <v>0.394022291</v>
      </c>
      <c r="K2726" s="14">
        <v>0.440661339</v>
      </c>
      <c r="L2726" s="14">
        <v>0.18969207</v>
      </c>
      <c r="M2726" s="14">
        <v>0.674246768</v>
      </c>
      <c r="N2726" s="14">
        <v>0.952321266</v>
      </c>
      <c r="O2726" s="14">
        <v>0.769617025</v>
      </c>
      <c r="P2726" s="14" t="s">
        <v>12984</v>
      </c>
      <c r="Q2726" s="14" t="s">
        <v>12985</v>
      </c>
      <c r="T2726" s="14" t="s">
        <v>12986</v>
      </c>
      <c r="U2726" s="14" t="s">
        <v>12987</v>
      </c>
    </row>
    <row r="2727" spans="1:15">
      <c r="A2727" s="14" t="s">
        <v>12988</v>
      </c>
      <c r="B2727" s="14">
        <v>192.4475216</v>
      </c>
      <c r="C2727" s="14">
        <v>82.69939691</v>
      </c>
      <c r="D2727" s="14">
        <v>302.1956463</v>
      </c>
      <c r="E2727" s="14">
        <v>3.647485641</v>
      </c>
      <c r="F2727" s="14">
        <v>1.866902299</v>
      </c>
      <c r="G2727" s="51" t="s">
        <v>12989</v>
      </c>
      <c r="H2727" s="14">
        <v>0.000393545</v>
      </c>
      <c r="I2727" s="14" t="s">
        <v>164</v>
      </c>
      <c r="J2727" s="14">
        <v>10.01985269</v>
      </c>
      <c r="K2727" s="14">
        <v>12.97214584</v>
      </c>
      <c r="L2727" s="14">
        <v>11.08219829</v>
      </c>
      <c r="M2727" s="14">
        <v>1.975917611</v>
      </c>
      <c r="N2727" s="14">
        <v>1.253580534</v>
      </c>
      <c r="O2727" s="14">
        <v>4.677108073</v>
      </c>
    </row>
    <row r="2728" spans="1:21">
      <c r="A2728" s="14" t="s">
        <v>12990</v>
      </c>
      <c r="B2728" s="14">
        <v>89.59160531</v>
      </c>
      <c r="C2728" s="14">
        <v>4.484494532</v>
      </c>
      <c r="D2728" s="14">
        <v>174.6987161</v>
      </c>
      <c r="E2728" s="14">
        <v>39.55994653</v>
      </c>
      <c r="F2728" s="14">
        <v>5.305968571</v>
      </c>
      <c r="G2728" s="51" t="s">
        <v>12991</v>
      </c>
      <c r="H2728" s="51" t="s">
        <v>12992</v>
      </c>
      <c r="I2728" s="14" t="s">
        <v>164</v>
      </c>
      <c r="J2728" s="14">
        <v>4.178548347</v>
      </c>
      <c r="K2728" s="14">
        <v>2.529945956</v>
      </c>
      <c r="L2728" s="14">
        <v>1.741894101</v>
      </c>
      <c r="M2728" s="14">
        <v>0.082187214</v>
      </c>
      <c r="N2728" s="14">
        <v>0.065707396</v>
      </c>
      <c r="O2728" s="14">
        <v>0.026803531</v>
      </c>
      <c r="P2728" s="14" t="s">
        <v>12993</v>
      </c>
      <c r="Q2728" s="14" t="s">
        <v>12994</v>
      </c>
      <c r="T2728" s="14" t="s">
        <v>12995</v>
      </c>
      <c r="U2728" s="14" t="s">
        <v>12996</v>
      </c>
    </row>
    <row r="2729" spans="1:21">
      <c r="A2729" s="14" t="s">
        <v>12997</v>
      </c>
      <c r="B2729" s="14">
        <v>25.4145115</v>
      </c>
      <c r="C2729" s="14">
        <v>0</v>
      </c>
      <c r="D2729" s="14">
        <v>50.82902301</v>
      </c>
      <c r="E2729" s="14">
        <v>274.0500919</v>
      </c>
      <c r="F2729" s="14">
        <v>8.098295808</v>
      </c>
      <c r="G2729" s="51" t="s">
        <v>8468</v>
      </c>
      <c r="H2729" s="51" t="s">
        <v>11644</v>
      </c>
      <c r="I2729" s="14" t="s">
        <v>164</v>
      </c>
      <c r="J2729" s="14">
        <v>0.499677829</v>
      </c>
      <c r="K2729" s="14">
        <v>1.057464977</v>
      </c>
      <c r="L2729" s="14">
        <v>0.407096898</v>
      </c>
      <c r="M2729" s="14">
        <v>0</v>
      </c>
      <c r="N2729" s="14">
        <v>0</v>
      </c>
      <c r="O2729" s="14">
        <v>0</v>
      </c>
      <c r="P2729" s="14" t="s">
        <v>12993</v>
      </c>
      <c r="Q2729" s="14" t="s">
        <v>12994</v>
      </c>
      <c r="T2729" s="14" t="s">
        <v>12995</v>
      </c>
      <c r="U2729" s="14" t="s">
        <v>12996</v>
      </c>
    </row>
    <row r="2730" spans="1:21">
      <c r="A2730" s="14" t="s">
        <v>29</v>
      </c>
      <c r="B2730" s="14">
        <v>444.8392457</v>
      </c>
      <c r="C2730" s="14">
        <v>794.9748501</v>
      </c>
      <c r="D2730" s="14">
        <v>94.70364121</v>
      </c>
      <c r="E2730" s="14">
        <v>0.119129957</v>
      </c>
      <c r="F2730" s="14">
        <v>-3.069391849</v>
      </c>
      <c r="G2730" s="14">
        <v>0.000104871</v>
      </c>
      <c r="H2730" s="14">
        <v>0.000493496</v>
      </c>
      <c r="I2730" s="14" t="s">
        <v>147</v>
      </c>
      <c r="J2730" s="14">
        <v>2.48096448</v>
      </c>
      <c r="K2730" s="14">
        <v>7.757150399</v>
      </c>
      <c r="L2730" s="14">
        <v>4.879241368</v>
      </c>
      <c r="M2730" s="14">
        <v>44.7121928</v>
      </c>
      <c r="N2730" s="14">
        <v>50.99862627</v>
      </c>
      <c r="O2730" s="14">
        <v>5.390879309</v>
      </c>
      <c r="P2730" s="14" t="s">
        <v>30</v>
      </c>
      <c r="Q2730" s="14" t="s">
        <v>12998</v>
      </c>
      <c r="R2730" s="14" t="s">
        <v>341</v>
      </c>
      <c r="S2730" s="14" t="s">
        <v>342</v>
      </c>
      <c r="T2730" s="14" t="s">
        <v>12999</v>
      </c>
      <c r="U2730" s="14" t="s">
        <v>13000</v>
      </c>
    </row>
    <row r="2731" spans="1:15">
      <c r="A2731" s="14" t="s">
        <v>13001</v>
      </c>
      <c r="B2731" s="14">
        <v>2038.976413</v>
      </c>
      <c r="C2731" s="14">
        <v>2927.049472</v>
      </c>
      <c r="D2731" s="14">
        <v>1150.903354</v>
      </c>
      <c r="E2731" s="14">
        <v>0.393176388</v>
      </c>
      <c r="F2731" s="14">
        <v>-1.34675141</v>
      </c>
      <c r="G2731" s="51" t="s">
        <v>13002</v>
      </c>
      <c r="H2731" s="51" t="s">
        <v>13003</v>
      </c>
      <c r="I2731" s="14" t="s">
        <v>147</v>
      </c>
      <c r="J2731" s="14">
        <v>10.62873405</v>
      </c>
      <c r="K2731" s="14">
        <v>11.60413975</v>
      </c>
      <c r="L2731" s="14">
        <v>9.428467611</v>
      </c>
      <c r="M2731" s="14">
        <v>23.24425914</v>
      </c>
      <c r="N2731" s="14">
        <v>20.71044084</v>
      </c>
      <c r="O2731" s="14">
        <v>22.285131</v>
      </c>
    </row>
    <row r="2732" spans="1:15">
      <c r="A2732" s="14" t="s">
        <v>13004</v>
      </c>
      <c r="B2732" s="14">
        <v>28.10468375</v>
      </c>
      <c r="C2732" s="14">
        <v>10.51483992</v>
      </c>
      <c r="D2732" s="14">
        <v>45.69452758</v>
      </c>
      <c r="E2732" s="14">
        <v>4.309550648</v>
      </c>
      <c r="F2732" s="14">
        <v>2.107537449</v>
      </c>
      <c r="G2732" s="14">
        <v>0.017194203</v>
      </c>
      <c r="H2732" s="14">
        <v>0.042800493</v>
      </c>
      <c r="I2732" s="14" t="s">
        <v>164</v>
      </c>
      <c r="J2732" s="14">
        <v>1.133241309</v>
      </c>
      <c r="K2732" s="14">
        <v>2.350412226</v>
      </c>
      <c r="L2732" s="14">
        <v>1.256465114</v>
      </c>
      <c r="M2732" s="14">
        <v>0.058763349</v>
      </c>
      <c r="N2732" s="14">
        <v>0.1973176</v>
      </c>
      <c r="O2732" s="14">
        <v>0.689916908</v>
      </c>
    </row>
    <row r="2733" spans="1:15">
      <c r="A2733" s="14" t="s">
        <v>13005</v>
      </c>
      <c r="B2733" s="14">
        <v>441.97726</v>
      </c>
      <c r="C2733" s="14">
        <v>248.5745721</v>
      </c>
      <c r="D2733" s="14">
        <v>635.3799479</v>
      </c>
      <c r="E2733" s="14">
        <v>2.554263274</v>
      </c>
      <c r="F2733" s="14">
        <v>1.352907235</v>
      </c>
      <c r="G2733" s="51" t="s">
        <v>13006</v>
      </c>
      <c r="H2733" s="51" t="s">
        <v>11022</v>
      </c>
      <c r="I2733" s="14" t="s">
        <v>164</v>
      </c>
      <c r="J2733" s="14">
        <v>19.77537881</v>
      </c>
      <c r="K2733" s="14">
        <v>27.79055213</v>
      </c>
      <c r="L2733" s="14">
        <v>18.15126732</v>
      </c>
      <c r="M2733" s="14">
        <v>6.03020782</v>
      </c>
      <c r="N2733" s="14">
        <v>6.683950988</v>
      </c>
      <c r="O2733" s="14">
        <v>8.649300894</v>
      </c>
    </row>
    <row r="2734" spans="1:21">
      <c r="A2734" s="14" t="s">
        <v>13007</v>
      </c>
      <c r="B2734" s="14">
        <v>47.1570406</v>
      </c>
      <c r="C2734" s="14">
        <v>84.12873117</v>
      </c>
      <c r="D2734" s="14">
        <v>10.18535004</v>
      </c>
      <c r="E2734" s="14">
        <v>0.12054932</v>
      </c>
      <c r="F2734" s="14">
        <v>-3.052304583</v>
      </c>
      <c r="G2734" s="51" t="s">
        <v>13008</v>
      </c>
      <c r="H2734" s="51" t="s">
        <v>13009</v>
      </c>
      <c r="I2734" s="14" t="s">
        <v>147</v>
      </c>
      <c r="J2734" s="14">
        <v>0.165495066</v>
      </c>
      <c r="K2734" s="14">
        <v>0.181718975</v>
      </c>
      <c r="L2734" s="14">
        <v>0.115888605</v>
      </c>
      <c r="M2734" s="14">
        <v>0.772345646</v>
      </c>
      <c r="N2734" s="14">
        <v>1.012664405</v>
      </c>
      <c r="O2734" s="14">
        <v>1.41054673</v>
      </c>
      <c r="P2734" s="14" t="s">
        <v>13010</v>
      </c>
      <c r="Q2734" s="14" t="s">
        <v>13011</v>
      </c>
      <c r="T2734" s="14" t="s">
        <v>13012</v>
      </c>
      <c r="U2734" s="14" t="s">
        <v>13013</v>
      </c>
    </row>
    <row r="2735" spans="1:21">
      <c r="A2735" s="14" t="s">
        <v>13014</v>
      </c>
      <c r="B2735" s="14">
        <v>208.7652251</v>
      </c>
      <c r="C2735" s="14">
        <v>92.36031469</v>
      </c>
      <c r="D2735" s="14">
        <v>325.1701355</v>
      </c>
      <c r="E2735" s="14">
        <v>3.523668722</v>
      </c>
      <c r="F2735" s="14">
        <v>1.817078295</v>
      </c>
      <c r="G2735" s="51" t="s">
        <v>13015</v>
      </c>
      <c r="H2735" s="51" t="s">
        <v>13016</v>
      </c>
      <c r="I2735" s="14" t="s">
        <v>164</v>
      </c>
      <c r="J2735" s="14">
        <v>4.249145359</v>
      </c>
      <c r="K2735" s="14">
        <v>2.859622619</v>
      </c>
      <c r="L2735" s="14">
        <v>5.195094912</v>
      </c>
      <c r="M2735" s="14">
        <v>0.842252651</v>
      </c>
      <c r="N2735" s="14">
        <v>1.196719581</v>
      </c>
      <c r="O2735" s="14">
        <v>0.813614915</v>
      </c>
      <c r="P2735" s="14" t="s">
        <v>13017</v>
      </c>
      <c r="Q2735" s="14" t="s">
        <v>13018</v>
      </c>
      <c r="T2735" s="14" t="s">
        <v>195</v>
      </c>
      <c r="U2735" s="14" t="s">
        <v>196</v>
      </c>
    </row>
    <row r="2736" spans="1:15">
      <c r="A2736" s="14" t="s">
        <v>13019</v>
      </c>
      <c r="B2736" s="14">
        <v>27.09846101</v>
      </c>
      <c r="C2736" s="14">
        <v>44.46054734</v>
      </c>
      <c r="D2736" s="14">
        <v>9.736374691</v>
      </c>
      <c r="E2736" s="14">
        <v>0.219569072</v>
      </c>
      <c r="F2736" s="14">
        <v>-2.187253242</v>
      </c>
      <c r="G2736" s="14">
        <v>0.001191203</v>
      </c>
      <c r="H2736" s="14">
        <v>0.004269754</v>
      </c>
      <c r="I2736" s="14" t="s">
        <v>147</v>
      </c>
      <c r="J2736" s="14">
        <v>1.00409062</v>
      </c>
      <c r="K2736" s="14">
        <v>0.20212944</v>
      </c>
      <c r="L2736" s="14">
        <v>0.773430471</v>
      </c>
      <c r="M2736" s="14">
        <v>2.749102763</v>
      </c>
      <c r="N2736" s="14">
        <v>2.63743773</v>
      </c>
      <c r="O2736" s="14">
        <v>1.961222129</v>
      </c>
    </row>
    <row r="2737" spans="1:21">
      <c r="A2737" s="14" t="s">
        <v>13020</v>
      </c>
      <c r="B2737" s="14">
        <v>307.2387388</v>
      </c>
      <c r="C2737" s="14">
        <v>131.7535297</v>
      </c>
      <c r="D2737" s="14">
        <v>482.7239478</v>
      </c>
      <c r="E2737" s="14">
        <v>3.663754247</v>
      </c>
      <c r="F2737" s="14">
        <v>1.873322735</v>
      </c>
      <c r="G2737" s="51" t="s">
        <v>750</v>
      </c>
      <c r="H2737" s="51" t="s">
        <v>751</v>
      </c>
      <c r="I2737" s="14" t="s">
        <v>164</v>
      </c>
      <c r="J2737" s="14">
        <v>8.582726835</v>
      </c>
      <c r="K2737" s="14">
        <v>8.159995666</v>
      </c>
      <c r="L2737" s="14">
        <v>13.580631</v>
      </c>
      <c r="M2737" s="14">
        <v>2.229542857</v>
      </c>
      <c r="N2737" s="14">
        <v>1.884341005</v>
      </c>
      <c r="O2737" s="14">
        <v>2.718028058</v>
      </c>
      <c r="P2737" s="14" t="s">
        <v>13021</v>
      </c>
      <c r="Q2737" s="14" t="s">
        <v>13022</v>
      </c>
      <c r="T2737" s="14" t="s">
        <v>13023</v>
      </c>
      <c r="U2737" s="14" t="s">
        <v>13024</v>
      </c>
    </row>
    <row r="2738" spans="1:21">
      <c r="A2738" s="14" t="s">
        <v>13025</v>
      </c>
      <c r="B2738" s="14">
        <v>6398.028063</v>
      </c>
      <c r="C2738" s="14">
        <v>4005.963561</v>
      </c>
      <c r="D2738" s="14">
        <v>8790.092565</v>
      </c>
      <c r="E2738" s="14">
        <v>2.19411499</v>
      </c>
      <c r="F2738" s="14">
        <v>1.133639137</v>
      </c>
      <c r="G2738" s="14">
        <v>0.00240171</v>
      </c>
      <c r="H2738" s="14">
        <v>0.007852729</v>
      </c>
      <c r="I2738" s="14" t="s">
        <v>164</v>
      </c>
      <c r="J2738" s="14">
        <v>196.2144981</v>
      </c>
      <c r="K2738" s="14">
        <v>224.128731</v>
      </c>
      <c r="L2738" s="14">
        <v>260.9996062</v>
      </c>
      <c r="M2738" s="14">
        <v>51.97173702</v>
      </c>
      <c r="N2738" s="14">
        <v>61.5284539</v>
      </c>
      <c r="O2738" s="14">
        <v>149.0136987</v>
      </c>
      <c r="P2738" s="14" t="s">
        <v>13026</v>
      </c>
      <c r="Q2738" s="14" t="s">
        <v>13027</v>
      </c>
      <c r="T2738" s="14" t="s">
        <v>13028</v>
      </c>
      <c r="U2738" s="14" t="s">
        <v>13029</v>
      </c>
    </row>
    <row r="2739" spans="1:21">
      <c r="A2739" s="14" t="s">
        <v>13030</v>
      </c>
      <c r="B2739" s="14">
        <v>1913.314575</v>
      </c>
      <c r="C2739" s="14">
        <v>2753.294778</v>
      </c>
      <c r="D2739" s="14">
        <v>1073.334373</v>
      </c>
      <c r="E2739" s="14">
        <v>0.389866593</v>
      </c>
      <c r="F2739" s="14">
        <v>-1.358947557</v>
      </c>
      <c r="G2739" s="51" t="s">
        <v>5950</v>
      </c>
      <c r="H2739" s="51" t="s">
        <v>6811</v>
      </c>
      <c r="I2739" s="14" t="s">
        <v>147</v>
      </c>
      <c r="J2739" s="14">
        <v>17.64314946</v>
      </c>
      <c r="K2739" s="14">
        <v>19.59191576</v>
      </c>
      <c r="L2739" s="14">
        <v>17.57235912</v>
      </c>
      <c r="M2739" s="14">
        <v>40.81237982</v>
      </c>
      <c r="N2739" s="14">
        <v>41.45296035</v>
      </c>
      <c r="O2739" s="14">
        <v>32.65856897</v>
      </c>
      <c r="P2739" s="14" t="s">
        <v>13031</v>
      </c>
      <c r="Q2739" s="14" t="s">
        <v>13032</v>
      </c>
      <c r="T2739" s="14" t="s">
        <v>13033</v>
      </c>
      <c r="U2739" s="14" t="s">
        <v>13034</v>
      </c>
    </row>
    <row r="2740" spans="1:21">
      <c r="A2740" s="14" t="s">
        <v>13035</v>
      </c>
      <c r="B2740" s="14">
        <v>463.5994994</v>
      </c>
      <c r="C2740" s="14">
        <v>649.0111395</v>
      </c>
      <c r="D2740" s="14">
        <v>278.1878593</v>
      </c>
      <c r="E2740" s="14">
        <v>0.428613795</v>
      </c>
      <c r="F2740" s="14">
        <v>-1.222249811</v>
      </c>
      <c r="G2740" s="51" t="s">
        <v>13036</v>
      </c>
      <c r="H2740" s="51" t="s">
        <v>13037</v>
      </c>
      <c r="I2740" s="14" t="s">
        <v>147</v>
      </c>
      <c r="J2740" s="14">
        <v>1.655723078</v>
      </c>
      <c r="K2740" s="14">
        <v>1.989703067</v>
      </c>
      <c r="L2740" s="14">
        <v>1.654828461</v>
      </c>
      <c r="M2740" s="14">
        <v>3.350351897</v>
      </c>
      <c r="N2740" s="14">
        <v>3.498484458</v>
      </c>
      <c r="O2740" s="14">
        <v>3.314818003</v>
      </c>
      <c r="P2740" s="14" t="s">
        <v>12234</v>
      </c>
      <c r="Q2740" s="14" t="s">
        <v>12235</v>
      </c>
      <c r="T2740" s="14" t="s">
        <v>12236</v>
      </c>
      <c r="U2740" s="14" t="s">
        <v>12237</v>
      </c>
    </row>
    <row r="2741" spans="1:21">
      <c r="A2741" s="14" t="s">
        <v>13038</v>
      </c>
      <c r="B2741" s="14">
        <v>12.26196533</v>
      </c>
      <c r="C2741" s="14">
        <v>4.470513209</v>
      </c>
      <c r="D2741" s="14">
        <v>20.05341746</v>
      </c>
      <c r="E2741" s="14">
        <v>4.522853923</v>
      </c>
      <c r="F2741" s="14">
        <v>2.177233401</v>
      </c>
      <c r="G2741" s="14">
        <v>0.01507222</v>
      </c>
      <c r="H2741" s="14">
        <v>0.038234329</v>
      </c>
      <c r="I2741" s="14" t="s">
        <v>164</v>
      </c>
      <c r="J2741" s="14">
        <v>0.548062533</v>
      </c>
      <c r="K2741" s="14">
        <v>0.551641309</v>
      </c>
      <c r="L2741" s="14">
        <v>0.344153283</v>
      </c>
      <c r="M2741" s="14">
        <v>0.1631024</v>
      </c>
      <c r="N2741" s="14">
        <v>0.019559674</v>
      </c>
      <c r="O2741" s="14">
        <v>0.079788327</v>
      </c>
      <c r="P2741" s="14" t="s">
        <v>12234</v>
      </c>
      <c r="Q2741" s="14" t="s">
        <v>12235</v>
      </c>
      <c r="T2741" s="14" t="s">
        <v>12236</v>
      </c>
      <c r="U2741" s="14" t="s">
        <v>12237</v>
      </c>
    </row>
    <row r="2742" spans="1:21">
      <c r="A2742" s="14" t="s">
        <v>13039</v>
      </c>
      <c r="B2742" s="14">
        <v>2157.794727</v>
      </c>
      <c r="C2742" s="14">
        <v>1390.552142</v>
      </c>
      <c r="D2742" s="14">
        <v>2925.037312</v>
      </c>
      <c r="E2742" s="14">
        <v>2.103962678</v>
      </c>
      <c r="F2742" s="14">
        <v>1.073109113</v>
      </c>
      <c r="G2742" s="51" t="s">
        <v>3718</v>
      </c>
      <c r="H2742" s="51" t="s">
        <v>3719</v>
      </c>
      <c r="I2742" s="14" t="s">
        <v>164</v>
      </c>
      <c r="J2742" s="14">
        <v>23.79031717</v>
      </c>
      <c r="K2742" s="14">
        <v>21.35757448</v>
      </c>
      <c r="L2742" s="14">
        <v>23.27823146</v>
      </c>
      <c r="M2742" s="14">
        <v>9.12368533</v>
      </c>
      <c r="N2742" s="14">
        <v>10.21722359</v>
      </c>
      <c r="O2742" s="14">
        <v>7.200635283</v>
      </c>
      <c r="P2742" s="14" t="s">
        <v>13040</v>
      </c>
      <c r="Q2742" s="14" t="s">
        <v>13041</v>
      </c>
      <c r="R2742" s="14" t="s">
        <v>5178</v>
      </c>
      <c r="S2742" s="14" t="s">
        <v>5179</v>
      </c>
      <c r="T2742" s="14" t="s">
        <v>13042</v>
      </c>
      <c r="U2742" s="14" t="s">
        <v>13043</v>
      </c>
    </row>
    <row r="2743" spans="1:21">
      <c r="A2743" s="14" t="s">
        <v>13044</v>
      </c>
      <c r="B2743" s="14">
        <v>961.3862008</v>
      </c>
      <c r="C2743" s="14">
        <v>1453.130953</v>
      </c>
      <c r="D2743" s="14">
        <v>469.6414482</v>
      </c>
      <c r="E2743" s="14">
        <v>0.323197656</v>
      </c>
      <c r="F2743" s="14">
        <v>-1.629511361</v>
      </c>
      <c r="G2743" s="51" t="s">
        <v>13045</v>
      </c>
      <c r="H2743" s="51" t="s">
        <v>13046</v>
      </c>
      <c r="I2743" s="14" t="s">
        <v>147</v>
      </c>
      <c r="J2743" s="14">
        <v>5.13492227</v>
      </c>
      <c r="K2743" s="14">
        <v>8.206398089</v>
      </c>
      <c r="L2743" s="14">
        <v>5.208348614</v>
      </c>
      <c r="M2743" s="14">
        <v>17.90902412</v>
      </c>
      <c r="N2743" s="14">
        <v>18.58656833</v>
      </c>
      <c r="O2743" s="14">
        <v>10.11719559</v>
      </c>
      <c r="P2743" s="14" t="s">
        <v>13047</v>
      </c>
      <c r="Q2743" s="14" t="s">
        <v>13048</v>
      </c>
      <c r="T2743" s="14" t="s">
        <v>13049</v>
      </c>
      <c r="U2743" s="14" t="s">
        <v>13050</v>
      </c>
    </row>
    <row r="2744" spans="1:15">
      <c r="A2744" s="14" t="s">
        <v>13051</v>
      </c>
      <c r="B2744" s="14">
        <v>318.8260972</v>
      </c>
      <c r="C2744" s="14">
        <v>207.6782534</v>
      </c>
      <c r="D2744" s="14">
        <v>429.973941</v>
      </c>
      <c r="E2744" s="14">
        <v>2.067883564</v>
      </c>
      <c r="F2744" s="14">
        <v>1.048154954</v>
      </c>
      <c r="G2744" s="51" t="s">
        <v>7663</v>
      </c>
      <c r="H2744" s="51" t="s">
        <v>13052</v>
      </c>
      <c r="I2744" s="14" t="s">
        <v>164</v>
      </c>
      <c r="J2744" s="14">
        <v>5.58209951</v>
      </c>
      <c r="K2744" s="14">
        <v>5.046750566</v>
      </c>
      <c r="L2744" s="14">
        <v>5.457958207</v>
      </c>
      <c r="M2744" s="14">
        <v>1.616659864</v>
      </c>
      <c r="N2744" s="14">
        <v>2.280872368</v>
      </c>
      <c r="O2744" s="14">
        <v>2.54314625</v>
      </c>
    </row>
    <row r="2745" spans="1:15">
      <c r="A2745" s="14" t="s">
        <v>13053</v>
      </c>
      <c r="B2745" s="14">
        <v>1487.188693</v>
      </c>
      <c r="C2745" s="14">
        <v>2083.449887</v>
      </c>
      <c r="D2745" s="14">
        <v>890.9275</v>
      </c>
      <c r="E2745" s="14">
        <v>0.427670879</v>
      </c>
      <c r="F2745" s="14">
        <v>-1.225427119</v>
      </c>
      <c r="G2745" s="51" t="s">
        <v>13054</v>
      </c>
      <c r="H2745" s="51" t="s">
        <v>13055</v>
      </c>
      <c r="I2745" s="14" t="s">
        <v>147</v>
      </c>
      <c r="J2745" s="14">
        <v>11.12899456</v>
      </c>
      <c r="K2745" s="14">
        <v>11.16489849</v>
      </c>
      <c r="L2745" s="14">
        <v>10.55141305</v>
      </c>
      <c r="M2745" s="14">
        <v>22.00248503</v>
      </c>
      <c r="N2745" s="14">
        <v>20.53907529</v>
      </c>
      <c r="O2745" s="14">
        <v>20.52798351</v>
      </c>
    </row>
    <row r="2746" spans="1:21">
      <c r="A2746" s="14" t="s">
        <v>13056</v>
      </c>
      <c r="B2746" s="14">
        <v>5923.007778</v>
      </c>
      <c r="C2746" s="14">
        <v>8811.591263</v>
      </c>
      <c r="D2746" s="14">
        <v>3034.424293</v>
      </c>
      <c r="E2746" s="14">
        <v>0.344373821</v>
      </c>
      <c r="F2746" s="14">
        <v>-1.537952619</v>
      </c>
      <c r="G2746" s="51" t="s">
        <v>3454</v>
      </c>
      <c r="H2746" s="51" t="s">
        <v>2842</v>
      </c>
      <c r="I2746" s="14" t="s">
        <v>147</v>
      </c>
      <c r="J2746" s="14">
        <v>13.05233706</v>
      </c>
      <c r="K2746" s="14">
        <v>13.38371398</v>
      </c>
      <c r="L2746" s="14">
        <v>11.62956708</v>
      </c>
      <c r="M2746" s="14">
        <v>34.0947746</v>
      </c>
      <c r="N2746" s="14">
        <v>34.53012883</v>
      </c>
      <c r="O2746" s="14">
        <v>21.238072</v>
      </c>
      <c r="P2746" s="14" t="s">
        <v>13057</v>
      </c>
      <c r="Q2746" s="14" t="s">
        <v>13058</v>
      </c>
      <c r="T2746" s="14" t="s">
        <v>13059</v>
      </c>
      <c r="U2746" s="14" t="s">
        <v>13060</v>
      </c>
    </row>
    <row r="2747" spans="1:21">
      <c r="A2747" s="14" t="s">
        <v>13061</v>
      </c>
      <c r="B2747" s="14">
        <v>545.1133753</v>
      </c>
      <c r="C2747" s="14">
        <v>746.2074199</v>
      </c>
      <c r="D2747" s="14">
        <v>344.0193308</v>
      </c>
      <c r="E2747" s="14">
        <v>0.461124429</v>
      </c>
      <c r="F2747" s="14">
        <v>-1.116771997</v>
      </c>
      <c r="G2747" s="14">
        <v>0.000389869</v>
      </c>
      <c r="H2747" s="14">
        <v>0.001596492</v>
      </c>
      <c r="I2747" s="14" t="s">
        <v>147</v>
      </c>
      <c r="J2747" s="14">
        <v>1.472275925</v>
      </c>
      <c r="K2747" s="14">
        <v>1.51351539</v>
      </c>
      <c r="L2747" s="14">
        <v>1.694181031</v>
      </c>
      <c r="M2747" s="14">
        <v>2.450214647</v>
      </c>
      <c r="N2747" s="14">
        <v>3.817108007</v>
      </c>
      <c r="O2747" s="14">
        <v>1.995202487</v>
      </c>
      <c r="P2747" s="14" t="s">
        <v>13062</v>
      </c>
      <c r="Q2747" s="14" t="s">
        <v>13063</v>
      </c>
      <c r="T2747" s="14" t="s">
        <v>13064</v>
      </c>
      <c r="U2747" s="14" t="s">
        <v>13065</v>
      </c>
    </row>
    <row r="2748" spans="1:21">
      <c r="A2748" s="14" t="s">
        <v>13066</v>
      </c>
      <c r="B2748" s="14">
        <v>518.5209643</v>
      </c>
      <c r="C2748" s="14">
        <v>887.2834709</v>
      </c>
      <c r="D2748" s="14">
        <v>149.7584577</v>
      </c>
      <c r="E2748" s="14">
        <v>0.168795717</v>
      </c>
      <c r="F2748" s="14">
        <v>-2.566649797</v>
      </c>
      <c r="G2748" s="51" t="s">
        <v>13067</v>
      </c>
      <c r="H2748" s="51" t="s">
        <v>13068</v>
      </c>
      <c r="I2748" s="14" t="s">
        <v>147</v>
      </c>
      <c r="J2748" s="14">
        <v>1.138440773</v>
      </c>
      <c r="K2748" s="14">
        <v>2.106226725</v>
      </c>
      <c r="L2748" s="14">
        <v>1.670319326</v>
      </c>
      <c r="M2748" s="14">
        <v>8.126309048</v>
      </c>
      <c r="N2748" s="14">
        <v>11.49854747</v>
      </c>
      <c r="O2748" s="14">
        <v>3.884561497</v>
      </c>
      <c r="P2748" s="14" t="s">
        <v>13069</v>
      </c>
      <c r="Q2748" s="14" t="s">
        <v>13070</v>
      </c>
      <c r="R2748" s="14" t="s">
        <v>9480</v>
      </c>
      <c r="S2748" s="14" t="s">
        <v>9481</v>
      </c>
      <c r="T2748" s="14" t="s">
        <v>13071</v>
      </c>
      <c r="U2748" s="14" t="s">
        <v>13072</v>
      </c>
    </row>
    <row r="2749" spans="1:21">
      <c r="A2749" s="14" t="s">
        <v>13073</v>
      </c>
      <c r="B2749" s="14">
        <v>17.82064843</v>
      </c>
      <c r="C2749" s="14">
        <v>7.152517185</v>
      </c>
      <c r="D2749" s="14">
        <v>28.48877967</v>
      </c>
      <c r="E2749" s="14">
        <v>4.001984189</v>
      </c>
      <c r="F2749" s="14">
        <v>2.000715468</v>
      </c>
      <c r="G2749" s="14">
        <v>0.014774744</v>
      </c>
      <c r="H2749" s="14">
        <v>0.037624855</v>
      </c>
      <c r="I2749" s="14" t="s">
        <v>164</v>
      </c>
      <c r="J2749" s="14">
        <v>0.653606158</v>
      </c>
      <c r="K2749" s="14">
        <v>0.148021677</v>
      </c>
      <c r="L2749" s="14">
        <v>0.613591213</v>
      </c>
      <c r="M2749" s="14">
        <v>0.111844393</v>
      </c>
      <c r="N2749" s="14">
        <v>0.107301417</v>
      </c>
      <c r="O2749" s="14">
        <v>0.068391675</v>
      </c>
      <c r="P2749" s="14" t="s">
        <v>13074</v>
      </c>
      <c r="Q2749" s="14" t="s">
        <v>13075</v>
      </c>
      <c r="T2749" s="14" t="s">
        <v>3145</v>
      </c>
      <c r="U2749" s="14" t="s">
        <v>3146</v>
      </c>
    </row>
    <row r="2750" spans="1:21">
      <c r="A2750" s="14" t="s">
        <v>13076</v>
      </c>
      <c r="B2750" s="14">
        <v>7608.841603</v>
      </c>
      <c r="C2750" s="14">
        <v>11459.22528</v>
      </c>
      <c r="D2750" s="14">
        <v>3758.457929</v>
      </c>
      <c r="E2750" s="14">
        <v>0.327997539</v>
      </c>
      <c r="F2750" s="14">
        <v>-1.608243104</v>
      </c>
      <c r="G2750" s="51" t="s">
        <v>13077</v>
      </c>
      <c r="H2750" s="51" t="s">
        <v>13078</v>
      </c>
      <c r="I2750" s="14" t="s">
        <v>147</v>
      </c>
      <c r="J2750" s="14">
        <v>40.50677334</v>
      </c>
      <c r="K2750" s="14">
        <v>38.59983407</v>
      </c>
      <c r="L2750" s="14">
        <v>43.13567314</v>
      </c>
      <c r="M2750" s="14">
        <v>113.642047</v>
      </c>
      <c r="N2750" s="14">
        <v>111.4752843</v>
      </c>
      <c r="O2750" s="14">
        <v>78.23863486</v>
      </c>
      <c r="P2750" s="14" t="s">
        <v>13079</v>
      </c>
      <c r="Q2750" s="14" t="s">
        <v>13080</v>
      </c>
      <c r="T2750" s="14" t="s">
        <v>13081</v>
      </c>
      <c r="U2750" s="14" t="s">
        <v>13082</v>
      </c>
    </row>
    <row r="2751" spans="1:21">
      <c r="A2751" s="14" t="s">
        <v>13083</v>
      </c>
      <c r="B2751" s="14">
        <v>384.475167</v>
      </c>
      <c r="C2751" s="14">
        <v>25.92305886</v>
      </c>
      <c r="D2751" s="14">
        <v>743.0272751</v>
      </c>
      <c r="E2751" s="14">
        <v>28.50914569</v>
      </c>
      <c r="F2751" s="14">
        <v>4.833352903</v>
      </c>
      <c r="G2751" s="51" t="s">
        <v>13084</v>
      </c>
      <c r="H2751" s="51" t="s">
        <v>13085</v>
      </c>
      <c r="I2751" s="14" t="s">
        <v>164</v>
      </c>
      <c r="J2751" s="14">
        <v>10.8468222</v>
      </c>
      <c r="K2751" s="14">
        <v>5.201795376</v>
      </c>
      <c r="L2751" s="14">
        <v>11.39223376</v>
      </c>
      <c r="M2751" s="14">
        <v>0.104041296</v>
      </c>
      <c r="N2751" s="14">
        <v>0.119778326</v>
      </c>
      <c r="O2751" s="14">
        <v>0.600574334</v>
      </c>
      <c r="P2751" s="14" t="s">
        <v>13086</v>
      </c>
      <c r="Q2751" s="14" t="s">
        <v>13087</v>
      </c>
      <c r="R2751" s="14" t="s">
        <v>4179</v>
      </c>
      <c r="S2751" s="14" t="s">
        <v>4180</v>
      </c>
      <c r="T2751" s="14" t="s">
        <v>13088</v>
      </c>
      <c r="U2751" s="14" t="s">
        <v>13089</v>
      </c>
    </row>
    <row r="2752" spans="1:21">
      <c r="A2752" s="14" t="s">
        <v>13090</v>
      </c>
      <c r="B2752" s="14">
        <v>2443.787301</v>
      </c>
      <c r="C2752" s="14">
        <v>1605.320635</v>
      </c>
      <c r="D2752" s="14">
        <v>3282.253967</v>
      </c>
      <c r="E2752" s="14">
        <v>2.044662151</v>
      </c>
      <c r="F2752" s="14">
        <v>1.031862479</v>
      </c>
      <c r="G2752" s="14">
        <v>0.011310811</v>
      </c>
      <c r="H2752" s="14">
        <v>0.030008859</v>
      </c>
      <c r="I2752" s="14" t="s">
        <v>164</v>
      </c>
      <c r="J2752" s="14">
        <v>75.14822268</v>
      </c>
      <c r="K2752" s="14">
        <v>42.97202088</v>
      </c>
      <c r="L2752" s="14">
        <v>25.60819789</v>
      </c>
      <c r="M2752" s="14">
        <v>20.37335458</v>
      </c>
      <c r="N2752" s="14">
        <v>20.81950698</v>
      </c>
      <c r="O2752" s="14">
        <v>16.42465255</v>
      </c>
      <c r="P2752" s="14" t="s">
        <v>13091</v>
      </c>
      <c r="Q2752" s="14" t="s">
        <v>13092</v>
      </c>
      <c r="T2752" s="14" t="s">
        <v>13093</v>
      </c>
      <c r="U2752" s="14" t="s">
        <v>13094</v>
      </c>
    </row>
    <row r="2753" spans="1:21">
      <c r="A2753" s="14" t="s">
        <v>13095</v>
      </c>
      <c r="B2753" s="14">
        <v>3867.1776</v>
      </c>
      <c r="C2753" s="14">
        <v>5602.429205</v>
      </c>
      <c r="D2753" s="14">
        <v>2131.925994</v>
      </c>
      <c r="E2753" s="14">
        <v>0.38056647</v>
      </c>
      <c r="F2753" s="14">
        <v>-1.393779638</v>
      </c>
      <c r="G2753" s="51" t="s">
        <v>13096</v>
      </c>
      <c r="H2753" s="51" t="s">
        <v>2681</v>
      </c>
      <c r="I2753" s="14" t="s">
        <v>147</v>
      </c>
      <c r="J2753" s="14">
        <v>14.53842351</v>
      </c>
      <c r="K2753" s="14">
        <v>16.55223063</v>
      </c>
      <c r="L2753" s="14">
        <v>18.99771036</v>
      </c>
      <c r="M2753" s="14">
        <v>38.76909487</v>
      </c>
      <c r="N2753" s="14">
        <v>39.96149621</v>
      </c>
      <c r="O2753" s="14">
        <v>28.47908893</v>
      </c>
      <c r="P2753" s="14" t="s">
        <v>13097</v>
      </c>
      <c r="Q2753" s="14" t="s">
        <v>13098</v>
      </c>
      <c r="T2753" s="14" t="s">
        <v>4481</v>
      </c>
      <c r="U2753" s="14" t="s">
        <v>4482</v>
      </c>
    </row>
    <row r="2754" spans="1:21">
      <c r="A2754" s="14" t="s">
        <v>13099</v>
      </c>
      <c r="B2754" s="14">
        <v>31.62522834</v>
      </c>
      <c r="C2754" s="14">
        <v>3.09088846</v>
      </c>
      <c r="D2754" s="14">
        <v>60.15956823</v>
      </c>
      <c r="E2754" s="14">
        <v>19.13211712</v>
      </c>
      <c r="F2754" s="14">
        <v>4.257924623</v>
      </c>
      <c r="G2754" s="14">
        <v>0.001975292</v>
      </c>
      <c r="H2754" s="14">
        <v>0.006640098</v>
      </c>
      <c r="I2754" s="14" t="s">
        <v>164</v>
      </c>
      <c r="J2754" s="14">
        <v>1.779487512</v>
      </c>
      <c r="K2754" s="14">
        <v>0.790194412</v>
      </c>
      <c r="L2754" s="14">
        <v>2.217313417</v>
      </c>
      <c r="M2754" s="14">
        <v>0</v>
      </c>
      <c r="N2754" s="14">
        <v>0</v>
      </c>
      <c r="O2754" s="14">
        <v>0.219060019</v>
      </c>
      <c r="P2754" s="14" t="s">
        <v>13100</v>
      </c>
      <c r="Q2754" s="14" t="s">
        <v>13101</v>
      </c>
      <c r="R2754" s="14" t="s">
        <v>13102</v>
      </c>
      <c r="S2754" s="14" t="s">
        <v>13103</v>
      </c>
      <c r="T2754" s="14" t="s">
        <v>13104</v>
      </c>
      <c r="U2754" s="14" t="s">
        <v>13105</v>
      </c>
    </row>
    <row r="2755" spans="1:15">
      <c r="A2755" s="14" t="s">
        <v>13106</v>
      </c>
      <c r="B2755" s="14">
        <v>18.68075832</v>
      </c>
      <c r="C2755" s="14">
        <v>33.70381392</v>
      </c>
      <c r="D2755" s="14">
        <v>3.657702728</v>
      </c>
      <c r="E2755" s="14">
        <v>0.108090362</v>
      </c>
      <c r="F2755" s="14">
        <v>-3.209690211</v>
      </c>
      <c r="G2755" s="14">
        <v>0.004289164</v>
      </c>
      <c r="H2755" s="14">
        <v>0.012953083</v>
      </c>
      <c r="I2755" s="14" t="s">
        <v>147</v>
      </c>
      <c r="J2755" s="14">
        <v>0.332554813</v>
      </c>
      <c r="K2755" s="14">
        <v>0.074383634</v>
      </c>
      <c r="L2755" s="14">
        <v>0</v>
      </c>
      <c r="M2755" s="14">
        <v>1.106513862</v>
      </c>
      <c r="N2755" s="14">
        <v>1.273882424</v>
      </c>
      <c r="O2755" s="14">
        <v>0.680488044</v>
      </c>
    </row>
    <row r="2756" spans="1:21">
      <c r="A2756" s="14" t="s">
        <v>13107</v>
      </c>
      <c r="B2756" s="14">
        <v>47611.22176</v>
      </c>
      <c r="C2756" s="14">
        <v>63512.43482</v>
      </c>
      <c r="D2756" s="14">
        <v>31710.00871</v>
      </c>
      <c r="E2756" s="14">
        <v>0.499274138</v>
      </c>
      <c r="F2756" s="14">
        <v>-1.002095917</v>
      </c>
      <c r="G2756" s="51" t="s">
        <v>13108</v>
      </c>
      <c r="H2756" s="51" t="s">
        <v>13109</v>
      </c>
      <c r="I2756" s="14" t="s">
        <v>147</v>
      </c>
      <c r="J2756" s="14">
        <v>631.6283364</v>
      </c>
      <c r="K2756" s="14">
        <v>723.8147448</v>
      </c>
      <c r="L2756" s="14">
        <v>614.6855852</v>
      </c>
      <c r="M2756" s="14">
        <v>1155.955712</v>
      </c>
      <c r="N2756" s="14">
        <v>1159.50261</v>
      </c>
      <c r="O2756" s="14">
        <v>909.9809182</v>
      </c>
      <c r="P2756" s="14" t="s">
        <v>13110</v>
      </c>
      <c r="Q2756" s="14" t="s">
        <v>13111</v>
      </c>
      <c r="R2756" s="14" t="s">
        <v>2754</v>
      </c>
      <c r="S2756" s="14" t="s">
        <v>2755</v>
      </c>
      <c r="T2756" s="14" t="s">
        <v>13112</v>
      </c>
      <c r="U2756" s="14" t="s">
        <v>13113</v>
      </c>
    </row>
    <row r="2757" spans="1:21">
      <c r="A2757" s="14" t="s">
        <v>13114</v>
      </c>
      <c r="B2757" s="14">
        <v>237.4263512</v>
      </c>
      <c r="C2757" s="14">
        <v>361.8626311</v>
      </c>
      <c r="D2757" s="14">
        <v>112.9900713</v>
      </c>
      <c r="E2757" s="14">
        <v>0.312191201</v>
      </c>
      <c r="F2757" s="14">
        <v>-1.67949822</v>
      </c>
      <c r="G2757" s="51" t="s">
        <v>13115</v>
      </c>
      <c r="H2757" s="51" t="s">
        <v>13116</v>
      </c>
      <c r="I2757" s="14" t="s">
        <v>147</v>
      </c>
      <c r="J2757" s="14">
        <v>1.799745876</v>
      </c>
      <c r="K2757" s="14">
        <v>2.228302828</v>
      </c>
      <c r="L2757" s="14">
        <v>1.410843858</v>
      </c>
      <c r="M2757" s="14">
        <v>5.491688257</v>
      </c>
      <c r="N2757" s="14">
        <v>4.850270722</v>
      </c>
      <c r="O2757" s="14">
        <v>3.893074232</v>
      </c>
      <c r="P2757" s="14" t="s">
        <v>13110</v>
      </c>
      <c r="Q2757" s="14" t="s">
        <v>13111</v>
      </c>
      <c r="R2757" s="14" t="s">
        <v>2754</v>
      </c>
      <c r="S2757" s="14" t="s">
        <v>2755</v>
      </c>
      <c r="T2757" s="14" t="s">
        <v>13112</v>
      </c>
      <c r="U2757" s="14" t="s">
        <v>13113</v>
      </c>
    </row>
    <row r="2758" spans="1:21">
      <c r="A2758" s="14" t="s">
        <v>13117</v>
      </c>
      <c r="B2758" s="14">
        <v>8234.81369</v>
      </c>
      <c r="C2758" s="14">
        <v>11822.07112</v>
      </c>
      <c r="D2758" s="14">
        <v>4647.55626</v>
      </c>
      <c r="E2758" s="14">
        <v>0.393134184</v>
      </c>
      <c r="F2758" s="14">
        <v>-1.346906281</v>
      </c>
      <c r="G2758" s="51" t="s">
        <v>8746</v>
      </c>
      <c r="H2758" s="51" t="s">
        <v>13118</v>
      </c>
      <c r="I2758" s="14" t="s">
        <v>147</v>
      </c>
      <c r="J2758" s="14">
        <v>50.54708409</v>
      </c>
      <c r="K2758" s="14">
        <v>55.21594613</v>
      </c>
      <c r="L2758" s="14">
        <v>50.97506769</v>
      </c>
      <c r="M2758" s="14">
        <v>125.8170304</v>
      </c>
      <c r="N2758" s="14">
        <v>119.2436163</v>
      </c>
      <c r="O2758" s="14">
        <v>79.13396158</v>
      </c>
      <c r="P2758" s="14" t="s">
        <v>13119</v>
      </c>
      <c r="Q2758" s="14" t="s">
        <v>13120</v>
      </c>
      <c r="R2758" s="14" t="s">
        <v>10740</v>
      </c>
      <c r="S2758" s="14" t="s">
        <v>10741</v>
      </c>
      <c r="T2758" s="14" t="s">
        <v>13121</v>
      </c>
      <c r="U2758" s="14" t="s">
        <v>13122</v>
      </c>
    </row>
    <row r="2759" spans="1:15">
      <c r="A2759" s="14" t="s">
        <v>13123</v>
      </c>
      <c r="B2759" s="14">
        <v>7.391265201</v>
      </c>
      <c r="C2759" s="14">
        <v>1.665040349</v>
      </c>
      <c r="D2759" s="14">
        <v>13.11749005</v>
      </c>
      <c r="E2759" s="14">
        <v>7.844638522</v>
      </c>
      <c r="F2759" s="14">
        <v>2.97170697</v>
      </c>
      <c r="G2759" s="14">
        <v>0.012678864</v>
      </c>
      <c r="H2759" s="14">
        <v>0.03302846</v>
      </c>
      <c r="I2759" s="14" t="s">
        <v>164</v>
      </c>
      <c r="J2759" s="14">
        <v>1.249352099</v>
      </c>
      <c r="K2759" s="14">
        <v>1.943424863</v>
      </c>
      <c r="L2759" s="14">
        <v>1.312295962</v>
      </c>
      <c r="M2759" s="14">
        <v>0</v>
      </c>
      <c r="N2759" s="14">
        <v>0.3729164</v>
      </c>
      <c r="O2759" s="14">
        <v>0.09507564</v>
      </c>
    </row>
    <row r="2760" spans="1:21">
      <c r="A2760" s="14" t="s">
        <v>13124</v>
      </c>
      <c r="B2760" s="14">
        <v>1761.779401</v>
      </c>
      <c r="C2760" s="14">
        <v>734.1962162</v>
      </c>
      <c r="D2760" s="14">
        <v>2789.362586</v>
      </c>
      <c r="E2760" s="14">
        <v>3.798488803</v>
      </c>
      <c r="F2760" s="14">
        <v>1.925425569</v>
      </c>
      <c r="G2760" s="14">
        <v>0.008331911</v>
      </c>
      <c r="H2760" s="14">
        <v>0.023056755</v>
      </c>
      <c r="I2760" s="14" t="s">
        <v>164</v>
      </c>
      <c r="J2760" s="14">
        <v>13.96012601</v>
      </c>
      <c r="K2760" s="14">
        <v>8.806439098</v>
      </c>
      <c r="L2760" s="14">
        <v>15.39891512</v>
      </c>
      <c r="M2760" s="14">
        <v>0.863901519</v>
      </c>
      <c r="N2760" s="14">
        <v>0.921312167</v>
      </c>
      <c r="O2760" s="14">
        <v>6.942934144</v>
      </c>
      <c r="P2760" s="14" t="s">
        <v>13125</v>
      </c>
      <c r="Q2760" s="14" t="s">
        <v>13126</v>
      </c>
      <c r="T2760" s="14" t="s">
        <v>13127</v>
      </c>
      <c r="U2760" s="14" t="s">
        <v>13128</v>
      </c>
    </row>
    <row r="2761" spans="1:21">
      <c r="A2761" s="14" t="s">
        <v>13129</v>
      </c>
      <c r="B2761" s="14">
        <v>1784.602583</v>
      </c>
      <c r="C2761" s="14">
        <v>2619.447939</v>
      </c>
      <c r="D2761" s="14">
        <v>949.7572279</v>
      </c>
      <c r="E2761" s="14">
        <v>0.362574287</v>
      </c>
      <c r="F2761" s="14">
        <v>-1.463651477</v>
      </c>
      <c r="G2761" s="14">
        <v>0.000376581</v>
      </c>
      <c r="H2761" s="14">
        <v>0.001548404</v>
      </c>
      <c r="I2761" s="14" t="s">
        <v>147</v>
      </c>
      <c r="J2761" s="14">
        <v>9.357400092</v>
      </c>
      <c r="K2761" s="14">
        <v>23.55411859</v>
      </c>
      <c r="L2761" s="14">
        <v>11.89770621</v>
      </c>
      <c r="M2761" s="14">
        <v>38.86788103</v>
      </c>
      <c r="N2761" s="14">
        <v>36.84031449</v>
      </c>
      <c r="O2761" s="14">
        <v>25.09460944</v>
      </c>
      <c r="P2761" s="14" t="s">
        <v>13130</v>
      </c>
      <c r="Q2761" s="14" t="s">
        <v>13131</v>
      </c>
      <c r="T2761" s="14" t="s">
        <v>1864</v>
      </c>
      <c r="U2761" s="14" t="s">
        <v>1865</v>
      </c>
    </row>
    <row r="2762" spans="1:21">
      <c r="A2762" s="14" t="s">
        <v>13132</v>
      </c>
      <c r="B2762" s="14">
        <v>60.04584969</v>
      </c>
      <c r="C2762" s="14">
        <v>23.85261017</v>
      </c>
      <c r="D2762" s="14">
        <v>96.23908921</v>
      </c>
      <c r="E2762" s="14">
        <v>4.034473308</v>
      </c>
      <c r="F2762" s="14">
        <v>2.012380345</v>
      </c>
      <c r="G2762" s="51" t="s">
        <v>10930</v>
      </c>
      <c r="H2762" s="51" t="s">
        <v>13133</v>
      </c>
      <c r="I2762" s="14" t="s">
        <v>164</v>
      </c>
      <c r="J2762" s="14">
        <v>1.195889171</v>
      </c>
      <c r="K2762" s="14">
        <v>1.437068226</v>
      </c>
      <c r="L2762" s="14">
        <v>0.916469131</v>
      </c>
      <c r="M2762" s="14">
        <v>0.18793404</v>
      </c>
      <c r="N2762" s="14">
        <v>0.320534044</v>
      </c>
      <c r="O2762" s="14">
        <v>0.214516767</v>
      </c>
      <c r="P2762" s="14" t="s">
        <v>1862</v>
      </c>
      <c r="Q2762" s="14" t="s">
        <v>1863</v>
      </c>
      <c r="T2762" s="14" t="s">
        <v>1864</v>
      </c>
      <c r="U2762" s="14" t="s">
        <v>1865</v>
      </c>
    </row>
    <row r="2763" spans="1:21">
      <c r="A2763" s="14" t="s">
        <v>13134</v>
      </c>
      <c r="B2763" s="14">
        <v>13.11999683</v>
      </c>
      <c r="C2763" s="14">
        <v>4.092699259</v>
      </c>
      <c r="D2763" s="14">
        <v>22.14729441</v>
      </c>
      <c r="E2763" s="14">
        <v>5.46424877</v>
      </c>
      <c r="F2763" s="14">
        <v>2.450023166</v>
      </c>
      <c r="G2763" s="14">
        <v>0.000482372</v>
      </c>
      <c r="H2763" s="14">
        <v>0.001922258</v>
      </c>
      <c r="I2763" s="14" t="s">
        <v>164</v>
      </c>
      <c r="J2763" s="14">
        <v>1.471481475</v>
      </c>
      <c r="K2763" s="14">
        <v>1.892503961</v>
      </c>
      <c r="L2763" s="14">
        <v>2.125222665</v>
      </c>
      <c r="M2763" s="14">
        <v>0.349719931</v>
      </c>
      <c r="N2763" s="14">
        <v>0.268411804</v>
      </c>
      <c r="O2763" s="14">
        <v>0.205296071</v>
      </c>
      <c r="P2763" s="14" t="s">
        <v>13135</v>
      </c>
      <c r="Q2763" s="14" t="s">
        <v>13136</v>
      </c>
      <c r="T2763" s="14" t="s">
        <v>1864</v>
      </c>
      <c r="U2763" s="14" t="s">
        <v>1865</v>
      </c>
    </row>
    <row r="2764" spans="1:21">
      <c r="A2764" s="14" t="s">
        <v>13137</v>
      </c>
      <c r="B2764" s="14">
        <v>647.3968108</v>
      </c>
      <c r="C2764" s="14">
        <v>349.2355336</v>
      </c>
      <c r="D2764" s="14">
        <v>945.558088</v>
      </c>
      <c r="E2764" s="14">
        <v>2.708533499</v>
      </c>
      <c r="F2764" s="14">
        <v>1.437511934</v>
      </c>
      <c r="G2764" s="51" t="s">
        <v>13138</v>
      </c>
      <c r="H2764" s="51" t="s">
        <v>13139</v>
      </c>
      <c r="I2764" s="14" t="s">
        <v>164</v>
      </c>
      <c r="J2764" s="14">
        <v>7.929896401</v>
      </c>
      <c r="K2764" s="14">
        <v>7.034569436</v>
      </c>
      <c r="L2764" s="14">
        <v>6.758515852</v>
      </c>
      <c r="M2764" s="14">
        <v>2.233457803</v>
      </c>
      <c r="N2764" s="14">
        <v>2.067990947</v>
      </c>
      <c r="O2764" s="14">
        <v>2.305870631</v>
      </c>
      <c r="P2764" s="14" t="s">
        <v>13140</v>
      </c>
      <c r="Q2764" s="14" t="s">
        <v>13141</v>
      </c>
      <c r="T2764" s="14" t="s">
        <v>13142</v>
      </c>
      <c r="U2764" s="14" t="s">
        <v>13143</v>
      </c>
    </row>
    <row r="2765" spans="1:21">
      <c r="A2765" s="14" t="s">
        <v>13144</v>
      </c>
      <c r="B2765" s="14">
        <v>538.175696</v>
      </c>
      <c r="C2765" s="14">
        <v>808.023359</v>
      </c>
      <c r="D2765" s="14">
        <v>268.328033</v>
      </c>
      <c r="E2765" s="14">
        <v>0.332164942</v>
      </c>
      <c r="F2765" s="14">
        <v>-1.590028283</v>
      </c>
      <c r="G2765" s="51" t="s">
        <v>13145</v>
      </c>
      <c r="H2765" s="51" t="s">
        <v>12928</v>
      </c>
      <c r="I2765" s="14" t="s">
        <v>147</v>
      </c>
      <c r="J2765" s="14">
        <v>3.732817392</v>
      </c>
      <c r="K2765" s="14">
        <v>3.976483577</v>
      </c>
      <c r="L2765" s="14">
        <v>4.097600582</v>
      </c>
      <c r="M2765" s="14">
        <v>9.89201521</v>
      </c>
      <c r="N2765" s="14">
        <v>12.35158534</v>
      </c>
      <c r="O2765" s="14">
        <v>6.638551886</v>
      </c>
      <c r="P2765" s="14" t="s">
        <v>13146</v>
      </c>
      <c r="Q2765" s="14" t="s">
        <v>13147</v>
      </c>
      <c r="T2765" s="14" t="s">
        <v>13148</v>
      </c>
      <c r="U2765" s="14" t="s">
        <v>13149</v>
      </c>
    </row>
    <row r="2766" spans="1:15">
      <c r="A2766" s="14" t="s">
        <v>13150</v>
      </c>
      <c r="B2766" s="14">
        <v>1600.646901</v>
      </c>
      <c r="C2766" s="14">
        <v>2236.232329</v>
      </c>
      <c r="D2766" s="14">
        <v>965.0614727</v>
      </c>
      <c r="E2766" s="14">
        <v>0.43157073</v>
      </c>
      <c r="F2766" s="14">
        <v>-1.212331074</v>
      </c>
      <c r="G2766" s="14">
        <v>0.003835927</v>
      </c>
      <c r="H2766" s="14">
        <v>0.011782958</v>
      </c>
      <c r="I2766" s="14" t="s">
        <v>147</v>
      </c>
      <c r="J2766" s="14">
        <v>33.57259413</v>
      </c>
      <c r="K2766" s="14">
        <v>41.00814149</v>
      </c>
      <c r="L2766" s="14">
        <v>25.95320978</v>
      </c>
      <c r="M2766" s="14">
        <v>76.14655629</v>
      </c>
      <c r="N2766" s="14">
        <v>79.78741192</v>
      </c>
      <c r="O2766" s="14">
        <v>32.28740337</v>
      </c>
    </row>
    <row r="2767" spans="1:21">
      <c r="A2767" s="14" t="s">
        <v>13151</v>
      </c>
      <c r="B2767" s="14">
        <v>2644.697938</v>
      </c>
      <c r="C2767" s="14">
        <v>1388.152843</v>
      </c>
      <c r="D2767" s="14">
        <v>3901.243034</v>
      </c>
      <c r="E2767" s="14">
        <v>2.810960826</v>
      </c>
      <c r="F2767" s="14">
        <v>1.491063348</v>
      </c>
      <c r="G2767" s="51" t="s">
        <v>13152</v>
      </c>
      <c r="H2767" s="51" t="s">
        <v>585</v>
      </c>
      <c r="I2767" s="14" t="s">
        <v>164</v>
      </c>
      <c r="J2767" s="14">
        <v>34.615103</v>
      </c>
      <c r="K2767" s="14">
        <v>28.07923079</v>
      </c>
      <c r="L2767" s="14">
        <v>31.94909203</v>
      </c>
      <c r="M2767" s="14">
        <v>9.399453206</v>
      </c>
      <c r="N2767" s="14">
        <v>10.44392192</v>
      </c>
      <c r="O2767" s="14">
        <v>7.654619127</v>
      </c>
      <c r="P2767" s="14" t="s">
        <v>13153</v>
      </c>
      <c r="Q2767" s="14" t="s">
        <v>13154</v>
      </c>
      <c r="T2767" s="14" t="s">
        <v>11450</v>
      </c>
      <c r="U2767" s="14" t="s">
        <v>11451</v>
      </c>
    </row>
    <row r="2768" spans="1:21">
      <c r="A2768" s="14" t="s">
        <v>13155</v>
      </c>
      <c r="B2768" s="14">
        <v>156.7193316</v>
      </c>
      <c r="C2768" s="14">
        <v>249.0838153</v>
      </c>
      <c r="D2768" s="14">
        <v>64.35484795</v>
      </c>
      <c r="E2768" s="14">
        <v>0.258402522</v>
      </c>
      <c r="F2768" s="14">
        <v>-1.952307944</v>
      </c>
      <c r="G2768" s="14">
        <v>0.005444324</v>
      </c>
      <c r="H2768" s="14">
        <v>0.015966371</v>
      </c>
      <c r="I2768" s="14" t="s">
        <v>147</v>
      </c>
      <c r="J2768" s="14">
        <v>1.147559446</v>
      </c>
      <c r="K2768" s="14">
        <v>0.796588179</v>
      </c>
      <c r="L2768" s="14">
        <v>0.622315188</v>
      </c>
      <c r="M2768" s="14">
        <v>3.475959776</v>
      </c>
      <c r="N2768" s="14">
        <v>3.832820918</v>
      </c>
      <c r="O2768" s="14">
        <v>0.629372677</v>
      </c>
      <c r="P2768" s="14" t="s">
        <v>714</v>
      </c>
      <c r="Q2768" s="14" t="s">
        <v>715</v>
      </c>
      <c r="R2768" s="14" t="s">
        <v>5148</v>
      </c>
      <c r="S2768" s="14" t="s">
        <v>5149</v>
      </c>
      <c r="T2768" s="14" t="s">
        <v>716</v>
      </c>
      <c r="U2768" s="14" t="s">
        <v>717</v>
      </c>
    </row>
    <row r="2769" spans="1:21">
      <c r="A2769" s="14" t="s">
        <v>13156</v>
      </c>
      <c r="B2769" s="14">
        <v>4938.948497</v>
      </c>
      <c r="C2769" s="14">
        <v>7101.573666</v>
      </c>
      <c r="D2769" s="14">
        <v>2776.323328</v>
      </c>
      <c r="E2769" s="14">
        <v>0.390957655</v>
      </c>
      <c r="F2769" s="14">
        <v>-1.35491574</v>
      </c>
      <c r="G2769" s="51" t="s">
        <v>9721</v>
      </c>
      <c r="H2769" s="51" t="s">
        <v>9722</v>
      </c>
      <c r="I2769" s="14" t="s">
        <v>147</v>
      </c>
      <c r="J2769" s="14">
        <v>19.57045078</v>
      </c>
      <c r="K2769" s="14">
        <v>22.84632979</v>
      </c>
      <c r="L2769" s="14">
        <v>20.7834784</v>
      </c>
      <c r="M2769" s="14">
        <v>48.98517398</v>
      </c>
      <c r="N2769" s="14">
        <v>50.77237568</v>
      </c>
      <c r="O2769" s="14">
        <v>31.70119997</v>
      </c>
      <c r="P2769" s="14" t="s">
        <v>13157</v>
      </c>
      <c r="Q2769" s="14" t="s">
        <v>13158</v>
      </c>
      <c r="T2769" s="14" t="s">
        <v>13159</v>
      </c>
      <c r="U2769" s="14" t="s">
        <v>13160</v>
      </c>
    </row>
    <row r="2770" spans="1:21">
      <c r="A2770" s="14" t="s">
        <v>13161</v>
      </c>
      <c r="B2770" s="14">
        <v>41207.66959</v>
      </c>
      <c r="C2770" s="14">
        <v>56556.68107</v>
      </c>
      <c r="D2770" s="14">
        <v>25858.65811</v>
      </c>
      <c r="E2770" s="14">
        <v>0.457218192</v>
      </c>
      <c r="F2770" s="14">
        <v>-1.129045288</v>
      </c>
      <c r="G2770" s="51" t="s">
        <v>13162</v>
      </c>
      <c r="H2770" s="14">
        <v>0.00046421</v>
      </c>
      <c r="I2770" s="14" t="s">
        <v>147</v>
      </c>
      <c r="J2770" s="14">
        <v>217.1180836</v>
      </c>
      <c r="K2770" s="14">
        <v>283.4982011</v>
      </c>
      <c r="L2770" s="14">
        <v>218.244333</v>
      </c>
      <c r="M2770" s="14">
        <v>497.6246301</v>
      </c>
      <c r="N2770" s="14">
        <v>482.2162684</v>
      </c>
      <c r="O2770" s="14">
        <v>298.0493943</v>
      </c>
      <c r="P2770" s="14" t="s">
        <v>13163</v>
      </c>
      <c r="Q2770" s="14" t="s">
        <v>13164</v>
      </c>
      <c r="R2770" s="14" t="s">
        <v>13165</v>
      </c>
      <c r="S2770" s="14" t="s">
        <v>13166</v>
      </c>
      <c r="T2770" s="14" t="s">
        <v>13167</v>
      </c>
      <c r="U2770" s="14" t="s">
        <v>13168</v>
      </c>
    </row>
    <row r="2771" spans="1:15">
      <c r="A2771" s="14" t="s">
        <v>13169</v>
      </c>
      <c r="B2771" s="14">
        <v>10786.47683</v>
      </c>
      <c r="C2771" s="14">
        <v>16795.3699</v>
      </c>
      <c r="D2771" s="14">
        <v>4777.583765</v>
      </c>
      <c r="E2771" s="14">
        <v>0.28446113</v>
      </c>
      <c r="F2771" s="14">
        <v>-1.813696564</v>
      </c>
      <c r="G2771" s="51" t="s">
        <v>4168</v>
      </c>
      <c r="H2771" s="51" t="s">
        <v>12506</v>
      </c>
      <c r="I2771" s="14" t="s">
        <v>147</v>
      </c>
      <c r="J2771" s="14">
        <v>57.35782265</v>
      </c>
      <c r="K2771" s="14">
        <v>91.89573184</v>
      </c>
      <c r="L2771" s="14">
        <v>74.26097192</v>
      </c>
      <c r="M2771" s="14">
        <v>253.2436514</v>
      </c>
      <c r="N2771" s="14">
        <v>249.4022457</v>
      </c>
      <c r="O2771" s="14">
        <v>134.0024591</v>
      </c>
    </row>
    <row r="2772" spans="1:21">
      <c r="A2772" s="14" t="s">
        <v>13170</v>
      </c>
      <c r="B2772" s="14">
        <v>61.24670451</v>
      </c>
      <c r="C2772" s="14">
        <v>24.42961878</v>
      </c>
      <c r="D2772" s="14">
        <v>98.06379024</v>
      </c>
      <c r="E2772" s="14">
        <v>4.022437906</v>
      </c>
      <c r="F2772" s="14">
        <v>2.008070151</v>
      </c>
      <c r="G2772" s="14">
        <v>0.013233767</v>
      </c>
      <c r="H2772" s="14">
        <v>0.034258552</v>
      </c>
      <c r="I2772" s="14" t="s">
        <v>164</v>
      </c>
      <c r="J2772" s="14">
        <v>1.763137265</v>
      </c>
      <c r="K2772" s="14">
        <v>1.107260457</v>
      </c>
      <c r="L2772" s="14">
        <v>1.610577481</v>
      </c>
      <c r="M2772" s="14">
        <v>0.270761956</v>
      </c>
      <c r="N2772" s="14">
        <v>0.569006753</v>
      </c>
      <c r="O2772" s="14">
        <v>0.050458849</v>
      </c>
      <c r="P2772" s="14" t="s">
        <v>752</v>
      </c>
      <c r="Q2772" s="14" t="s">
        <v>753</v>
      </c>
      <c r="T2772" s="14" t="s">
        <v>756</v>
      </c>
      <c r="U2772" s="14" t="s">
        <v>757</v>
      </c>
    </row>
    <row r="2773" spans="1:21">
      <c r="A2773" s="14" t="s">
        <v>13171</v>
      </c>
      <c r="B2773" s="14">
        <v>15999.10118</v>
      </c>
      <c r="C2773" s="14">
        <v>21825.61833</v>
      </c>
      <c r="D2773" s="14">
        <v>10172.58404</v>
      </c>
      <c r="E2773" s="14">
        <v>0.466087417</v>
      </c>
      <c r="F2773" s="14">
        <v>-1.101327529</v>
      </c>
      <c r="G2773" s="51" t="s">
        <v>13172</v>
      </c>
      <c r="H2773" s="51" t="s">
        <v>13173</v>
      </c>
      <c r="I2773" s="14" t="s">
        <v>147</v>
      </c>
      <c r="J2773" s="14">
        <v>42.95342983</v>
      </c>
      <c r="K2773" s="14">
        <v>65.99690026</v>
      </c>
      <c r="L2773" s="14">
        <v>51.83791642</v>
      </c>
      <c r="M2773" s="14">
        <v>100.7963761</v>
      </c>
      <c r="N2773" s="14">
        <v>102.7385386</v>
      </c>
      <c r="O2773" s="14">
        <v>78.3527197</v>
      </c>
      <c r="P2773" s="14" t="s">
        <v>13174</v>
      </c>
      <c r="Q2773" s="14" t="s">
        <v>13175</v>
      </c>
      <c r="T2773" s="14" t="s">
        <v>13176</v>
      </c>
      <c r="U2773" s="14" t="s">
        <v>13177</v>
      </c>
    </row>
    <row r="2774" spans="1:21">
      <c r="A2774" s="14" t="s">
        <v>13178</v>
      </c>
      <c r="B2774" s="14">
        <v>183.7380318</v>
      </c>
      <c r="C2774" s="14">
        <v>46.28478477</v>
      </c>
      <c r="D2774" s="14">
        <v>321.1912788</v>
      </c>
      <c r="E2774" s="14">
        <v>6.950656632</v>
      </c>
      <c r="F2774" s="14">
        <v>2.797149276</v>
      </c>
      <c r="G2774" s="14">
        <v>0.000108837</v>
      </c>
      <c r="H2774" s="14">
        <v>0.000511266</v>
      </c>
      <c r="I2774" s="14" t="s">
        <v>164</v>
      </c>
      <c r="J2774" s="14">
        <v>3.156684527</v>
      </c>
      <c r="K2774" s="14">
        <v>4.070513364</v>
      </c>
      <c r="L2774" s="14">
        <v>5.126718901</v>
      </c>
      <c r="M2774" s="14">
        <v>0.520644348</v>
      </c>
      <c r="N2774" s="14">
        <v>0.811681717</v>
      </c>
      <c r="O2774" s="14">
        <v>0.084898284</v>
      </c>
      <c r="P2774" s="14" t="s">
        <v>13179</v>
      </c>
      <c r="Q2774" s="14" t="s">
        <v>13180</v>
      </c>
      <c r="R2774" s="14" t="s">
        <v>5747</v>
      </c>
      <c r="S2774" s="14" t="s">
        <v>5748</v>
      </c>
      <c r="T2774" s="14" t="s">
        <v>6675</v>
      </c>
      <c r="U2774" s="14" t="s">
        <v>6676</v>
      </c>
    </row>
    <row r="2775" spans="1:21">
      <c r="A2775" s="14" t="s">
        <v>13181</v>
      </c>
      <c r="B2775" s="14">
        <v>395.6169383</v>
      </c>
      <c r="C2775" s="14">
        <v>121.3738654</v>
      </c>
      <c r="D2775" s="14">
        <v>669.8600111</v>
      </c>
      <c r="E2775" s="14">
        <v>5.518657494</v>
      </c>
      <c r="F2775" s="14">
        <v>2.46431735</v>
      </c>
      <c r="G2775" s="51" t="s">
        <v>13182</v>
      </c>
      <c r="H2775" s="51" t="s">
        <v>13183</v>
      </c>
      <c r="I2775" s="14" t="s">
        <v>164</v>
      </c>
      <c r="J2775" s="14">
        <v>8.578600584</v>
      </c>
      <c r="K2775" s="14">
        <v>6.498449279</v>
      </c>
      <c r="L2775" s="14">
        <v>7.59308584</v>
      </c>
      <c r="M2775" s="14">
        <v>0.850576384</v>
      </c>
      <c r="N2775" s="14">
        <v>1.46701494</v>
      </c>
      <c r="O2775" s="14">
        <v>1.056600376</v>
      </c>
      <c r="P2775" s="14" t="s">
        <v>13184</v>
      </c>
      <c r="Q2775" s="14" t="s">
        <v>13185</v>
      </c>
      <c r="T2775" s="14" t="s">
        <v>13186</v>
      </c>
      <c r="U2775" s="14" t="s">
        <v>13187</v>
      </c>
    </row>
    <row r="2776" spans="1:21">
      <c r="A2776" s="14" t="s">
        <v>13188</v>
      </c>
      <c r="B2776" s="14">
        <v>979.8490965</v>
      </c>
      <c r="C2776" s="14">
        <v>472.2054811</v>
      </c>
      <c r="D2776" s="14">
        <v>1487.492712</v>
      </c>
      <c r="E2776" s="14">
        <v>3.147761032</v>
      </c>
      <c r="F2776" s="14">
        <v>1.65432602</v>
      </c>
      <c r="G2776" s="51" t="s">
        <v>13189</v>
      </c>
      <c r="H2776" s="51" t="s">
        <v>13190</v>
      </c>
      <c r="I2776" s="14" t="s">
        <v>164</v>
      </c>
      <c r="J2776" s="14">
        <v>9.883285548</v>
      </c>
      <c r="K2776" s="14">
        <v>8.210131945</v>
      </c>
      <c r="L2776" s="14">
        <v>9.012219344</v>
      </c>
      <c r="M2776" s="14">
        <v>1.811650964</v>
      </c>
      <c r="N2776" s="14">
        <v>2.123203208</v>
      </c>
      <c r="O2776" s="14">
        <v>3.242849075</v>
      </c>
      <c r="P2776" s="14" t="s">
        <v>13191</v>
      </c>
      <c r="Q2776" s="14" t="s">
        <v>13192</v>
      </c>
      <c r="T2776" s="14" t="s">
        <v>13193</v>
      </c>
      <c r="U2776" s="14" t="s">
        <v>13194</v>
      </c>
    </row>
    <row r="2777" spans="1:21">
      <c r="A2777" s="14" t="s">
        <v>13195</v>
      </c>
      <c r="B2777" s="14">
        <v>2774.127567</v>
      </c>
      <c r="C2777" s="14">
        <v>4023.393788</v>
      </c>
      <c r="D2777" s="14">
        <v>1524.861346</v>
      </c>
      <c r="E2777" s="14">
        <v>0.379054394</v>
      </c>
      <c r="F2777" s="14">
        <v>-1.399523208</v>
      </c>
      <c r="G2777" s="51" t="s">
        <v>13196</v>
      </c>
      <c r="H2777" s="51" t="s">
        <v>13197</v>
      </c>
      <c r="I2777" s="14" t="s">
        <v>147</v>
      </c>
      <c r="J2777" s="14">
        <v>10.961755</v>
      </c>
      <c r="K2777" s="14">
        <v>11.70806168</v>
      </c>
      <c r="L2777" s="14">
        <v>12.52753268</v>
      </c>
      <c r="M2777" s="14">
        <v>25.82922977</v>
      </c>
      <c r="N2777" s="14">
        <v>23.5857835</v>
      </c>
      <c r="O2777" s="14">
        <v>27.03723299</v>
      </c>
      <c r="P2777" s="14" t="s">
        <v>13198</v>
      </c>
      <c r="Q2777" s="14" t="s">
        <v>13199</v>
      </c>
      <c r="R2777" s="14" t="s">
        <v>811</v>
      </c>
      <c r="S2777" s="14" t="s">
        <v>812</v>
      </c>
      <c r="T2777" s="14" t="s">
        <v>13200</v>
      </c>
      <c r="U2777" s="14" t="s">
        <v>13201</v>
      </c>
    </row>
    <row r="2778" spans="1:21">
      <c r="A2778" s="14" t="s">
        <v>13202</v>
      </c>
      <c r="B2778" s="14">
        <v>12742.22215</v>
      </c>
      <c r="C2778" s="14">
        <v>17620.70382</v>
      </c>
      <c r="D2778" s="14">
        <v>7863.740477</v>
      </c>
      <c r="E2778" s="14">
        <v>0.446273959</v>
      </c>
      <c r="F2778" s="14">
        <v>-1.163998471</v>
      </c>
      <c r="G2778" s="51" t="s">
        <v>13203</v>
      </c>
      <c r="H2778" s="51" t="s">
        <v>13204</v>
      </c>
      <c r="I2778" s="14" t="s">
        <v>147</v>
      </c>
      <c r="J2778" s="14">
        <v>114.4768827</v>
      </c>
      <c r="K2778" s="14">
        <v>139.7135949</v>
      </c>
      <c r="L2778" s="14">
        <v>106.6457749</v>
      </c>
      <c r="M2778" s="14">
        <v>228.5705154</v>
      </c>
      <c r="N2778" s="14">
        <v>211.6787384</v>
      </c>
      <c r="O2778" s="14">
        <v>225.2802447</v>
      </c>
      <c r="Q2778" s="14" t="s">
        <v>5746</v>
      </c>
      <c r="R2778" s="14" t="s">
        <v>5747</v>
      </c>
      <c r="S2778" s="14" t="s">
        <v>5748</v>
      </c>
      <c r="T2778" s="14" t="s">
        <v>5749</v>
      </c>
      <c r="U2778" s="14" t="s">
        <v>5750</v>
      </c>
    </row>
    <row r="2779" spans="1:21">
      <c r="A2779" s="14" t="s">
        <v>13205</v>
      </c>
      <c r="B2779" s="14">
        <v>7026.355056</v>
      </c>
      <c r="C2779" s="14">
        <v>4104.499639</v>
      </c>
      <c r="D2779" s="14">
        <v>9948.210474</v>
      </c>
      <c r="E2779" s="14">
        <v>2.423924569</v>
      </c>
      <c r="F2779" s="14">
        <v>1.277344804</v>
      </c>
      <c r="G2779" s="51" t="s">
        <v>2923</v>
      </c>
      <c r="H2779" s="51" t="s">
        <v>13206</v>
      </c>
      <c r="I2779" s="14" t="s">
        <v>164</v>
      </c>
      <c r="J2779" s="14">
        <v>57.37688505</v>
      </c>
      <c r="K2779" s="14">
        <v>48.66278032</v>
      </c>
      <c r="L2779" s="14">
        <v>55.98535563</v>
      </c>
      <c r="M2779" s="14">
        <v>18.80877354</v>
      </c>
      <c r="N2779" s="14">
        <v>20.55076031</v>
      </c>
      <c r="O2779" s="14">
        <v>15.21667539</v>
      </c>
      <c r="P2779" s="14" t="s">
        <v>13207</v>
      </c>
      <c r="Q2779" s="14" t="s">
        <v>13208</v>
      </c>
      <c r="T2779" s="14" t="s">
        <v>13209</v>
      </c>
      <c r="U2779" s="14" t="s">
        <v>13210</v>
      </c>
    </row>
    <row r="2780" spans="1:21">
      <c r="A2780" s="14" t="s">
        <v>13211</v>
      </c>
      <c r="B2780" s="14">
        <v>214.0290684</v>
      </c>
      <c r="C2780" s="14">
        <v>296.0032839</v>
      </c>
      <c r="D2780" s="14">
        <v>132.0548529</v>
      </c>
      <c r="E2780" s="14">
        <v>0.44604724</v>
      </c>
      <c r="F2780" s="14">
        <v>-1.164731583</v>
      </c>
      <c r="G2780" s="51" t="s">
        <v>13212</v>
      </c>
      <c r="H2780" s="51" t="s">
        <v>13213</v>
      </c>
      <c r="I2780" s="14" t="s">
        <v>147</v>
      </c>
      <c r="J2780" s="14">
        <v>2.27179591</v>
      </c>
      <c r="K2780" s="14">
        <v>1.635470779</v>
      </c>
      <c r="L2780" s="14">
        <v>2.114967036</v>
      </c>
      <c r="M2780" s="14">
        <v>3.514172689</v>
      </c>
      <c r="N2780" s="14">
        <v>2.939196688</v>
      </c>
      <c r="O2780" s="14">
        <v>4.748001046</v>
      </c>
      <c r="P2780" s="14" t="s">
        <v>13214</v>
      </c>
      <c r="Q2780" s="14" t="s">
        <v>13215</v>
      </c>
      <c r="T2780" s="14" t="s">
        <v>13216</v>
      </c>
      <c r="U2780" s="14" t="s">
        <v>13217</v>
      </c>
    </row>
    <row r="2781" spans="1:21">
      <c r="A2781" s="14" t="s">
        <v>13218</v>
      </c>
      <c r="B2781" s="14">
        <v>29201.09319</v>
      </c>
      <c r="C2781" s="14">
        <v>55554.79222</v>
      </c>
      <c r="D2781" s="14">
        <v>2847.394156</v>
      </c>
      <c r="E2781" s="14">
        <v>0.051253409</v>
      </c>
      <c r="F2781" s="14">
        <v>-4.286208233</v>
      </c>
      <c r="G2781" s="51" t="s">
        <v>13219</v>
      </c>
      <c r="H2781" s="51" t="s">
        <v>5860</v>
      </c>
      <c r="I2781" s="14" t="s">
        <v>147</v>
      </c>
      <c r="J2781" s="14">
        <v>21.78709511</v>
      </c>
      <c r="K2781" s="14">
        <v>97.43208392</v>
      </c>
      <c r="L2781" s="14">
        <v>33.07232265</v>
      </c>
      <c r="M2781" s="14">
        <v>1045.136447</v>
      </c>
      <c r="N2781" s="14">
        <v>1028.927439</v>
      </c>
      <c r="O2781" s="14">
        <v>321.3624788</v>
      </c>
      <c r="P2781" s="14" t="s">
        <v>13220</v>
      </c>
      <c r="Q2781" s="14" t="s">
        <v>13221</v>
      </c>
      <c r="R2781" s="14" t="s">
        <v>1128</v>
      </c>
      <c r="S2781" s="14" t="s">
        <v>1129</v>
      </c>
      <c r="T2781" s="14" t="s">
        <v>13222</v>
      </c>
      <c r="U2781" s="14" t="s">
        <v>13223</v>
      </c>
    </row>
    <row r="2782" spans="1:21">
      <c r="A2782" s="14" t="s">
        <v>13224</v>
      </c>
      <c r="B2782" s="14">
        <v>3908.666307</v>
      </c>
      <c r="C2782" s="14">
        <v>1496.019338</v>
      </c>
      <c r="D2782" s="14">
        <v>6321.313276</v>
      </c>
      <c r="E2782" s="14">
        <v>4.225011898</v>
      </c>
      <c r="F2782" s="14">
        <v>2.078955404</v>
      </c>
      <c r="G2782" s="14">
        <v>0.003850992</v>
      </c>
      <c r="H2782" s="14">
        <v>0.011823117</v>
      </c>
      <c r="I2782" s="14" t="s">
        <v>164</v>
      </c>
      <c r="J2782" s="14">
        <v>55.77439216</v>
      </c>
      <c r="K2782" s="14">
        <v>63.57500581</v>
      </c>
      <c r="L2782" s="14">
        <v>66.11168539</v>
      </c>
      <c r="M2782" s="14">
        <v>3.984974301</v>
      </c>
      <c r="N2782" s="14">
        <v>3.608506915</v>
      </c>
      <c r="O2782" s="14">
        <v>30.63136456</v>
      </c>
      <c r="P2782" s="14" t="s">
        <v>13225</v>
      </c>
      <c r="Q2782" s="14" t="s">
        <v>13226</v>
      </c>
      <c r="T2782" s="14" t="s">
        <v>13227</v>
      </c>
      <c r="U2782" s="14" t="s">
        <v>13228</v>
      </c>
    </row>
    <row r="2783" spans="1:21">
      <c r="A2783" s="14" t="s">
        <v>13229</v>
      </c>
      <c r="B2783" s="14">
        <v>129.1738934</v>
      </c>
      <c r="C2783" s="14">
        <v>251.7009669</v>
      </c>
      <c r="D2783" s="14">
        <v>6.646819873</v>
      </c>
      <c r="E2783" s="14">
        <v>0.026314177</v>
      </c>
      <c r="F2783" s="14">
        <v>-5.248015936</v>
      </c>
      <c r="G2783" s="51" t="s">
        <v>13230</v>
      </c>
      <c r="H2783" s="51" t="s">
        <v>2656</v>
      </c>
      <c r="I2783" s="14" t="s">
        <v>147</v>
      </c>
      <c r="J2783" s="14">
        <v>0.211548863</v>
      </c>
      <c r="K2783" s="14">
        <v>0.124209312</v>
      </c>
      <c r="L2783" s="14">
        <v>0.016974142</v>
      </c>
      <c r="M2783" s="14">
        <v>4.72108559</v>
      </c>
      <c r="N2783" s="14">
        <v>5.064736099</v>
      </c>
      <c r="O2783" s="14">
        <v>0.944466404</v>
      </c>
      <c r="P2783" s="14" t="s">
        <v>13231</v>
      </c>
      <c r="Q2783" s="14" t="s">
        <v>13232</v>
      </c>
      <c r="T2783" s="14" t="s">
        <v>13233</v>
      </c>
      <c r="U2783" s="14" t="s">
        <v>13234</v>
      </c>
    </row>
    <row r="2784" spans="1:21">
      <c r="A2784" s="14" t="s">
        <v>13235</v>
      </c>
      <c r="B2784" s="14">
        <v>1117.439489</v>
      </c>
      <c r="C2784" s="14">
        <v>1965.999498</v>
      </c>
      <c r="D2784" s="14">
        <v>268.8794795</v>
      </c>
      <c r="E2784" s="14">
        <v>0.136749345</v>
      </c>
      <c r="F2784" s="14">
        <v>-2.870394169</v>
      </c>
      <c r="G2784" s="51" t="s">
        <v>13236</v>
      </c>
      <c r="H2784" s="51" t="s">
        <v>6753</v>
      </c>
      <c r="I2784" s="14" t="s">
        <v>147</v>
      </c>
      <c r="J2784" s="14">
        <v>2.665060429</v>
      </c>
      <c r="K2784" s="14">
        <v>9.004071361</v>
      </c>
      <c r="L2784" s="14">
        <v>3.445328471</v>
      </c>
      <c r="M2784" s="14">
        <v>37.69524599</v>
      </c>
      <c r="N2784" s="14">
        <v>35.38392311</v>
      </c>
      <c r="O2784" s="14">
        <v>16.47449198</v>
      </c>
      <c r="P2784" s="14" t="s">
        <v>13237</v>
      </c>
      <c r="Q2784" s="14" t="s">
        <v>13238</v>
      </c>
      <c r="T2784" s="14" t="s">
        <v>13239</v>
      </c>
      <c r="U2784" s="14" t="s">
        <v>13240</v>
      </c>
    </row>
    <row r="2785" spans="1:21">
      <c r="A2785" s="14" t="s">
        <v>13241</v>
      </c>
      <c r="B2785" s="14">
        <v>579.1611516</v>
      </c>
      <c r="C2785" s="14">
        <v>839.5594435</v>
      </c>
      <c r="D2785" s="14">
        <v>318.7628598</v>
      </c>
      <c r="E2785" s="14">
        <v>0.379870769</v>
      </c>
      <c r="F2785" s="14">
        <v>-1.396419395</v>
      </c>
      <c r="G2785" s="51" t="s">
        <v>5127</v>
      </c>
      <c r="H2785" s="51" t="s">
        <v>5128</v>
      </c>
      <c r="I2785" s="14" t="s">
        <v>147</v>
      </c>
      <c r="J2785" s="14">
        <v>3.638071636</v>
      </c>
      <c r="K2785" s="14">
        <v>2.669163615</v>
      </c>
      <c r="L2785" s="14">
        <v>4.294236438</v>
      </c>
      <c r="M2785" s="14">
        <v>7.200496917</v>
      </c>
      <c r="N2785" s="14">
        <v>7.906447002</v>
      </c>
      <c r="O2785" s="14">
        <v>7.824548439</v>
      </c>
      <c r="P2785" s="14" t="s">
        <v>13242</v>
      </c>
      <c r="Q2785" s="14" t="s">
        <v>13243</v>
      </c>
      <c r="R2785" s="14" t="s">
        <v>13244</v>
      </c>
      <c r="S2785" s="14" t="s">
        <v>13245</v>
      </c>
      <c r="T2785" s="14" t="s">
        <v>13246</v>
      </c>
      <c r="U2785" s="14" t="s">
        <v>13247</v>
      </c>
    </row>
    <row r="2786" spans="1:21">
      <c r="A2786" s="14" t="s">
        <v>13248</v>
      </c>
      <c r="B2786" s="14">
        <v>1992.864978</v>
      </c>
      <c r="C2786" s="14">
        <v>1316.004421</v>
      </c>
      <c r="D2786" s="14">
        <v>2669.725536</v>
      </c>
      <c r="E2786" s="14">
        <v>2.02884113</v>
      </c>
      <c r="F2786" s="14">
        <v>1.020655898</v>
      </c>
      <c r="G2786" s="14">
        <v>0.002205253</v>
      </c>
      <c r="H2786" s="14">
        <v>0.007301519</v>
      </c>
      <c r="I2786" s="14" t="s">
        <v>164</v>
      </c>
      <c r="J2786" s="14">
        <v>32.28629628</v>
      </c>
      <c r="K2786" s="14">
        <v>17.00719842</v>
      </c>
      <c r="L2786" s="14">
        <v>19.54100368</v>
      </c>
      <c r="M2786" s="14">
        <v>9.429025404</v>
      </c>
      <c r="N2786" s="14">
        <v>11.10131096</v>
      </c>
      <c r="O2786" s="14">
        <v>7.136341271</v>
      </c>
      <c r="P2786" s="14" t="s">
        <v>13249</v>
      </c>
      <c r="Q2786" s="14" t="s">
        <v>13250</v>
      </c>
      <c r="T2786" s="14" t="s">
        <v>13251</v>
      </c>
      <c r="U2786" s="14" t="s">
        <v>13252</v>
      </c>
    </row>
    <row r="2787" spans="1:21">
      <c r="A2787" s="14" t="s">
        <v>13253</v>
      </c>
      <c r="B2787" s="14">
        <v>4913.751415</v>
      </c>
      <c r="C2787" s="14">
        <v>6737.652178</v>
      </c>
      <c r="D2787" s="14">
        <v>3089.850653</v>
      </c>
      <c r="E2787" s="14">
        <v>0.458608545</v>
      </c>
      <c r="F2787" s="14">
        <v>-1.12466486</v>
      </c>
      <c r="G2787" s="51" t="s">
        <v>13254</v>
      </c>
      <c r="H2787" s="14">
        <v>0.000245686</v>
      </c>
      <c r="I2787" s="14" t="s">
        <v>147</v>
      </c>
      <c r="J2787" s="14">
        <v>31.26097918</v>
      </c>
      <c r="K2787" s="14">
        <v>24.01923357</v>
      </c>
      <c r="L2787" s="14">
        <v>25.29860305</v>
      </c>
      <c r="M2787" s="14">
        <v>51.59244914</v>
      </c>
      <c r="N2787" s="14">
        <v>57.01113017</v>
      </c>
      <c r="O2787" s="14">
        <v>34.27863843</v>
      </c>
      <c r="P2787" s="14" t="s">
        <v>13249</v>
      </c>
      <c r="Q2787" s="14" t="s">
        <v>13250</v>
      </c>
      <c r="T2787" s="14" t="s">
        <v>13251</v>
      </c>
      <c r="U2787" s="14" t="s">
        <v>13252</v>
      </c>
    </row>
    <row r="2788" spans="1:21">
      <c r="A2788" s="14" t="s">
        <v>13255</v>
      </c>
      <c r="B2788" s="14">
        <v>78.74434163</v>
      </c>
      <c r="C2788" s="14">
        <v>21.73250034</v>
      </c>
      <c r="D2788" s="14">
        <v>135.7561829</v>
      </c>
      <c r="E2788" s="14">
        <v>6.218041322</v>
      </c>
      <c r="F2788" s="14">
        <v>2.636460204</v>
      </c>
      <c r="G2788" s="14">
        <v>0.000913191</v>
      </c>
      <c r="H2788" s="14">
        <v>0.003379034</v>
      </c>
      <c r="I2788" s="14" t="s">
        <v>164</v>
      </c>
      <c r="J2788" s="14">
        <v>3.323621396</v>
      </c>
      <c r="K2788" s="14">
        <v>1.195913003</v>
      </c>
      <c r="L2788" s="14">
        <v>2.087052385</v>
      </c>
      <c r="M2788" s="14">
        <v>0.12363795</v>
      </c>
      <c r="N2788" s="14">
        <v>0.105436387</v>
      </c>
      <c r="O2788" s="14">
        <v>0.685470022</v>
      </c>
      <c r="P2788" s="14" t="s">
        <v>13256</v>
      </c>
      <c r="Q2788" s="14" t="s">
        <v>13257</v>
      </c>
      <c r="T2788" s="14" t="s">
        <v>13258</v>
      </c>
      <c r="U2788" s="14" t="s">
        <v>13259</v>
      </c>
    </row>
    <row r="2789" spans="1:21">
      <c r="A2789" s="14" t="s">
        <v>13260</v>
      </c>
      <c r="B2789" s="14">
        <v>2.638123623</v>
      </c>
      <c r="C2789" s="14">
        <v>5.276247245</v>
      </c>
      <c r="D2789" s="14">
        <v>0</v>
      </c>
      <c r="E2789" s="14">
        <v>0.034122222</v>
      </c>
      <c r="F2789" s="14">
        <v>-4.873144574</v>
      </c>
      <c r="G2789" s="14">
        <v>0.017968102</v>
      </c>
      <c r="H2789" s="14">
        <v>0.044438696</v>
      </c>
      <c r="I2789" s="14" t="s">
        <v>147</v>
      </c>
      <c r="J2789" s="14">
        <v>0</v>
      </c>
      <c r="K2789" s="14">
        <v>0</v>
      </c>
      <c r="L2789" s="14">
        <v>0</v>
      </c>
      <c r="M2789" s="14">
        <v>0.58545707</v>
      </c>
      <c r="N2789" s="14">
        <v>0.561676554</v>
      </c>
      <c r="O2789" s="14">
        <v>1.145602767</v>
      </c>
      <c r="Q2789" s="14" t="s">
        <v>13261</v>
      </c>
      <c r="T2789" s="14" t="s">
        <v>13262</v>
      </c>
      <c r="U2789" s="14" t="s">
        <v>13263</v>
      </c>
    </row>
    <row r="2790" spans="1:15">
      <c r="A2790" s="14" t="s">
        <v>13264</v>
      </c>
      <c r="B2790" s="14">
        <v>48.13925341</v>
      </c>
      <c r="C2790" s="14">
        <v>25.56851153</v>
      </c>
      <c r="D2790" s="14">
        <v>70.7099953</v>
      </c>
      <c r="E2790" s="14">
        <v>2.762396613</v>
      </c>
      <c r="F2790" s="14">
        <v>1.46592047</v>
      </c>
      <c r="G2790" s="14">
        <v>0.005858713</v>
      </c>
      <c r="H2790" s="14">
        <v>0.016996946</v>
      </c>
      <c r="I2790" s="14" t="s">
        <v>164</v>
      </c>
      <c r="J2790" s="14">
        <v>2.337571943</v>
      </c>
      <c r="K2790" s="14">
        <v>1.162244281</v>
      </c>
      <c r="L2790" s="14">
        <v>2.549019325</v>
      </c>
      <c r="M2790" s="14">
        <v>0.602413906</v>
      </c>
      <c r="N2790" s="14">
        <v>0.346766775</v>
      </c>
      <c r="O2790" s="14">
        <v>0.872299668</v>
      </c>
    </row>
    <row r="2791" spans="1:21">
      <c r="A2791" s="14" t="s">
        <v>13265</v>
      </c>
      <c r="B2791" s="14">
        <v>1037.667571</v>
      </c>
      <c r="C2791" s="14">
        <v>413.4413141</v>
      </c>
      <c r="D2791" s="14">
        <v>1661.893828</v>
      </c>
      <c r="E2791" s="14">
        <v>4.019502794</v>
      </c>
      <c r="F2791" s="14">
        <v>2.007017053</v>
      </c>
      <c r="G2791" s="51" t="s">
        <v>13266</v>
      </c>
      <c r="H2791" s="51" t="s">
        <v>13267</v>
      </c>
      <c r="I2791" s="14" t="s">
        <v>164</v>
      </c>
      <c r="J2791" s="14">
        <v>16.80756273</v>
      </c>
      <c r="K2791" s="14">
        <v>34.14115382</v>
      </c>
      <c r="L2791" s="14">
        <v>21.92195784</v>
      </c>
      <c r="M2791" s="14">
        <v>4.379899006</v>
      </c>
      <c r="N2791" s="14">
        <v>5.451877756</v>
      </c>
      <c r="O2791" s="14">
        <v>5.122840633</v>
      </c>
      <c r="P2791" s="14" t="s">
        <v>13268</v>
      </c>
      <c r="Q2791" s="14" t="s">
        <v>13269</v>
      </c>
      <c r="T2791" s="14" t="s">
        <v>13270</v>
      </c>
      <c r="U2791" s="14" t="s">
        <v>13271</v>
      </c>
    </row>
    <row r="2792" spans="1:21">
      <c r="A2792" s="14" t="s">
        <v>13272</v>
      </c>
      <c r="B2792" s="14">
        <v>2588.22963</v>
      </c>
      <c r="C2792" s="14">
        <v>3642.442389</v>
      </c>
      <c r="D2792" s="14">
        <v>1534.016871</v>
      </c>
      <c r="E2792" s="14">
        <v>0.421120575</v>
      </c>
      <c r="F2792" s="14">
        <v>-1.247694731</v>
      </c>
      <c r="G2792" s="51" t="s">
        <v>527</v>
      </c>
      <c r="H2792" s="51" t="s">
        <v>13273</v>
      </c>
      <c r="I2792" s="14" t="s">
        <v>147</v>
      </c>
      <c r="J2792" s="14">
        <v>12.82409052</v>
      </c>
      <c r="K2792" s="14">
        <v>18.66204894</v>
      </c>
      <c r="L2792" s="14">
        <v>16.71330835</v>
      </c>
      <c r="M2792" s="14">
        <v>25.60185574</v>
      </c>
      <c r="N2792" s="14">
        <v>23.6591791</v>
      </c>
      <c r="O2792" s="14">
        <v>46.56193292</v>
      </c>
      <c r="P2792" s="14" t="s">
        <v>13274</v>
      </c>
      <c r="Q2792" s="14" t="s">
        <v>13275</v>
      </c>
      <c r="T2792" s="14" t="s">
        <v>13276</v>
      </c>
      <c r="U2792" s="14" t="s">
        <v>13277</v>
      </c>
    </row>
    <row r="2793" spans="1:15">
      <c r="A2793" s="14" t="s">
        <v>13278</v>
      </c>
      <c r="B2793" s="14">
        <v>8108.906721</v>
      </c>
      <c r="C2793" s="14">
        <v>13460.05558</v>
      </c>
      <c r="D2793" s="14">
        <v>2757.757868</v>
      </c>
      <c r="E2793" s="14">
        <v>0.204890208</v>
      </c>
      <c r="F2793" s="14">
        <v>-2.287077059</v>
      </c>
      <c r="G2793" s="51" t="s">
        <v>13279</v>
      </c>
      <c r="H2793" s="51" t="s">
        <v>13280</v>
      </c>
      <c r="I2793" s="14" t="s">
        <v>147</v>
      </c>
      <c r="J2793" s="14">
        <v>43.9240426</v>
      </c>
      <c r="K2793" s="14">
        <v>53.45412127</v>
      </c>
      <c r="L2793" s="14">
        <v>53.95966583</v>
      </c>
      <c r="M2793" s="14">
        <v>223.7978527</v>
      </c>
      <c r="N2793" s="14">
        <v>226.6017976</v>
      </c>
      <c r="O2793" s="14">
        <v>150.4715541</v>
      </c>
    </row>
    <row r="2794" spans="1:21">
      <c r="A2794" s="14" t="s">
        <v>13281</v>
      </c>
      <c r="B2794" s="14">
        <v>1575.946115</v>
      </c>
      <c r="C2794" s="14">
        <v>882.3684981</v>
      </c>
      <c r="D2794" s="14">
        <v>2269.523731</v>
      </c>
      <c r="E2794" s="14">
        <v>2.572643349</v>
      </c>
      <c r="F2794" s="14">
        <v>1.363251467</v>
      </c>
      <c r="G2794" s="14">
        <v>0.000638805</v>
      </c>
      <c r="H2794" s="14">
        <v>0.002468798</v>
      </c>
      <c r="I2794" s="14" t="s">
        <v>164</v>
      </c>
      <c r="J2794" s="14">
        <v>25.16709654</v>
      </c>
      <c r="K2794" s="14">
        <v>23.56388179</v>
      </c>
      <c r="L2794" s="14">
        <v>22.67134379</v>
      </c>
      <c r="M2794" s="14">
        <v>9.192795545</v>
      </c>
      <c r="N2794" s="14">
        <v>9.442041907</v>
      </c>
      <c r="O2794" s="14">
        <v>3.740283501</v>
      </c>
      <c r="P2794" s="14" t="s">
        <v>13282</v>
      </c>
      <c r="Q2794" s="14" t="s">
        <v>13283</v>
      </c>
      <c r="T2794" s="14" t="s">
        <v>13284</v>
      </c>
      <c r="U2794" s="14" t="s">
        <v>13285</v>
      </c>
    </row>
    <row r="2795" spans="1:21">
      <c r="A2795" s="14" t="s">
        <v>13286</v>
      </c>
      <c r="B2795" s="14">
        <v>1894.890392</v>
      </c>
      <c r="C2795" s="14">
        <v>100.2056022</v>
      </c>
      <c r="D2795" s="14">
        <v>3689.575181</v>
      </c>
      <c r="E2795" s="14">
        <v>36.80219278</v>
      </c>
      <c r="F2795" s="14">
        <v>5.201719823</v>
      </c>
      <c r="G2795" s="51" t="s">
        <v>13287</v>
      </c>
      <c r="H2795" s="51" t="s">
        <v>13288</v>
      </c>
      <c r="I2795" s="14" t="s">
        <v>164</v>
      </c>
      <c r="J2795" s="14">
        <v>33.28216041</v>
      </c>
      <c r="K2795" s="14">
        <v>10.88901212</v>
      </c>
      <c r="L2795" s="14">
        <v>30.58149665</v>
      </c>
      <c r="M2795" s="14">
        <v>0.370930382</v>
      </c>
      <c r="N2795" s="14">
        <v>0.684353202</v>
      </c>
      <c r="O2795" s="14">
        <v>0.619742147</v>
      </c>
      <c r="P2795" s="14" t="s">
        <v>13289</v>
      </c>
      <c r="Q2795" s="14" t="s">
        <v>13290</v>
      </c>
      <c r="T2795" s="14" t="s">
        <v>2882</v>
      </c>
      <c r="U2795" s="14" t="s">
        <v>2883</v>
      </c>
    </row>
    <row r="2796" spans="1:21">
      <c r="A2796" s="14" t="s">
        <v>13291</v>
      </c>
      <c r="B2796" s="14">
        <v>75711.23824</v>
      </c>
      <c r="C2796" s="14">
        <v>105364.338</v>
      </c>
      <c r="D2796" s="14">
        <v>46058.1385</v>
      </c>
      <c r="E2796" s="14">
        <v>0.437132935</v>
      </c>
      <c r="F2796" s="14">
        <v>-1.193856015</v>
      </c>
      <c r="G2796" s="51" t="s">
        <v>13292</v>
      </c>
      <c r="H2796" s="51" t="s">
        <v>13293</v>
      </c>
      <c r="I2796" s="14" t="s">
        <v>147</v>
      </c>
      <c r="J2796" s="14">
        <v>1117.70134</v>
      </c>
      <c r="K2796" s="14">
        <v>1406.256315</v>
      </c>
      <c r="L2796" s="14">
        <v>1123.144836</v>
      </c>
      <c r="M2796" s="14">
        <v>2543.750433</v>
      </c>
      <c r="N2796" s="14">
        <v>2408.162765</v>
      </c>
      <c r="O2796" s="14">
        <v>1860.082436</v>
      </c>
      <c r="P2796" s="14" t="s">
        <v>13294</v>
      </c>
      <c r="Q2796" s="14" t="s">
        <v>13295</v>
      </c>
      <c r="R2796" s="14" t="s">
        <v>2754</v>
      </c>
      <c r="S2796" s="14" t="s">
        <v>2755</v>
      </c>
      <c r="T2796" s="14" t="s">
        <v>13296</v>
      </c>
      <c r="U2796" s="14" t="s">
        <v>13297</v>
      </c>
    </row>
    <row r="2797" spans="1:21">
      <c r="A2797" s="14" t="s">
        <v>13298</v>
      </c>
      <c r="B2797" s="14">
        <v>3175.150325</v>
      </c>
      <c r="C2797" s="14">
        <v>4290.311194</v>
      </c>
      <c r="D2797" s="14">
        <v>2059.989456</v>
      </c>
      <c r="E2797" s="14">
        <v>0.480171575</v>
      </c>
      <c r="F2797" s="14">
        <v>-1.058378092</v>
      </c>
      <c r="G2797" s="14">
        <v>0.000113874</v>
      </c>
      <c r="H2797" s="14">
        <v>0.000532399</v>
      </c>
      <c r="I2797" s="14" t="s">
        <v>147</v>
      </c>
      <c r="J2797" s="14">
        <v>24.1807204</v>
      </c>
      <c r="K2797" s="14">
        <v>36.55977336</v>
      </c>
      <c r="L2797" s="14">
        <v>31.04791426</v>
      </c>
      <c r="M2797" s="14">
        <v>57.92387261</v>
      </c>
      <c r="N2797" s="14">
        <v>58.02345497</v>
      </c>
      <c r="O2797" s="14">
        <v>39.75646184</v>
      </c>
      <c r="P2797" s="14" t="s">
        <v>13299</v>
      </c>
      <c r="Q2797" s="14" t="s">
        <v>13300</v>
      </c>
      <c r="T2797" s="14" t="s">
        <v>13301</v>
      </c>
      <c r="U2797" s="14" t="s">
        <v>13302</v>
      </c>
    </row>
    <row r="2798" spans="1:15">
      <c r="A2798" s="14" t="s">
        <v>13303</v>
      </c>
      <c r="B2798" s="14">
        <v>576.6514932</v>
      </c>
      <c r="C2798" s="14">
        <v>314.6433476</v>
      </c>
      <c r="D2798" s="14">
        <v>838.6596387</v>
      </c>
      <c r="E2798" s="14">
        <v>2.665507519</v>
      </c>
      <c r="F2798" s="14">
        <v>1.414410252</v>
      </c>
      <c r="G2798" s="51" t="s">
        <v>13304</v>
      </c>
      <c r="H2798" s="51" t="s">
        <v>13305</v>
      </c>
      <c r="I2798" s="14" t="s">
        <v>164</v>
      </c>
      <c r="J2798" s="14">
        <v>18.00872025</v>
      </c>
      <c r="K2798" s="14">
        <v>26.10940687</v>
      </c>
      <c r="L2798" s="14">
        <v>35.06869169</v>
      </c>
      <c r="M2798" s="14">
        <v>7.052096524</v>
      </c>
      <c r="N2798" s="14">
        <v>8.629394323</v>
      </c>
      <c r="O2798" s="14">
        <v>8.774275742</v>
      </c>
    </row>
    <row r="2799" spans="1:21">
      <c r="A2799" s="14" t="s">
        <v>13306</v>
      </c>
      <c r="B2799" s="14">
        <v>3337.088041</v>
      </c>
      <c r="C2799" s="14">
        <v>5025.436168</v>
      </c>
      <c r="D2799" s="14">
        <v>1648.739914</v>
      </c>
      <c r="E2799" s="14">
        <v>0.328090804</v>
      </c>
      <c r="F2799" s="14">
        <v>-1.607832936</v>
      </c>
      <c r="G2799" s="51" t="s">
        <v>3454</v>
      </c>
      <c r="H2799" s="51" t="s">
        <v>13307</v>
      </c>
      <c r="I2799" s="14" t="s">
        <v>147</v>
      </c>
      <c r="J2799" s="14">
        <v>22.97043089</v>
      </c>
      <c r="K2799" s="14">
        <v>26.37104818</v>
      </c>
      <c r="L2799" s="14">
        <v>23.26564115</v>
      </c>
      <c r="M2799" s="14">
        <v>66.98827453</v>
      </c>
      <c r="N2799" s="14">
        <v>71.3961662</v>
      </c>
      <c r="O2799" s="14">
        <v>41.40406852</v>
      </c>
      <c r="P2799" s="14" t="s">
        <v>13308</v>
      </c>
      <c r="Q2799" s="14" t="s">
        <v>13309</v>
      </c>
      <c r="T2799" s="14" t="s">
        <v>10413</v>
      </c>
      <c r="U2799" s="14" t="s">
        <v>10414</v>
      </c>
    </row>
    <row r="2800" spans="1:21">
      <c r="A2800" s="14" t="s">
        <v>13310</v>
      </c>
      <c r="B2800" s="14">
        <v>475.2524209</v>
      </c>
      <c r="C2800" s="14">
        <v>869.5232</v>
      </c>
      <c r="D2800" s="14">
        <v>80.98164187</v>
      </c>
      <c r="E2800" s="14">
        <v>0.093130914</v>
      </c>
      <c r="F2800" s="14">
        <v>-3.424596051</v>
      </c>
      <c r="G2800" s="51" t="s">
        <v>6324</v>
      </c>
      <c r="H2800" s="51" t="s">
        <v>4215</v>
      </c>
      <c r="I2800" s="14" t="s">
        <v>147</v>
      </c>
      <c r="J2800" s="14">
        <v>1.355664024</v>
      </c>
      <c r="K2800" s="14">
        <v>3.07016175</v>
      </c>
      <c r="L2800" s="14">
        <v>1.957950514</v>
      </c>
      <c r="M2800" s="14">
        <v>26.27617248</v>
      </c>
      <c r="N2800" s="14">
        <v>23.4326914</v>
      </c>
      <c r="O2800" s="14">
        <v>5.084892058</v>
      </c>
      <c r="P2800" s="14" t="s">
        <v>10845</v>
      </c>
      <c r="Q2800" s="14" t="s">
        <v>10846</v>
      </c>
      <c r="T2800" s="14" t="s">
        <v>10847</v>
      </c>
      <c r="U2800" s="14" t="s">
        <v>10848</v>
      </c>
    </row>
    <row r="2801" spans="1:21">
      <c r="A2801" s="14" t="s">
        <v>13311</v>
      </c>
      <c r="B2801" s="14">
        <v>1949.176379</v>
      </c>
      <c r="C2801" s="14">
        <v>648.1525981</v>
      </c>
      <c r="D2801" s="14">
        <v>3250.200159</v>
      </c>
      <c r="E2801" s="14">
        <v>5.016708754</v>
      </c>
      <c r="F2801" s="14">
        <v>2.326741185</v>
      </c>
      <c r="G2801" s="51" t="s">
        <v>13312</v>
      </c>
      <c r="H2801" s="51" t="s">
        <v>13313</v>
      </c>
      <c r="I2801" s="14" t="s">
        <v>164</v>
      </c>
      <c r="J2801" s="14">
        <v>55.39499298</v>
      </c>
      <c r="K2801" s="14">
        <v>48.28320654</v>
      </c>
      <c r="L2801" s="14">
        <v>47.92323948</v>
      </c>
      <c r="M2801" s="14">
        <v>8.237566472</v>
      </c>
      <c r="N2801" s="14">
        <v>8.52255969</v>
      </c>
      <c r="O2801" s="14">
        <v>8.072392152</v>
      </c>
      <c r="P2801" s="14" t="s">
        <v>13314</v>
      </c>
      <c r="Q2801" s="14" t="s">
        <v>13315</v>
      </c>
      <c r="T2801" s="14" t="s">
        <v>4551</v>
      </c>
      <c r="U2801" s="14" t="s">
        <v>4552</v>
      </c>
    </row>
    <row r="2802" spans="1:15">
      <c r="A2802" s="14" t="s">
        <v>13316</v>
      </c>
      <c r="B2802" s="14">
        <v>2882.091646</v>
      </c>
      <c r="C2802" s="14">
        <v>5142.538968</v>
      </c>
      <c r="D2802" s="14">
        <v>621.6443243</v>
      </c>
      <c r="E2802" s="14">
        <v>0.120860693</v>
      </c>
      <c r="F2802" s="14">
        <v>-3.048582979</v>
      </c>
      <c r="G2802" s="51" t="s">
        <v>13317</v>
      </c>
      <c r="H2802" s="51" t="s">
        <v>12086</v>
      </c>
      <c r="I2802" s="14" t="s">
        <v>147</v>
      </c>
      <c r="J2802" s="14">
        <v>27.19185949</v>
      </c>
      <c r="K2802" s="14">
        <v>19.69942597</v>
      </c>
      <c r="L2802" s="14">
        <v>14.29801194</v>
      </c>
      <c r="M2802" s="14">
        <v>118.1649813</v>
      </c>
      <c r="N2802" s="14">
        <v>120.5291222</v>
      </c>
      <c r="O2802" s="14">
        <v>183.3795697</v>
      </c>
    </row>
    <row r="2803" spans="1:15">
      <c r="A2803" s="14" t="s">
        <v>13318</v>
      </c>
      <c r="B2803" s="14">
        <v>100.7294143</v>
      </c>
      <c r="C2803" s="14">
        <v>15.49363663</v>
      </c>
      <c r="D2803" s="14">
        <v>185.965192</v>
      </c>
      <c r="E2803" s="14">
        <v>12.00938091</v>
      </c>
      <c r="F2803" s="14">
        <v>3.586089876</v>
      </c>
      <c r="G2803" s="51" t="s">
        <v>13319</v>
      </c>
      <c r="H2803" s="51" t="s">
        <v>1731</v>
      </c>
      <c r="I2803" s="14" t="s">
        <v>164</v>
      </c>
      <c r="J2803" s="14">
        <v>5.795191116</v>
      </c>
      <c r="K2803" s="14">
        <v>11.03041489</v>
      </c>
      <c r="L2803" s="14">
        <v>4.006079542</v>
      </c>
      <c r="M2803" s="14">
        <v>0.317841975</v>
      </c>
      <c r="N2803" s="14">
        <v>0.762329103</v>
      </c>
      <c r="O2803" s="14">
        <v>0.342068387</v>
      </c>
    </row>
    <row r="2804" spans="1:15">
      <c r="A2804" s="14" t="s">
        <v>13320</v>
      </c>
      <c r="B2804" s="14">
        <v>66.54525259</v>
      </c>
      <c r="C2804" s="14">
        <v>18.85049847</v>
      </c>
      <c r="D2804" s="14">
        <v>114.2400067</v>
      </c>
      <c r="E2804" s="14">
        <v>6.067264179</v>
      </c>
      <c r="F2804" s="14">
        <v>2.60104613</v>
      </c>
      <c r="G2804" s="51" t="s">
        <v>2744</v>
      </c>
      <c r="H2804" s="51" t="s">
        <v>4240</v>
      </c>
      <c r="I2804" s="14" t="s">
        <v>164</v>
      </c>
      <c r="J2804" s="14">
        <v>4.63491029</v>
      </c>
      <c r="K2804" s="14">
        <v>3.693264056</v>
      </c>
      <c r="L2804" s="14">
        <v>2.789200477</v>
      </c>
      <c r="M2804" s="14">
        <v>0.523239507</v>
      </c>
      <c r="N2804" s="14">
        <v>0.475565862</v>
      </c>
      <c r="O2804" s="14">
        <v>0.511928763</v>
      </c>
    </row>
    <row r="2805" spans="1:19">
      <c r="A2805" s="14" t="s">
        <v>13321</v>
      </c>
      <c r="B2805" s="14">
        <v>1170.00224</v>
      </c>
      <c r="C2805" s="14">
        <v>725.9207495</v>
      </c>
      <c r="D2805" s="14">
        <v>1614.08373</v>
      </c>
      <c r="E2805" s="14">
        <v>2.224252372</v>
      </c>
      <c r="F2805" s="14">
        <v>1.153320491</v>
      </c>
      <c r="G2805" s="51" t="s">
        <v>10591</v>
      </c>
      <c r="H2805" s="51" t="s">
        <v>10592</v>
      </c>
      <c r="I2805" s="14" t="s">
        <v>164</v>
      </c>
      <c r="J2805" s="14">
        <v>34.28170146</v>
      </c>
      <c r="K2805" s="14">
        <v>46.28185633</v>
      </c>
      <c r="L2805" s="14">
        <v>40.57396878</v>
      </c>
      <c r="M2805" s="14">
        <v>16.54256605</v>
      </c>
      <c r="N2805" s="14">
        <v>16.68450657</v>
      </c>
      <c r="O2805" s="14">
        <v>11.12197892</v>
      </c>
      <c r="R2805" s="14" t="s">
        <v>6420</v>
      </c>
      <c r="S2805" s="14" t="s">
        <v>6421</v>
      </c>
    </row>
    <row r="2806" spans="1:21">
      <c r="A2806" s="14" t="s">
        <v>13322</v>
      </c>
      <c r="B2806" s="14">
        <v>643.2899217</v>
      </c>
      <c r="C2806" s="14">
        <v>208.6365421</v>
      </c>
      <c r="D2806" s="14">
        <v>1077.943301</v>
      </c>
      <c r="E2806" s="14">
        <v>5.165280089</v>
      </c>
      <c r="F2806" s="14">
        <v>2.368846582</v>
      </c>
      <c r="G2806" s="51" t="s">
        <v>13323</v>
      </c>
      <c r="H2806" s="51" t="s">
        <v>13324</v>
      </c>
      <c r="I2806" s="14" t="s">
        <v>164</v>
      </c>
      <c r="J2806" s="14">
        <v>37.40115109</v>
      </c>
      <c r="K2806" s="14">
        <v>28.43246374</v>
      </c>
      <c r="L2806" s="14">
        <v>26.03253779</v>
      </c>
      <c r="M2806" s="14">
        <v>4.265090453</v>
      </c>
      <c r="N2806" s="14">
        <v>5.20150162</v>
      </c>
      <c r="O2806" s="14">
        <v>5.210222342</v>
      </c>
      <c r="P2806" s="14" t="s">
        <v>13325</v>
      </c>
      <c r="Q2806" s="14" t="s">
        <v>13326</v>
      </c>
      <c r="T2806" s="14" t="s">
        <v>13327</v>
      </c>
      <c r="U2806" s="14" t="s">
        <v>13328</v>
      </c>
    </row>
    <row r="2807" spans="1:21">
      <c r="A2807" s="14" t="s">
        <v>13329</v>
      </c>
      <c r="B2807" s="14">
        <v>6002.372306</v>
      </c>
      <c r="C2807" s="14">
        <v>3561.735486</v>
      </c>
      <c r="D2807" s="14">
        <v>8443.009126</v>
      </c>
      <c r="E2807" s="14">
        <v>2.370489127</v>
      </c>
      <c r="F2807" s="14">
        <v>1.245184775</v>
      </c>
      <c r="G2807" s="51" t="s">
        <v>13330</v>
      </c>
      <c r="H2807" s="51" t="s">
        <v>13331</v>
      </c>
      <c r="I2807" s="14" t="s">
        <v>164</v>
      </c>
      <c r="J2807" s="14">
        <v>371.3295867</v>
      </c>
      <c r="K2807" s="14">
        <v>265.7339697</v>
      </c>
      <c r="L2807" s="14">
        <v>356.450706</v>
      </c>
      <c r="M2807" s="14">
        <v>110.4853427</v>
      </c>
      <c r="N2807" s="14">
        <v>107.0170833</v>
      </c>
      <c r="O2807" s="14">
        <v>128.1438524</v>
      </c>
      <c r="P2807" s="14" t="s">
        <v>13332</v>
      </c>
      <c r="Q2807" s="14" t="s">
        <v>13333</v>
      </c>
      <c r="T2807" s="14" t="s">
        <v>13334</v>
      </c>
      <c r="U2807" s="14" t="s">
        <v>13335</v>
      </c>
    </row>
    <row r="2808" spans="1:15">
      <c r="A2808" s="14" t="s">
        <v>13336</v>
      </c>
      <c r="B2808" s="14">
        <v>56.3919096</v>
      </c>
      <c r="C2808" s="14">
        <v>16.83794982</v>
      </c>
      <c r="D2808" s="14">
        <v>95.94586938</v>
      </c>
      <c r="E2808" s="14">
        <v>5.669441579</v>
      </c>
      <c r="F2808" s="14">
        <v>2.503206642</v>
      </c>
      <c r="G2808" s="14">
        <v>0.000686939</v>
      </c>
      <c r="H2808" s="14">
        <v>0.002633193</v>
      </c>
      <c r="I2808" s="14" t="s">
        <v>164</v>
      </c>
      <c r="J2808" s="14">
        <v>5.394002896</v>
      </c>
      <c r="K2808" s="14">
        <v>1.593006147</v>
      </c>
      <c r="L2808" s="14">
        <v>2.394659726</v>
      </c>
      <c r="M2808" s="14">
        <v>0.165811268</v>
      </c>
      <c r="N2808" s="14">
        <v>0.397690567</v>
      </c>
      <c r="O2808" s="14">
        <v>0.838172654</v>
      </c>
    </row>
    <row r="2809" spans="1:21">
      <c r="A2809" s="14" t="s">
        <v>13337</v>
      </c>
      <c r="B2809" s="14">
        <v>27.74524508</v>
      </c>
      <c r="C2809" s="14">
        <v>6.126626513</v>
      </c>
      <c r="D2809" s="14">
        <v>49.36386364</v>
      </c>
      <c r="E2809" s="14">
        <v>8.089701218</v>
      </c>
      <c r="F2809" s="14">
        <v>3.01608642</v>
      </c>
      <c r="G2809" s="14">
        <v>0.000763329</v>
      </c>
      <c r="H2809" s="14">
        <v>0.002887486</v>
      </c>
      <c r="I2809" s="14" t="s">
        <v>164</v>
      </c>
      <c r="J2809" s="14">
        <v>1.378108524</v>
      </c>
      <c r="K2809" s="14">
        <v>0.281756189</v>
      </c>
      <c r="L2809" s="14">
        <v>1.575706833</v>
      </c>
      <c r="M2809" s="14">
        <v>0.092117371</v>
      </c>
      <c r="N2809" s="14">
        <v>0.176751363</v>
      </c>
      <c r="O2809" s="14">
        <v>0.054075655</v>
      </c>
      <c r="P2809" s="14" t="s">
        <v>13338</v>
      </c>
      <c r="Q2809" s="14" t="s">
        <v>13339</v>
      </c>
      <c r="R2809" s="14" t="s">
        <v>3188</v>
      </c>
      <c r="S2809" s="14" t="s">
        <v>3189</v>
      </c>
      <c r="T2809" s="14" t="s">
        <v>13340</v>
      </c>
      <c r="U2809" s="14" t="s">
        <v>13341</v>
      </c>
    </row>
    <row r="2810" spans="1:21">
      <c r="A2810" s="14" t="s">
        <v>13342</v>
      </c>
      <c r="B2810" s="14">
        <v>1101.979304</v>
      </c>
      <c r="C2810" s="14">
        <v>1557.986973</v>
      </c>
      <c r="D2810" s="14">
        <v>645.9716352</v>
      </c>
      <c r="E2810" s="14">
        <v>0.414741693</v>
      </c>
      <c r="F2810" s="14">
        <v>-1.269715008</v>
      </c>
      <c r="G2810" s="51" t="s">
        <v>13343</v>
      </c>
      <c r="H2810" s="51" t="s">
        <v>13344</v>
      </c>
      <c r="I2810" s="14" t="s">
        <v>147</v>
      </c>
      <c r="J2810" s="14">
        <v>5.15109686</v>
      </c>
      <c r="K2810" s="14">
        <v>5.009249585</v>
      </c>
      <c r="L2810" s="14">
        <v>5.348878814</v>
      </c>
      <c r="M2810" s="14">
        <v>11.16729644</v>
      </c>
      <c r="N2810" s="14">
        <v>10.36893145</v>
      </c>
      <c r="O2810" s="14">
        <v>9.048525605</v>
      </c>
      <c r="P2810" s="14" t="s">
        <v>13345</v>
      </c>
      <c r="Q2810" s="14" t="s">
        <v>13346</v>
      </c>
      <c r="R2810" s="14" t="s">
        <v>3823</v>
      </c>
      <c r="S2810" s="14" t="s">
        <v>3824</v>
      </c>
      <c r="T2810" s="14" t="s">
        <v>13347</v>
      </c>
      <c r="U2810" s="14" t="s">
        <v>13348</v>
      </c>
    </row>
    <row r="2811" spans="1:21">
      <c r="A2811" s="14" t="s">
        <v>13349</v>
      </c>
      <c r="B2811" s="14">
        <v>556.7196873</v>
      </c>
      <c r="C2811" s="14">
        <v>215.9343518</v>
      </c>
      <c r="D2811" s="14">
        <v>897.5050229</v>
      </c>
      <c r="E2811" s="14">
        <v>4.15005006</v>
      </c>
      <c r="F2811" s="14">
        <v>2.053128739</v>
      </c>
      <c r="G2811" s="51" t="s">
        <v>5819</v>
      </c>
      <c r="H2811" s="51" t="s">
        <v>5820</v>
      </c>
      <c r="I2811" s="14" t="s">
        <v>164</v>
      </c>
      <c r="J2811" s="14">
        <v>14.06799942</v>
      </c>
      <c r="K2811" s="14">
        <v>13.04958246</v>
      </c>
      <c r="L2811" s="14">
        <v>13.96729399</v>
      </c>
      <c r="M2811" s="14">
        <v>1.978072374</v>
      </c>
      <c r="N2811" s="14">
        <v>2.369056151</v>
      </c>
      <c r="O2811" s="14">
        <v>3.921222122</v>
      </c>
      <c r="P2811" s="14" t="s">
        <v>8229</v>
      </c>
      <c r="Q2811" s="14" t="s">
        <v>8230</v>
      </c>
      <c r="T2811" s="14" t="s">
        <v>8231</v>
      </c>
      <c r="U2811" s="14" t="s">
        <v>8232</v>
      </c>
    </row>
    <row r="2812" spans="1:21">
      <c r="A2812" s="14" t="s">
        <v>13350</v>
      </c>
      <c r="B2812" s="14">
        <v>3291.561291</v>
      </c>
      <c r="C2812" s="14">
        <v>1653.166067</v>
      </c>
      <c r="D2812" s="14">
        <v>4929.956515</v>
      </c>
      <c r="E2812" s="14">
        <v>2.982195653</v>
      </c>
      <c r="F2812" s="14">
        <v>1.576374912</v>
      </c>
      <c r="G2812" s="51" t="s">
        <v>3808</v>
      </c>
      <c r="H2812" s="14">
        <v>0.000236674</v>
      </c>
      <c r="I2812" s="14" t="s">
        <v>164</v>
      </c>
      <c r="J2812" s="14">
        <v>59.86321538</v>
      </c>
      <c r="K2812" s="14">
        <v>21.1100079</v>
      </c>
      <c r="L2812" s="14">
        <v>44.24115757</v>
      </c>
      <c r="M2812" s="14">
        <v>10.09329757</v>
      </c>
      <c r="N2812" s="14">
        <v>13.69684759</v>
      </c>
      <c r="O2812" s="14">
        <v>10.60400725</v>
      </c>
      <c r="P2812" s="14" t="s">
        <v>13351</v>
      </c>
      <c r="Q2812" s="14" t="s">
        <v>13352</v>
      </c>
      <c r="T2812" s="14" t="s">
        <v>13353</v>
      </c>
      <c r="U2812" s="14" t="s">
        <v>13354</v>
      </c>
    </row>
    <row r="2813" spans="1:21">
      <c r="A2813" s="14" t="s">
        <v>13355</v>
      </c>
      <c r="B2813" s="14">
        <v>154.9703856</v>
      </c>
      <c r="C2813" s="14">
        <v>208.9653447</v>
      </c>
      <c r="D2813" s="14">
        <v>100.9754265</v>
      </c>
      <c r="E2813" s="14">
        <v>0.483530965</v>
      </c>
      <c r="F2813" s="14">
        <v>-1.048319814</v>
      </c>
      <c r="G2813" s="14">
        <v>0.010954485</v>
      </c>
      <c r="H2813" s="14">
        <v>0.029193932</v>
      </c>
      <c r="I2813" s="14" t="s">
        <v>147</v>
      </c>
      <c r="J2813" s="14">
        <v>1.316935383</v>
      </c>
      <c r="K2813" s="14">
        <v>1.06042784</v>
      </c>
      <c r="L2813" s="14">
        <v>1.124670176</v>
      </c>
      <c r="M2813" s="14">
        <v>2.165344423</v>
      </c>
      <c r="N2813" s="14">
        <v>2.556788808</v>
      </c>
      <c r="O2813" s="14">
        <v>1.140750524</v>
      </c>
      <c r="P2813" s="14" t="s">
        <v>13356</v>
      </c>
      <c r="Q2813" s="14" t="s">
        <v>13357</v>
      </c>
      <c r="T2813" s="14" t="s">
        <v>13358</v>
      </c>
      <c r="U2813" s="14" t="s">
        <v>13359</v>
      </c>
    </row>
    <row r="2814" spans="1:15">
      <c r="A2814" s="14" t="s">
        <v>13360</v>
      </c>
      <c r="B2814" s="14">
        <v>383.6886796</v>
      </c>
      <c r="C2814" s="14">
        <v>523.2377423</v>
      </c>
      <c r="D2814" s="14">
        <v>244.1396168</v>
      </c>
      <c r="E2814" s="14">
        <v>0.466755423</v>
      </c>
      <c r="F2814" s="14">
        <v>-1.099261309</v>
      </c>
      <c r="G2814" s="51" t="s">
        <v>13361</v>
      </c>
      <c r="H2814" s="51" t="s">
        <v>13362</v>
      </c>
      <c r="I2814" s="14" t="s">
        <v>147</v>
      </c>
      <c r="J2814" s="14">
        <v>5.694729482</v>
      </c>
      <c r="K2814" s="14">
        <v>5.46938485</v>
      </c>
      <c r="L2814" s="14">
        <v>4.897179756</v>
      </c>
      <c r="M2814" s="14">
        <v>10.52582934</v>
      </c>
      <c r="N2814" s="14">
        <v>9.616563393</v>
      </c>
      <c r="O2814" s="14">
        <v>7.987546825</v>
      </c>
    </row>
    <row r="2815" spans="1:21">
      <c r="A2815" s="14" t="s">
        <v>13363</v>
      </c>
      <c r="B2815" s="14">
        <v>1547.158779</v>
      </c>
      <c r="C2815" s="14">
        <v>139.146914</v>
      </c>
      <c r="D2815" s="14">
        <v>2955.170643</v>
      </c>
      <c r="E2815" s="14">
        <v>21.20891933</v>
      </c>
      <c r="F2815" s="14">
        <v>4.406599207</v>
      </c>
      <c r="G2815" s="51" t="s">
        <v>13364</v>
      </c>
      <c r="H2815" s="51" t="s">
        <v>13365</v>
      </c>
      <c r="I2815" s="14" t="s">
        <v>164</v>
      </c>
      <c r="J2815" s="14">
        <v>38.56583715</v>
      </c>
      <c r="K2815" s="14">
        <v>22.14574737</v>
      </c>
      <c r="L2815" s="14">
        <v>45.64347511</v>
      </c>
      <c r="M2815" s="14">
        <v>0.67919528</v>
      </c>
      <c r="N2815" s="14">
        <v>1.079528408</v>
      </c>
      <c r="O2815" s="14">
        <v>2.479527153</v>
      </c>
      <c r="P2815" s="14" t="s">
        <v>13366</v>
      </c>
      <c r="Q2815" s="14" t="s">
        <v>13367</v>
      </c>
      <c r="T2815" s="14" t="s">
        <v>13368</v>
      </c>
      <c r="U2815" s="14" t="s">
        <v>13369</v>
      </c>
    </row>
    <row r="2816" spans="1:21">
      <c r="A2816" s="14" t="s">
        <v>13370</v>
      </c>
      <c r="B2816" s="14">
        <v>997.7665307</v>
      </c>
      <c r="C2816" s="14">
        <v>1351.021348</v>
      </c>
      <c r="D2816" s="14">
        <v>644.5117131</v>
      </c>
      <c r="E2816" s="14">
        <v>0.477151539</v>
      </c>
      <c r="F2816" s="14">
        <v>-1.067480568</v>
      </c>
      <c r="G2816" s="14">
        <v>0.00200803</v>
      </c>
      <c r="H2816" s="14">
        <v>0.006737435</v>
      </c>
      <c r="I2816" s="14" t="s">
        <v>147</v>
      </c>
      <c r="J2816" s="14">
        <v>7.427620195</v>
      </c>
      <c r="K2816" s="14">
        <v>4.389389568</v>
      </c>
      <c r="L2816" s="14">
        <v>6.510557103</v>
      </c>
      <c r="M2816" s="14">
        <v>13.32791534</v>
      </c>
      <c r="N2816" s="14">
        <v>10.60029065</v>
      </c>
      <c r="O2816" s="14">
        <v>7.191128844</v>
      </c>
      <c r="P2816" s="14" t="s">
        <v>13371</v>
      </c>
      <c r="Q2816" s="14" t="s">
        <v>13372</v>
      </c>
      <c r="T2816" s="14" t="s">
        <v>13373</v>
      </c>
      <c r="U2816" s="14" t="s">
        <v>13374</v>
      </c>
    </row>
    <row r="2817" spans="1:15">
      <c r="A2817" s="14" t="s">
        <v>13375</v>
      </c>
      <c r="B2817" s="14">
        <v>438.2589369</v>
      </c>
      <c r="C2817" s="14">
        <v>230.4082168</v>
      </c>
      <c r="D2817" s="14">
        <v>646.1096571</v>
      </c>
      <c r="E2817" s="14">
        <v>2.802511158</v>
      </c>
      <c r="F2817" s="14">
        <v>1.486720117</v>
      </c>
      <c r="G2817" s="51" t="s">
        <v>13376</v>
      </c>
      <c r="H2817" s="51" t="s">
        <v>13377</v>
      </c>
      <c r="I2817" s="14" t="s">
        <v>164</v>
      </c>
      <c r="J2817" s="14">
        <v>26.51147476</v>
      </c>
      <c r="K2817" s="14">
        <v>28.90158899</v>
      </c>
      <c r="L2817" s="14">
        <v>22.86593538</v>
      </c>
      <c r="M2817" s="14">
        <v>7.401124924</v>
      </c>
      <c r="N2817" s="14">
        <v>6.640283071</v>
      </c>
      <c r="O2817" s="14">
        <v>9.08494449</v>
      </c>
    </row>
    <row r="2818" spans="1:21">
      <c r="A2818" s="14" t="s">
        <v>13378</v>
      </c>
      <c r="B2818" s="14">
        <v>572.6093286</v>
      </c>
      <c r="C2818" s="14">
        <v>307.4068558</v>
      </c>
      <c r="D2818" s="14">
        <v>837.8118014</v>
      </c>
      <c r="E2818" s="14">
        <v>2.72767346</v>
      </c>
      <c r="F2818" s="14">
        <v>1.447670944</v>
      </c>
      <c r="G2818" s="51" t="s">
        <v>13379</v>
      </c>
      <c r="H2818" s="51" t="s">
        <v>13380</v>
      </c>
      <c r="I2818" s="14" t="s">
        <v>164</v>
      </c>
      <c r="J2818" s="14">
        <v>6.849519616</v>
      </c>
      <c r="K2818" s="14">
        <v>7.887702665</v>
      </c>
      <c r="L2818" s="14">
        <v>6.840834596</v>
      </c>
      <c r="M2818" s="14">
        <v>2.278644933</v>
      </c>
      <c r="N2818" s="14">
        <v>2.388634309</v>
      </c>
      <c r="O2818" s="14">
        <v>1.802029284</v>
      </c>
      <c r="P2818" s="14" t="s">
        <v>13381</v>
      </c>
      <c r="Q2818" s="14" t="s">
        <v>13382</v>
      </c>
      <c r="T2818" s="14" t="s">
        <v>13383</v>
      </c>
      <c r="U2818" s="14" t="s">
        <v>13384</v>
      </c>
    </row>
    <row r="2819" spans="1:21">
      <c r="A2819" s="14" t="s">
        <v>13385</v>
      </c>
      <c r="B2819" s="14">
        <v>202.9502307</v>
      </c>
      <c r="C2819" s="14">
        <v>68.04367963</v>
      </c>
      <c r="D2819" s="14">
        <v>337.8567818</v>
      </c>
      <c r="E2819" s="14">
        <v>4.969282827</v>
      </c>
      <c r="F2819" s="14">
        <v>2.313037655</v>
      </c>
      <c r="G2819" s="14">
        <v>0.001904481</v>
      </c>
      <c r="H2819" s="14">
        <v>0.006429969</v>
      </c>
      <c r="I2819" s="14" t="s">
        <v>164</v>
      </c>
      <c r="J2819" s="14">
        <v>3.764495633</v>
      </c>
      <c r="K2819" s="14">
        <v>2.860201553</v>
      </c>
      <c r="L2819" s="14">
        <v>2.718481876</v>
      </c>
      <c r="M2819" s="14">
        <v>0.437789856</v>
      </c>
      <c r="N2819" s="14">
        <v>0.975017163</v>
      </c>
      <c r="O2819" s="14">
        <v>0.091784198</v>
      </c>
      <c r="P2819" s="14" t="s">
        <v>2614</v>
      </c>
      <c r="Q2819" s="14" t="s">
        <v>2615</v>
      </c>
      <c r="T2819" s="14" t="s">
        <v>2606</v>
      </c>
      <c r="U2819" s="14" t="s">
        <v>2607</v>
      </c>
    </row>
    <row r="2820" spans="1:21">
      <c r="A2820" s="14" t="s">
        <v>13386</v>
      </c>
      <c r="B2820" s="14">
        <v>115.5484553</v>
      </c>
      <c r="C2820" s="14">
        <v>46.74380374</v>
      </c>
      <c r="D2820" s="14">
        <v>184.3531068</v>
      </c>
      <c r="E2820" s="14">
        <v>3.934548821</v>
      </c>
      <c r="F2820" s="14">
        <v>1.97619821</v>
      </c>
      <c r="G2820" s="14">
        <v>0.001263579</v>
      </c>
      <c r="H2820" s="14">
        <v>0.004491746</v>
      </c>
      <c r="I2820" s="14" t="s">
        <v>164</v>
      </c>
      <c r="J2820" s="14">
        <v>2.443783112</v>
      </c>
      <c r="K2820" s="14">
        <v>1.169384921</v>
      </c>
      <c r="L2820" s="14">
        <v>1.986545122</v>
      </c>
      <c r="M2820" s="14">
        <v>0.265645591</v>
      </c>
      <c r="N2820" s="14">
        <v>0.164422844</v>
      </c>
      <c r="O2820" s="14">
        <v>0.779709581</v>
      </c>
      <c r="P2820" s="14" t="s">
        <v>13387</v>
      </c>
      <c r="Q2820" s="14" t="s">
        <v>13388</v>
      </c>
      <c r="T2820" s="14" t="s">
        <v>11450</v>
      </c>
      <c r="U2820" s="14" t="s">
        <v>11451</v>
      </c>
    </row>
    <row r="2821" spans="1:15">
      <c r="A2821" s="14" t="s">
        <v>13389</v>
      </c>
      <c r="B2821" s="14">
        <v>6.834886434</v>
      </c>
      <c r="C2821" s="14">
        <v>0.309088846</v>
      </c>
      <c r="D2821" s="14">
        <v>13.36068402</v>
      </c>
      <c r="E2821" s="14">
        <v>37.0077982</v>
      </c>
      <c r="F2821" s="14">
        <v>5.209757399</v>
      </c>
      <c r="G2821" s="14">
        <v>0.001150552</v>
      </c>
      <c r="H2821" s="14">
        <v>0.004144545</v>
      </c>
      <c r="I2821" s="14" t="s">
        <v>164</v>
      </c>
      <c r="J2821" s="14">
        <v>0.701169787</v>
      </c>
      <c r="K2821" s="14">
        <v>0.201642381</v>
      </c>
      <c r="L2821" s="14">
        <v>0.450080623</v>
      </c>
      <c r="M2821" s="14">
        <v>0</v>
      </c>
      <c r="N2821" s="14">
        <v>0</v>
      </c>
      <c r="O2821" s="14">
        <v>0.027949947</v>
      </c>
    </row>
    <row r="2822" spans="1:21">
      <c r="A2822" s="14" t="s">
        <v>13390</v>
      </c>
      <c r="B2822" s="14">
        <v>1789.950933</v>
      </c>
      <c r="C2822" s="14">
        <v>1129.185224</v>
      </c>
      <c r="D2822" s="14">
        <v>2450.716642</v>
      </c>
      <c r="E2822" s="14">
        <v>2.170836612</v>
      </c>
      <c r="F2822" s="14">
        <v>1.118251146</v>
      </c>
      <c r="G2822" s="51" t="s">
        <v>13391</v>
      </c>
      <c r="H2822" s="51" t="s">
        <v>13392</v>
      </c>
      <c r="I2822" s="14" t="s">
        <v>164</v>
      </c>
      <c r="J2822" s="14">
        <v>20.35910917</v>
      </c>
      <c r="K2822" s="14">
        <v>18.99284204</v>
      </c>
      <c r="L2822" s="14">
        <v>23.8970062</v>
      </c>
      <c r="M2822" s="14">
        <v>7.544412697</v>
      </c>
      <c r="N2822" s="14">
        <v>8.614300128</v>
      </c>
      <c r="O2822" s="14">
        <v>7.751818235</v>
      </c>
      <c r="P2822" s="14" t="s">
        <v>13393</v>
      </c>
      <c r="Q2822" s="14" t="s">
        <v>13394</v>
      </c>
      <c r="T2822" s="14" t="s">
        <v>13395</v>
      </c>
      <c r="U2822" s="14" t="s">
        <v>13396</v>
      </c>
    </row>
    <row r="2823" spans="1:21">
      <c r="A2823" s="14" t="s">
        <v>13397</v>
      </c>
      <c r="B2823" s="14">
        <v>4233.822951</v>
      </c>
      <c r="C2823" s="14">
        <v>2479.312498</v>
      </c>
      <c r="D2823" s="14">
        <v>5988.333405</v>
      </c>
      <c r="E2823" s="14">
        <v>2.415673495</v>
      </c>
      <c r="F2823" s="14">
        <v>1.272425471</v>
      </c>
      <c r="G2823" s="51" t="s">
        <v>13398</v>
      </c>
      <c r="H2823" s="51" t="s">
        <v>13399</v>
      </c>
      <c r="I2823" s="14" t="s">
        <v>164</v>
      </c>
      <c r="J2823" s="14">
        <v>83.70262863</v>
      </c>
      <c r="K2823" s="14">
        <v>71.36990752</v>
      </c>
      <c r="L2823" s="14">
        <v>88.67301652</v>
      </c>
      <c r="M2823" s="14">
        <v>29.60430049</v>
      </c>
      <c r="N2823" s="14">
        <v>29.74640661</v>
      </c>
      <c r="O2823" s="14">
        <v>22.9736648</v>
      </c>
      <c r="P2823" s="14" t="s">
        <v>13400</v>
      </c>
      <c r="Q2823" s="14" t="s">
        <v>13401</v>
      </c>
      <c r="R2823" s="14" t="s">
        <v>13402</v>
      </c>
      <c r="S2823" s="14" t="s">
        <v>13403</v>
      </c>
      <c r="T2823" s="14" t="s">
        <v>13404</v>
      </c>
      <c r="U2823" s="14" t="s">
        <v>13405</v>
      </c>
    </row>
    <row r="2824" spans="1:21">
      <c r="A2824" s="14" t="s">
        <v>13406</v>
      </c>
      <c r="B2824" s="14">
        <v>30.45415955</v>
      </c>
      <c r="C2824" s="14">
        <v>54.08112764</v>
      </c>
      <c r="D2824" s="14">
        <v>6.827191454</v>
      </c>
      <c r="E2824" s="14">
        <v>0.126459586</v>
      </c>
      <c r="F2824" s="14">
        <v>-2.98325169</v>
      </c>
      <c r="G2824" s="51" t="s">
        <v>9338</v>
      </c>
      <c r="H2824" s="51" t="s">
        <v>12455</v>
      </c>
      <c r="I2824" s="14" t="s">
        <v>147</v>
      </c>
      <c r="J2824" s="14">
        <v>0.412394362</v>
      </c>
      <c r="K2824" s="14">
        <v>0.124526173</v>
      </c>
      <c r="L2824" s="14">
        <v>0.317658943</v>
      </c>
      <c r="M2824" s="14">
        <v>1.799496396</v>
      </c>
      <c r="N2824" s="14">
        <v>1.489445861</v>
      </c>
      <c r="O2824" s="14">
        <v>2.312941302</v>
      </c>
      <c r="P2824" s="14" t="s">
        <v>4359</v>
      </c>
      <c r="Q2824" s="14" t="s">
        <v>4360</v>
      </c>
      <c r="T2824" s="14" t="s">
        <v>4361</v>
      </c>
      <c r="U2824" s="14" t="s">
        <v>4362</v>
      </c>
    </row>
    <row r="2825" spans="1:21">
      <c r="A2825" s="14" t="s">
        <v>13407</v>
      </c>
      <c r="B2825" s="14">
        <v>227.9321594</v>
      </c>
      <c r="C2825" s="14">
        <v>60.58209195</v>
      </c>
      <c r="D2825" s="14">
        <v>395.2822269</v>
      </c>
      <c r="E2825" s="14">
        <v>6.514076784</v>
      </c>
      <c r="F2825" s="14">
        <v>2.703560726</v>
      </c>
      <c r="G2825" s="51" t="s">
        <v>13408</v>
      </c>
      <c r="H2825" s="51" t="s">
        <v>13409</v>
      </c>
      <c r="I2825" s="14" t="s">
        <v>164</v>
      </c>
      <c r="J2825" s="14">
        <v>5.79989207</v>
      </c>
      <c r="K2825" s="14">
        <v>2.516818016</v>
      </c>
      <c r="L2825" s="14">
        <v>4.115889445</v>
      </c>
      <c r="M2825" s="14">
        <v>0.452737393</v>
      </c>
      <c r="N2825" s="14">
        <v>0.289565187</v>
      </c>
      <c r="O2825" s="14">
        <v>0.859845432</v>
      </c>
      <c r="P2825" s="14" t="s">
        <v>5474</v>
      </c>
      <c r="Q2825" s="14" t="s">
        <v>5475</v>
      </c>
      <c r="T2825" s="14" t="s">
        <v>5476</v>
      </c>
      <c r="U2825" s="14" t="s">
        <v>5477</v>
      </c>
    </row>
    <row r="2826" spans="1:15">
      <c r="A2826" s="14" t="s">
        <v>13410</v>
      </c>
      <c r="B2826" s="14">
        <v>2511.162096</v>
      </c>
      <c r="C2826" s="14">
        <v>3817.894444</v>
      </c>
      <c r="D2826" s="14">
        <v>1204.429748</v>
      </c>
      <c r="E2826" s="14">
        <v>0.315471162</v>
      </c>
      <c r="F2826" s="14">
        <v>-1.664419963</v>
      </c>
      <c r="G2826" s="51" t="s">
        <v>13411</v>
      </c>
      <c r="H2826" s="51" t="s">
        <v>13412</v>
      </c>
      <c r="I2826" s="14" t="s">
        <v>147</v>
      </c>
      <c r="J2826" s="14">
        <v>23.37099174</v>
      </c>
      <c r="K2826" s="14">
        <v>32.44250222</v>
      </c>
      <c r="L2826" s="14">
        <v>24.912993</v>
      </c>
      <c r="M2826" s="14">
        <v>72.63037204</v>
      </c>
      <c r="N2826" s="14">
        <v>78.46298186</v>
      </c>
      <c r="O2826" s="14">
        <v>58.09813171</v>
      </c>
    </row>
    <row r="2827" spans="1:21">
      <c r="A2827" s="14" t="s">
        <v>13413</v>
      </c>
      <c r="B2827" s="14">
        <v>2602.537806</v>
      </c>
      <c r="C2827" s="14">
        <v>3909.942271</v>
      </c>
      <c r="D2827" s="14">
        <v>1295.133341</v>
      </c>
      <c r="E2827" s="14">
        <v>0.331261244</v>
      </c>
      <c r="F2827" s="14">
        <v>-1.593958669</v>
      </c>
      <c r="G2827" s="51" t="s">
        <v>13414</v>
      </c>
      <c r="H2827" s="51" t="s">
        <v>13415</v>
      </c>
      <c r="I2827" s="14" t="s">
        <v>147</v>
      </c>
      <c r="J2827" s="14">
        <v>24.45464309</v>
      </c>
      <c r="K2827" s="14">
        <v>22.68938483</v>
      </c>
      <c r="L2827" s="14">
        <v>22.30148461</v>
      </c>
      <c r="M2827" s="14">
        <v>65.11816403</v>
      </c>
      <c r="N2827" s="14">
        <v>64.55170975</v>
      </c>
      <c r="O2827" s="14">
        <v>40.71959025</v>
      </c>
      <c r="P2827" s="14" t="s">
        <v>13416</v>
      </c>
      <c r="Q2827" s="14" t="s">
        <v>13417</v>
      </c>
      <c r="T2827" s="14" t="s">
        <v>13418</v>
      </c>
      <c r="U2827" s="14" t="s">
        <v>13419</v>
      </c>
    </row>
    <row r="2828" spans="1:15">
      <c r="A2828" s="14" t="s">
        <v>13420</v>
      </c>
      <c r="B2828" s="14">
        <v>86.13850187</v>
      </c>
      <c r="C2828" s="14">
        <v>41.23801782</v>
      </c>
      <c r="D2828" s="14">
        <v>131.0389859</v>
      </c>
      <c r="E2828" s="14">
        <v>3.186668505</v>
      </c>
      <c r="F2828" s="14">
        <v>1.67204895</v>
      </c>
      <c r="G2828" s="51" t="s">
        <v>9798</v>
      </c>
      <c r="H2828" s="14">
        <v>0.000176634</v>
      </c>
      <c r="I2828" s="14" t="s">
        <v>164</v>
      </c>
      <c r="J2828" s="14">
        <v>4.054001533</v>
      </c>
      <c r="K2828" s="14">
        <v>5.196228144</v>
      </c>
      <c r="L2828" s="14">
        <v>3.293487924</v>
      </c>
      <c r="M2828" s="14">
        <v>1.463308128</v>
      </c>
      <c r="N2828" s="14">
        <v>0.857920816</v>
      </c>
      <c r="O2828" s="14">
        <v>0.90142572</v>
      </c>
    </row>
    <row r="2829" spans="1:21">
      <c r="A2829" s="14" t="s">
        <v>13421</v>
      </c>
      <c r="B2829" s="14">
        <v>91.79786256</v>
      </c>
      <c r="C2829" s="14">
        <v>1.401768239</v>
      </c>
      <c r="D2829" s="14">
        <v>182.1939569</v>
      </c>
      <c r="E2829" s="14">
        <v>135.2415422</v>
      </c>
      <c r="F2829" s="14">
        <v>7.079394563</v>
      </c>
      <c r="G2829" s="51" t="s">
        <v>13422</v>
      </c>
      <c r="H2829" s="51" t="s">
        <v>5400</v>
      </c>
      <c r="I2829" s="14" t="s">
        <v>164</v>
      </c>
      <c r="J2829" s="14">
        <v>1.915887029</v>
      </c>
      <c r="K2829" s="14">
        <v>1.647738727</v>
      </c>
      <c r="L2829" s="14">
        <v>1.394358828</v>
      </c>
      <c r="M2829" s="14">
        <v>0.015391763</v>
      </c>
      <c r="N2829" s="14">
        <v>0.01476657</v>
      </c>
      <c r="O2829" s="14">
        <v>0</v>
      </c>
      <c r="P2829" s="14" t="s">
        <v>13423</v>
      </c>
      <c r="Q2829" s="14" t="s">
        <v>13424</v>
      </c>
      <c r="T2829" s="14" t="s">
        <v>13425</v>
      </c>
      <c r="U2829" s="14" t="s">
        <v>13426</v>
      </c>
    </row>
    <row r="2830" spans="1:15">
      <c r="A2830" s="14" t="s">
        <v>13427</v>
      </c>
      <c r="B2830" s="14">
        <v>128.5400153</v>
      </c>
      <c r="C2830" s="14">
        <v>68.2786592</v>
      </c>
      <c r="D2830" s="14">
        <v>188.8013713</v>
      </c>
      <c r="E2830" s="14">
        <v>2.757624144</v>
      </c>
      <c r="F2830" s="14">
        <v>1.463425835</v>
      </c>
      <c r="G2830" s="14">
        <v>0.000861692</v>
      </c>
      <c r="H2830" s="14">
        <v>0.00321317</v>
      </c>
      <c r="I2830" s="14" t="s">
        <v>164</v>
      </c>
      <c r="J2830" s="14">
        <v>13.56517381</v>
      </c>
      <c r="K2830" s="14">
        <v>18.7634392</v>
      </c>
      <c r="L2830" s="14">
        <v>15.22473494</v>
      </c>
      <c r="M2830" s="14">
        <v>2.4209441</v>
      </c>
      <c r="N2830" s="14">
        <v>4.303656836</v>
      </c>
      <c r="O2830" s="14">
        <v>7.802483713</v>
      </c>
    </row>
    <row r="2831" spans="1:21">
      <c r="A2831" s="14" t="s">
        <v>13428</v>
      </c>
      <c r="B2831" s="14">
        <v>4023.105676</v>
      </c>
      <c r="C2831" s="14">
        <v>5635.805412</v>
      </c>
      <c r="D2831" s="14">
        <v>2410.40594</v>
      </c>
      <c r="E2831" s="14">
        <v>0.427725661</v>
      </c>
      <c r="F2831" s="14">
        <v>-1.22524233</v>
      </c>
      <c r="G2831" s="51" t="s">
        <v>13429</v>
      </c>
      <c r="H2831" s="51" t="s">
        <v>13430</v>
      </c>
      <c r="I2831" s="14" t="s">
        <v>147</v>
      </c>
      <c r="J2831" s="14">
        <v>29.7135996</v>
      </c>
      <c r="K2831" s="14">
        <v>32.68791739</v>
      </c>
      <c r="L2831" s="14">
        <v>31.82862716</v>
      </c>
      <c r="M2831" s="14">
        <v>65.12521371</v>
      </c>
      <c r="N2831" s="14">
        <v>61.24027221</v>
      </c>
      <c r="O2831" s="14">
        <v>53.91723132</v>
      </c>
      <c r="P2831" s="14" t="s">
        <v>13431</v>
      </c>
      <c r="Q2831" s="14" t="s">
        <v>13432</v>
      </c>
      <c r="R2831" s="14" t="s">
        <v>13433</v>
      </c>
      <c r="S2831" s="14" t="s">
        <v>13434</v>
      </c>
      <c r="T2831" s="14" t="s">
        <v>13435</v>
      </c>
      <c r="U2831" s="14" t="s">
        <v>13436</v>
      </c>
    </row>
    <row r="2832" spans="1:21">
      <c r="A2832" s="14" t="s">
        <v>13437</v>
      </c>
      <c r="B2832" s="14">
        <v>4474.33058</v>
      </c>
      <c r="C2832" s="14">
        <v>6693.74172</v>
      </c>
      <c r="D2832" s="14">
        <v>2254.919441</v>
      </c>
      <c r="E2832" s="14">
        <v>0.336831958</v>
      </c>
      <c r="F2832" s="14">
        <v>-1.569899071</v>
      </c>
      <c r="G2832" s="51" t="s">
        <v>13438</v>
      </c>
      <c r="H2832" s="51" t="s">
        <v>13439</v>
      </c>
      <c r="I2832" s="14" t="s">
        <v>147</v>
      </c>
      <c r="J2832" s="14">
        <v>75.71050302</v>
      </c>
      <c r="K2832" s="14">
        <v>75.18242728</v>
      </c>
      <c r="L2832" s="14">
        <v>65.74557675</v>
      </c>
      <c r="M2832" s="14">
        <v>168.7745984</v>
      </c>
      <c r="N2832" s="14">
        <v>159.3916459</v>
      </c>
      <c r="O2832" s="14">
        <v>203.8700513</v>
      </c>
      <c r="P2832" s="14" t="s">
        <v>13440</v>
      </c>
      <c r="Q2832" s="14" t="s">
        <v>13441</v>
      </c>
      <c r="R2832" s="14" t="s">
        <v>2754</v>
      </c>
      <c r="S2832" s="14" t="s">
        <v>2755</v>
      </c>
      <c r="T2832" s="14" t="s">
        <v>13442</v>
      </c>
      <c r="U2832" s="14" t="s">
        <v>13443</v>
      </c>
    </row>
    <row r="2833" spans="1:15">
      <c r="A2833" s="14" t="s">
        <v>13444</v>
      </c>
      <c r="B2833" s="14">
        <v>2790.085455</v>
      </c>
      <c r="C2833" s="14">
        <v>3733.93129</v>
      </c>
      <c r="D2833" s="14">
        <v>1846.239621</v>
      </c>
      <c r="E2833" s="14">
        <v>0.494424364</v>
      </c>
      <c r="F2833" s="14">
        <v>-1.016178256</v>
      </c>
      <c r="G2833" s="51" t="s">
        <v>13445</v>
      </c>
      <c r="H2833" s="51" t="s">
        <v>13446</v>
      </c>
      <c r="I2833" s="14" t="s">
        <v>147</v>
      </c>
      <c r="J2833" s="14">
        <v>18.23979074</v>
      </c>
      <c r="K2833" s="14">
        <v>23.90736</v>
      </c>
      <c r="L2833" s="14">
        <v>22.61338751</v>
      </c>
      <c r="M2833" s="14">
        <v>33.4114209</v>
      </c>
      <c r="N2833" s="14">
        <v>31.87367744</v>
      </c>
      <c r="O2833" s="14">
        <v>43.18809932</v>
      </c>
    </row>
    <row r="2834" spans="1:15">
      <c r="A2834" s="14" t="s">
        <v>13447</v>
      </c>
      <c r="B2834" s="14">
        <v>286.4190082</v>
      </c>
      <c r="C2834" s="14">
        <v>447.14233</v>
      </c>
      <c r="D2834" s="14">
        <v>125.6956863</v>
      </c>
      <c r="E2834" s="14">
        <v>0.280962861</v>
      </c>
      <c r="F2834" s="14">
        <v>-1.831548653</v>
      </c>
      <c r="G2834" s="51" t="s">
        <v>13448</v>
      </c>
      <c r="H2834" s="51" t="s">
        <v>13449</v>
      </c>
      <c r="I2834" s="14" t="s">
        <v>147</v>
      </c>
      <c r="J2834" s="14">
        <v>1.874572816</v>
      </c>
      <c r="K2834" s="14">
        <v>2.210669586</v>
      </c>
      <c r="L2834" s="14">
        <v>1.225736982</v>
      </c>
      <c r="M2834" s="14">
        <v>5.158730885</v>
      </c>
      <c r="N2834" s="14">
        <v>5.936731205</v>
      </c>
      <c r="O2834" s="14">
        <v>4.391429084</v>
      </c>
    </row>
    <row r="2835" spans="1:21">
      <c r="A2835" s="14" t="s">
        <v>13450</v>
      </c>
      <c r="B2835" s="14">
        <v>2055.761163</v>
      </c>
      <c r="C2835" s="14">
        <v>1213.079562</v>
      </c>
      <c r="D2835" s="14">
        <v>2898.442763</v>
      </c>
      <c r="E2835" s="14">
        <v>2.388725971</v>
      </c>
      <c r="F2835" s="14">
        <v>1.256241361</v>
      </c>
      <c r="G2835" s="51" t="s">
        <v>13451</v>
      </c>
      <c r="H2835" s="51" t="s">
        <v>13452</v>
      </c>
      <c r="I2835" s="14" t="s">
        <v>164</v>
      </c>
      <c r="J2835" s="14">
        <v>107.4846164</v>
      </c>
      <c r="K2835" s="14">
        <v>90.16625957</v>
      </c>
      <c r="L2835" s="14">
        <v>86.40917011</v>
      </c>
      <c r="M2835" s="14">
        <v>29.25096725</v>
      </c>
      <c r="N2835" s="14">
        <v>27.82365857</v>
      </c>
      <c r="O2835" s="14">
        <v>41.73554007</v>
      </c>
      <c r="P2835" s="14" t="s">
        <v>13453</v>
      </c>
      <c r="Q2835" s="14" t="s">
        <v>13454</v>
      </c>
      <c r="R2835" s="14" t="s">
        <v>4420</v>
      </c>
      <c r="S2835" s="14" t="s">
        <v>4421</v>
      </c>
      <c r="T2835" s="14" t="s">
        <v>13455</v>
      </c>
      <c r="U2835" s="14" t="s">
        <v>13456</v>
      </c>
    </row>
    <row r="2836" spans="1:15">
      <c r="A2836" s="14" t="s">
        <v>13457</v>
      </c>
      <c r="B2836" s="14">
        <v>1232.769792</v>
      </c>
      <c r="C2836" s="14">
        <v>1682.354759</v>
      </c>
      <c r="D2836" s="14">
        <v>783.1848248</v>
      </c>
      <c r="E2836" s="14">
        <v>0.465649136</v>
      </c>
      <c r="F2836" s="14">
        <v>-1.102684793</v>
      </c>
      <c r="G2836" s="51" t="s">
        <v>8796</v>
      </c>
      <c r="H2836" s="51" t="s">
        <v>8797</v>
      </c>
      <c r="I2836" s="14" t="s">
        <v>147</v>
      </c>
      <c r="J2836" s="14">
        <v>6.058875365</v>
      </c>
      <c r="K2836" s="14">
        <v>5.69340486</v>
      </c>
      <c r="L2836" s="14">
        <v>6.265104659</v>
      </c>
      <c r="M2836" s="14">
        <v>10.80312653</v>
      </c>
      <c r="N2836" s="14">
        <v>11.39264711</v>
      </c>
      <c r="O2836" s="14">
        <v>9.476410399</v>
      </c>
    </row>
    <row r="2837" spans="1:21">
      <c r="A2837" s="14" t="s">
        <v>13458</v>
      </c>
      <c r="B2837" s="14">
        <v>111.1400554</v>
      </c>
      <c r="C2837" s="14">
        <v>211.7211281</v>
      </c>
      <c r="D2837" s="14">
        <v>10.55898283</v>
      </c>
      <c r="E2837" s="14">
        <v>0.049729293</v>
      </c>
      <c r="F2837" s="14">
        <v>-4.329760271</v>
      </c>
      <c r="G2837" s="51" t="s">
        <v>858</v>
      </c>
      <c r="H2837" s="51" t="s">
        <v>13459</v>
      </c>
      <c r="I2837" s="14" t="s">
        <v>147</v>
      </c>
      <c r="J2837" s="14">
        <v>0.057287651</v>
      </c>
      <c r="K2837" s="14">
        <v>0.12253118</v>
      </c>
      <c r="L2837" s="14">
        <v>0.04826446</v>
      </c>
      <c r="M2837" s="14">
        <v>1.341785913</v>
      </c>
      <c r="N2837" s="14">
        <v>1.675232977</v>
      </c>
      <c r="O2837" s="14">
        <v>0.695354238</v>
      </c>
      <c r="P2837" s="14" t="s">
        <v>9622</v>
      </c>
      <c r="Q2837" s="14" t="s">
        <v>9623</v>
      </c>
      <c r="T2837" s="14" t="s">
        <v>9624</v>
      </c>
      <c r="U2837" s="14" t="s">
        <v>9625</v>
      </c>
    </row>
    <row r="2838" spans="1:21">
      <c r="A2838" s="14" t="s">
        <v>13460</v>
      </c>
      <c r="B2838" s="14">
        <v>879.387221</v>
      </c>
      <c r="C2838" s="14">
        <v>521.8964106</v>
      </c>
      <c r="D2838" s="14">
        <v>1236.878031</v>
      </c>
      <c r="E2838" s="14">
        <v>2.369144787</v>
      </c>
      <c r="F2838" s="14">
        <v>1.24436637</v>
      </c>
      <c r="G2838" s="51" t="s">
        <v>13461</v>
      </c>
      <c r="H2838" s="51" t="s">
        <v>13462</v>
      </c>
      <c r="I2838" s="14" t="s">
        <v>164</v>
      </c>
      <c r="J2838" s="14">
        <v>23.03685998</v>
      </c>
      <c r="K2838" s="14">
        <v>15.92994639</v>
      </c>
      <c r="L2838" s="14">
        <v>22.35419395</v>
      </c>
      <c r="M2838" s="14">
        <v>6.001194019</v>
      </c>
      <c r="N2838" s="14">
        <v>6.549248027</v>
      </c>
      <c r="O2838" s="14">
        <v>8.909849488</v>
      </c>
      <c r="P2838" s="14" t="s">
        <v>1611</v>
      </c>
      <c r="Q2838" s="14" t="s">
        <v>1612</v>
      </c>
      <c r="R2838" s="14" t="s">
        <v>1613</v>
      </c>
      <c r="S2838" s="14" t="s">
        <v>1614</v>
      </c>
      <c r="T2838" s="14" t="s">
        <v>1615</v>
      </c>
      <c r="U2838" s="14" t="s">
        <v>1616</v>
      </c>
    </row>
    <row r="2839" spans="1:21">
      <c r="A2839" s="14" t="s">
        <v>13463</v>
      </c>
      <c r="B2839" s="14">
        <v>1003.618399</v>
      </c>
      <c r="C2839" s="14">
        <v>1367.942275</v>
      </c>
      <c r="D2839" s="14">
        <v>639.2945232</v>
      </c>
      <c r="E2839" s="14">
        <v>0.467281429</v>
      </c>
      <c r="F2839" s="14">
        <v>-1.097636393</v>
      </c>
      <c r="G2839" s="51" t="s">
        <v>13464</v>
      </c>
      <c r="H2839" s="51" t="s">
        <v>13465</v>
      </c>
      <c r="I2839" s="14" t="s">
        <v>147</v>
      </c>
      <c r="J2839" s="14">
        <v>13.16592976</v>
      </c>
      <c r="K2839" s="14">
        <v>11.56529591</v>
      </c>
      <c r="L2839" s="14">
        <v>10.90382791</v>
      </c>
      <c r="M2839" s="14">
        <v>20.48127225</v>
      </c>
      <c r="N2839" s="14">
        <v>20.25394456</v>
      </c>
      <c r="O2839" s="14">
        <v>22.10404383</v>
      </c>
      <c r="P2839" s="14" t="s">
        <v>13466</v>
      </c>
      <c r="Q2839" s="14" t="s">
        <v>13467</v>
      </c>
      <c r="T2839" s="14" t="s">
        <v>13468</v>
      </c>
      <c r="U2839" s="14" t="s">
        <v>13469</v>
      </c>
    </row>
    <row r="2840" spans="1:21">
      <c r="A2840" s="14" t="s">
        <v>13470</v>
      </c>
      <c r="B2840" s="14">
        <v>9008.436555</v>
      </c>
      <c r="C2840" s="14">
        <v>13575.17895</v>
      </c>
      <c r="D2840" s="14">
        <v>4441.694163</v>
      </c>
      <c r="E2840" s="14">
        <v>0.327197367</v>
      </c>
      <c r="F2840" s="14">
        <v>-1.611766956</v>
      </c>
      <c r="G2840" s="51" t="s">
        <v>13471</v>
      </c>
      <c r="H2840" s="51" t="s">
        <v>13472</v>
      </c>
      <c r="I2840" s="14" t="s">
        <v>147</v>
      </c>
      <c r="J2840" s="14">
        <v>28.8338061</v>
      </c>
      <c r="K2840" s="14">
        <v>37.22398127</v>
      </c>
      <c r="L2840" s="14">
        <v>33.11632521</v>
      </c>
      <c r="M2840" s="14">
        <v>96.4908186</v>
      </c>
      <c r="N2840" s="14">
        <v>97.81960372</v>
      </c>
      <c r="O2840" s="14">
        <v>51.18105349</v>
      </c>
      <c r="P2840" s="14" t="s">
        <v>13473</v>
      </c>
      <c r="Q2840" s="14" t="s">
        <v>13474</v>
      </c>
      <c r="T2840" s="14" t="s">
        <v>13475</v>
      </c>
      <c r="U2840" s="14" t="s">
        <v>13476</v>
      </c>
    </row>
    <row r="2841" spans="1:21">
      <c r="A2841" s="14" t="s">
        <v>13477</v>
      </c>
      <c r="B2841" s="14">
        <v>38.76442734</v>
      </c>
      <c r="C2841" s="14">
        <v>9.188787447</v>
      </c>
      <c r="D2841" s="14">
        <v>68.34006722</v>
      </c>
      <c r="E2841" s="14">
        <v>7.381724519</v>
      </c>
      <c r="F2841" s="14">
        <v>2.883957898</v>
      </c>
      <c r="G2841" s="14">
        <v>0.005730816</v>
      </c>
      <c r="H2841" s="14">
        <v>0.016682958</v>
      </c>
      <c r="I2841" s="14" t="s">
        <v>164</v>
      </c>
      <c r="J2841" s="14">
        <v>2.316351927</v>
      </c>
      <c r="K2841" s="14">
        <v>0.469650124</v>
      </c>
      <c r="L2841" s="14">
        <v>0.657857727</v>
      </c>
      <c r="M2841" s="14">
        <v>0.028515949</v>
      </c>
      <c r="N2841" s="14">
        <v>0.054715335</v>
      </c>
      <c r="O2841" s="14">
        <v>0.320844551</v>
      </c>
      <c r="P2841" s="14" t="s">
        <v>13478</v>
      </c>
      <c r="Q2841" s="14" t="s">
        <v>13479</v>
      </c>
      <c r="T2841" s="14" t="s">
        <v>13480</v>
      </c>
      <c r="U2841" s="14" t="s">
        <v>13481</v>
      </c>
    </row>
    <row r="2842" spans="1:21">
      <c r="A2842" s="14" t="s">
        <v>13482</v>
      </c>
      <c r="B2842" s="14">
        <v>6774.133191</v>
      </c>
      <c r="C2842" s="14">
        <v>10414.3598</v>
      </c>
      <c r="D2842" s="14">
        <v>3133.906578</v>
      </c>
      <c r="E2842" s="14">
        <v>0.300929273</v>
      </c>
      <c r="F2842" s="14">
        <v>-1.732503643</v>
      </c>
      <c r="G2842" s="51" t="s">
        <v>13483</v>
      </c>
      <c r="H2842" s="51" t="s">
        <v>13484</v>
      </c>
      <c r="I2842" s="14" t="s">
        <v>147</v>
      </c>
      <c r="J2842" s="14">
        <v>41.49415632</v>
      </c>
      <c r="K2842" s="14">
        <v>44.88889011</v>
      </c>
      <c r="L2842" s="14">
        <v>43.37525521</v>
      </c>
      <c r="M2842" s="14">
        <v>135.1890271</v>
      </c>
      <c r="N2842" s="14">
        <v>134.8377028</v>
      </c>
      <c r="O2842" s="14">
        <v>79.94139884</v>
      </c>
      <c r="P2842" s="14" t="s">
        <v>13485</v>
      </c>
      <c r="Q2842" s="14" t="s">
        <v>13486</v>
      </c>
      <c r="T2842" s="14" t="s">
        <v>13487</v>
      </c>
      <c r="U2842" s="14" t="s">
        <v>13488</v>
      </c>
    </row>
    <row r="2843" spans="1:17">
      <c r="A2843" s="14" t="s">
        <v>13489</v>
      </c>
      <c r="B2843" s="14">
        <v>5.166791063</v>
      </c>
      <c r="C2843" s="14">
        <v>0</v>
      </c>
      <c r="D2843" s="14">
        <v>10.33358213</v>
      </c>
      <c r="E2843" s="14">
        <v>55.76336288</v>
      </c>
      <c r="F2843" s="14">
        <v>5.801245662</v>
      </c>
      <c r="G2843" s="14">
        <v>0.007547708</v>
      </c>
      <c r="H2843" s="14">
        <v>0.021166141</v>
      </c>
      <c r="I2843" s="14" t="s">
        <v>164</v>
      </c>
      <c r="J2843" s="14">
        <v>0.647308639</v>
      </c>
      <c r="K2843" s="14">
        <v>0.040720967</v>
      </c>
      <c r="L2843" s="14">
        <v>0.584306961</v>
      </c>
      <c r="M2843" s="14">
        <v>0</v>
      </c>
      <c r="N2843" s="14">
        <v>0</v>
      </c>
      <c r="O2843" s="14">
        <v>0</v>
      </c>
      <c r="P2843" s="14" t="s">
        <v>10650</v>
      </c>
      <c r="Q2843" s="14" t="s">
        <v>10651</v>
      </c>
    </row>
    <row r="2844" spans="1:21">
      <c r="A2844" s="14" t="s">
        <v>13490</v>
      </c>
      <c r="B2844" s="14">
        <v>597.6468417</v>
      </c>
      <c r="C2844" s="14">
        <v>339.6024734</v>
      </c>
      <c r="D2844" s="14">
        <v>855.6912101</v>
      </c>
      <c r="E2844" s="14">
        <v>2.520925099</v>
      </c>
      <c r="F2844" s="14">
        <v>1.333953254</v>
      </c>
      <c r="G2844" s="51" t="s">
        <v>8878</v>
      </c>
      <c r="H2844" s="51" t="s">
        <v>13491</v>
      </c>
      <c r="I2844" s="14" t="s">
        <v>164</v>
      </c>
      <c r="J2844" s="14">
        <v>6.195008841</v>
      </c>
      <c r="K2844" s="14">
        <v>8.216318783</v>
      </c>
      <c r="L2844" s="14">
        <v>5.397129898</v>
      </c>
      <c r="M2844" s="14">
        <v>2.384859941</v>
      </c>
      <c r="N2844" s="14">
        <v>2.438846467</v>
      </c>
      <c r="O2844" s="14">
        <v>1.583315458</v>
      </c>
      <c r="P2844" s="14" t="s">
        <v>13492</v>
      </c>
      <c r="Q2844" s="14" t="s">
        <v>13493</v>
      </c>
      <c r="T2844" s="14" t="s">
        <v>13494</v>
      </c>
      <c r="U2844" s="14" t="s">
        <v>13495</v>
      </c>
    </row>
    <row r="2845" spans="1:15">
      <c r="A2845" s="14" t="s">
        <v>13496</v>
      </c>
      <c r="B2845" s="14">
        <v>46.64298274</v>
      </c>
      <c r="C2845" s="14">
        <v>73.06287054</v>
      </c>
      <c r="D2845" s="14">
        <v>20.22309494</v>
      </c>
      <c r="E2845" s="14">
        <v>0.276381687</v>
      </c>
      <c r="F2845" s="14">
        <v>-1.855266071</v>
      </c>
      <c r="G2845" s="14">
        <v>0.006913661</v>
      </c>
      <c r="H2845" s="14">
        <v>0.019629112</v>
      </c>
      <c r="I2845" s="14" t="s">
        <v>147</v>
      </c>
      <c r="J2845" s="14">
        <v>0.733674879</v>
      </c>
      <c r="K2845" s="14">
        <v>1.040565277</v>
      </c>
      <c r="L2845" s="14">
        <v>0.256879434</v>
      </c>
      <c r="M2845" s="14">
        <v>1.826118803</v>
      </c>
      <c r="N2845" s="14">
        <v>2.956405831</v>
      </c>
      <c r="O2845" s="14">
        <v>1.200401456</v>
      </c>
    </row>
    <row r="2846" spans="1:15">
      <c r="A2846" s="14" t="s">
        <v>13497</v>
      </c>
      <c r="B2846" s="14">
        <v>97.69403467</v>
      </c>
      <c r="C2846" s="14">
        <v>155.1557564</v>
      </c>
      <c r="D2846" s="14">
        <v>40.23231291</v>
      </c>
      <c r="E2846" s="14">
        <v>0.259108023</v>
      </c>
      <c r="F2846" s="14">
        <v>-1.94837441</v>
      </c>
      <c r="G2846" s="14">
        <v>0.000274717</v>
      </c>
      <c r="H2846" s="14">
        <v>0.001165684</v>
      </c>
      <c r="I2846" s="14" t="s">
        <v>147</v>
      </c>
      <c r="J2846" s="14">
        <v>1.274156373</v>
      </c>
      <c r="K2846" s="14">
        <v>3.783305521</v>
      </c>
      <c r="L2846" s="14">
        <v>2.699005642</v>
      </c>
      <c r="M2846" s="14">
        <v>6.704492859</v>
      </c>
      <c r="N2846" s="14">
        <v>5.386284467</v>
      </c>
      <c r="O2846" s="14">
        <v>13.06579708</v>
      </c>
    </row>
    <row r="2847" spans="1:21">
      <c r="A2847" s="14" t="s">
        <v>13498</v>
      </c>
      <c r="B2847" s="14">
        <v>1304.223805</v>
      </c>
      <c r="C2847" s="14">
        <v>372.4487626</v>
      </c>
      <c r="D2847" s="14">
        <v>2235.998848</v>
      </c>
      <c r="E2847" s="14">
        <v>6.000491996</v>
      </c>
      <c r="F2847" s="14">
        <v>2.585080796</v>
      </c>
      <c r="G2847" s="51" t="s">
        <v>13499</v>
      </c>
      <c r="H2847" s="51" t="s">
        <v>13500</v>
      </c>
      <c r="I2847" s="14" t="s">
        <v>164</v>
      </c>
      <c r="J2847" s="14">
        <v>42.38538752</v>
      </c>
      <c r="K2847" s="14">
        <v>32.88710814</v>
      </c>
      <c r="L2847" s="14">
        <v>34.13601901</v>
      </c>
      <c r="M2847" s="14">
        <v>3.649974922</v>
      </c>
      <c r="N2847" s="14">
        <v>5.743347453</v>
      </c>
      <c r="O2847" s="14">
        <v>5.694781337</v>
      </c>
      <c r="P2847" s="14" t="s">
        <v>13501</v>
      </c>
      <c r="Q2847" s="14" t="s">
        <v>13502</v>
      </c>
      <c r="T2847" s="14" t="s">
        <v>13503</v>
      </c>
      <c r="U2847" s="14" t="s">
        <v>13504</v>
      </c>
    </row>
    <row r="2848" spans="1:21">
      <c r="A2848" s="14" t="s">
        <v>13505</v>
      </c>
      <c r="B2848" s="14">
        <v>3737.957152</v>
      </c>
      <c r="C2848" s="14">
        <v>5502.556998</v>
      </c>
      <c r="D2848" s="14">
        <v>1973.357306</v>
      </c>
      <c r="E2848" s="14">
        <v>0.358634621</v>
      </c>
      <c r="F2848" s="14">
        <v>-1.479413328</v>
      </c>
      <c r="G2848" s="51" t="s">
        <v>13506</v>
      </c>
      <c r="H2848" s="51" t="s">
        <v>13507</v>
      </c>
      <c r="I2848" s="14" t="s">
        <v>147</v>
      </c>
      <c r="J2848" s="14">
        <v>10.11035132</v>
      </c>
      <c r="K2848" s="14">
        <v>12.45251864</v>
      </c>
      <c r="L2848" s="14">
        <v>10.21567002</v>
      </c>
      <c r="M2848" s="14">
        <v>27.94226925</v>
      </c>
      <c r="N2848" s="14">
        <v>25.42862943</v>
      </c>
      <c r="O2848" s="14">
        <v>21.34680665</v>
      </c>
      <c r="P2848" s="14" t="s">
        <v>13508</v>
      </c>
      <c r="Q2848" s="14" t="s">
        <v>13509</v>
      </c>
      <c r="R2848" s="14" t="s">
        <v>6520</v>
      </c>
      <c r="S2848" s="14" t="s">
        <v>6521</v>
      </c>
      <c r="T2848" s="14" t="s">
        <v>13510</v>
      </c>
      <c r="U2848" s="14" t="s">
        <v>13511</v>
      </c>
    </row>
    <row r="2849" spans="1:15">
      <c r="A2849" s="14" t="s">
        <v>13512</v>
      </c>
      <c r="B2849" s="14">
        <v>205.7993252</v>
      </c>
      <c r="C2849" s="14">
        <v>286.303115</v>
      </c>
      <c r="D2849" s="14">
        <v>125.2955353</v>
      </c>
      <c r="E2849" s="14">
        <v>0.437788987</v>
      </c>
      <c r="F2849" s="14">
        <v>-1.191692433</v>
      </c>
      <c r="G2849" s="51" t="s">
        <v>13513</v>
      </c>
      <c r="H2849" s="51" t="s">
        <v>13514</v>
      </c>
      <c r="I2849" s="14" t="s">
        <v>147</v>
      </c>
      <c r="J2849" s="14">
        <v>9.504103905</v>
      </c>
      <c r="K2849" s="14">
        <v>10.90721556</v>
      </c>
      <c r="L2849" s="14">
        <v>13.34167562</v>
      </c>
      <c r="M2849" s="14">
        <v>19.75917611</v>
      </c>
      <c r="N2849" s="14">
        <v>18.73785387</v>
      </c>
      <c r="O2849" s="14">
        <v>25.28036876</v>
      </c>
    </row>
    <row r="2850" spans="1:21">
      <c r="A2850" s="14" t="s">
        <v>13515</v>
      </c>
      <c r="B2850" s="14">
        <v>188.6109785</v>
      </c>
      <c r="C2850" s="14">
        <v>106.5146824</v>
      </c>
      <c r="D2850" s="14">
        <v>270.7072746</v>
      </c>
      <c r="E2850" s="14">
        <v>2.544054024</v>
      </c>
      <c r="F2850" s="14">
        <v>1.347129307</v>
      </c>
      <c r="G2850" s="51" t="s">
        <v>13516</v>
      </c>
      <c r="H2850" s="14">
        <v>0.000211392</v>
      </c>
      <c r="I2850" s="14" t="s">
        <v>164</v>
      </c>
      <c r="J2850" s="14">
        <v>2.191648223</v>
      </c>
      <c r="K2850" s="14">
        <v>1.3433305</v>
      </c>
      <c r="L2850" s="14">
        <v>1.83306308</v>
      </c>
      <c r="M2850" s="14">
        <v>0.548555031</v>
      </c>
      <c r="N2850" s="14">
        <v>0.714228224</v>
      </c>
      <c r="O2850" s="14">
        <v>0.46002604</v>
      </c>
      <c r="P2850" s="14" t="s">
        <v>9297</v>
      </c>
      <c r="Q2850" s="14" t="s">
        <v>9298</v>
      </c>
      <c r="T2850" s="14" t="s">
        <v>9299</v>
      </c>
      <c r="U2850" s="14" t="s">
        <v>9300</v>
      </c>
    </row>
    <row r="2851" spans="1:15">
      <c r="A2851" s="14" t="s">
        <v>13517</v>
      </c>
      <c r="B2851" s="14">
        <v>1649.537346</v>
      </c>
      <c r="C2851" s="14">
        <v>2672.03432</v>
      </c>
      <c r="D2851" s="14">
        <v>627.0403725</v>
      </c>
      <c r="E2851" s="14">
        <v>0.234682284</v>
      </c>
      <c r="F2851" s="14">
        <v>-2.091219159</v>
      </c>
      <c r="G2851" s="51" t="s">
        <v>13518</v>
      </c>
      <c r="H2851" s="51" t="s">
        <v>11244</v>
      </c>
      <c r="I2851" s="14" t="s">
        <v>147</v>
      </c>
      <c r="J2851" s="14">
        <v>12.58144636</v>
      </c>
      <c r="K2851" s="14">
        <v>14.63632341</v>
      </c>
      <c r="L2851" s="14">
        <v>12.78365877</v>
      </c>
      <c r="M2851" s="14">
        <v>54.88693422</v>
      </c>
      <c r="N2851" s="14">
        <v>51.82715563</v>
      </c>
      <c r="O2851" s="14">
        <v>31.66633353</v>
      </c>
    </row>
    <row r="2852" spans="1:15">
      <c r="A2852" s="14" t="s">
        <v>13519</v>
      </c>
      <c r="B2852" s="14">
        <v>1501.491637</v>
      </c>
      <c r="C2852" s="14">
        <v>598.8649274</v>
      </c>
      <c r="D2852" s="14">
        <v>2404.118346</v>
      </c>
      <c r="E2852" s="14">
        <v>4.013180923</v>
      </c>
      <c r="F2852" s="14">
        <v>2.004746197</v>
      </c>
      <c r="G2852" s="51" t="s">
        <v>13520</v>
      </c>
      <c r="H2852" s="51" t="s">
        <v>13521</v>
      </c>
      <c r="I2852" s="14" t="s">
        <v>164</v>
      </c>
      <c r="J2852" s="14">
        <v>67.83957147</v>
      </c>
      <c r="K2852" s="14">
        <v>38.88030746</v>
      </c>
      <c r="L2852" s="14">
        <v>56.2956256</v>
      </c>
      <c r="M2852" s="14">
        <v>8.382100858</v>
      </c>
      <c r="N2852" s="14">
        <v>10.75889398</v>
      </c>
      <c r="O2852" s="14">
        <v>14.64180196</v>
      </c>
    </row>
    <row r="2853" spans="1:21">
      <c r="A2853" s="14" t="s">
        <v>13522</v>
      </c>
      <c r="B2853" s="14">
        <v>92.52116149</v>
      </c>
      <c r="C2853" s="14">
        <v>123.6686634</v>
      </c>
      <c r="D2853" s="14">
        <v>61.37365961</v>
      </c>
      <c r="E2853" s="14">
        <v>0.496484425</v>
      </c>
      <c r="F2853" s="14">
        <v>-1.010179634</v>
      </c>
      <c r="G2853" s="14">
        <v>0.015825405</v>
      </c>
      <c r="H2853" s="14">
        <v>0.039906278</v>
      </c>
      <c r="I2853" s="14" t="s">
        <v>147</v>
      </c>
      <c r="J2853" s="14">
        <v>0.756666242</v>
      </c>
      <c r="K2853" s="14">
        <v>0.687562032</v>
      </c>
      <c r="L2853" s="14">
        <v>0.505941434</v>
      </c>
      <c r="M2853" s="14">
        <v>1.168915993</v>
      </c>
      <c r="N2853" s="14">
        <v>1.328470483</v>
      </c>
      <c r="O2853" s="14">
        <v>0.694985979</v>
      </c>
      <c r="P2853" s="14" t="s">
        <v>13523</v>
      </c>
      <c r="Q2853" s="14" t="s">
        <v>13524</v>
      </c>
      <c r="T2853" s="14" t="s">
        <v>13525</v>
      </c>
      <c r="U2853" s="14" t="s">
        <v>13526</v>
      </c>
    </row>
    <row r="2854" spans="1:15">
      <c r="A2854" s="14" t="s">
        <v>13527</v>
      </c>
      <c r="B2854" s="14">
        <v>67.19124065</v>
      </c>
      <c r="C2854" s="14">
        <v>18.9747806</v>
      </c>
      <c r="D2854" s="14">
        <v>115.4077007</v>
      </c>
      <c r="E2854" s="14">
        <v>6.059289876</v>
      </c>
      <c r="F2854" s="14">
        <v>2.599148726</v>
      </c>
      <c r="G2854" s="14">
        <v>0.012134432</v>
      </c>
      <c r="H2854" s="14">
        <v>0.031819613</v>
      </c>
      <c r="I2854" s="14" t="s">
        <v>164</v>
      </c>
      <c r="J2854" s="14">
        <v>10.10158506</v>
      </c>
      <c r="K2854" s="14">
        <v>3.411479615</v>
      </c>
      <c r="L2854" s="14">
        <v>9.790294337</v>
      </c>
      <c r="M2854" s="14">
        <v>0.398026569</v>
      </c>
      <c r="N2854" s="14">
        <v>0.10910264</v>
      </c>
      <c r="O2854" s="14">
        <v>2.837221242</v>
      </c>
    </row>
    <row r="2855" spans="1:21">
      <c r="A2855" s="14" t="s">
        <v>13528</v>
      </c>
      <c r="B2855" s="14">
        <v>28660.9423</v>
      </c>
      <c r="C2855" s="14">
        <v>41282.04944</v>
      </c>
      <c r="D2855" s="14">
        <v>16039.83516</v>
      </c>
      <c r="E2855" s="14">
        <v>0.388543697</v>
      </c>
      <c r="F2855" s="14">
        <v>-1.363851236</v>
      </c>
      <c r="G2855" s="14">
        <v>0.002755768</v>
      </c>
      <c r="H2855" s="14">
        <v>0.008836813</v>
      </c>
      <c r="I2855" s="14" t="s">
        <v>147</v>
      </c>
      <c r="J2855" s="14">
        <v>271.4032051</v>
      </c>
      <c r="K2855" s="14">
        <v>353.2395078</v>
      </c>
      <c r="L2855" s="14">
        <v>229.56503</v>
      </c>
      <c r="M2855" s="14">
        <v>684.1674395</v>
      </c>
      <c r="N2855" s="14">
        <v>827.3265322</v>
      </c>
      <c r="O2855" s="14">
        <v>260.6692375</v>
      </c>
      <c r="P2855" s="14" t="s">
        <v>13529</v>
      </c>
      <c r="Q2855" s="14" t="s">
        <v>13530</v>
      </c>
      <c r="R2855" s="14" t="s">
        <v>9450</v>
      </c>
      <c r="S2855" s="14" t="s">
        <v>9451</v>
      </c>
      <c r="T2855" s="14" t="s">
        <v>13531</v>
      </c>
      <c r="U2855" s="14" t="s">
        <v>13532</v>
      </c>
    </row>
    <row r="2856" spans="1:21">
      <c r="A2856" s="14" t="s">
        <v>13533</v>
      </c>
      <c r="B2856" s="14">
        <v>5105.115255</v>
      </c>
      <c r="C2856" s="14">
        <v>3387.215151</v>
      </c>
      <c r="D2856" s="14">
        <v>6823.015358</v>
      </c>
      <c r="E2856" s="14">
        <v>2.014386527</v>
      </c>
      <c r="F2856" s="14">
        <v>1.010340539</v>
      </c>
      <c r="G2856" s="51" t="s">
        <v>13534</v>
      </c>
      <c r="H2856" s="51" t="s">
        <v>13535</v>
      </c>
      <c r="I2856" s="14" t="s">
        <v>164</v>
      </c>
      <c r="J2856" s="14">
        <v>50.0482811</v>
      </c>
      <c r="K2856" s="14">
        <v>44.42184995</v>
      </c>
      <c r="L2856" s="14">
        <v>40.79758902</v>
      </c>
      <c r="M2856" s="14">
        <v>17.46802702</v>
      </c>
      <c r="N2856" s="14">
        <v>19.12952723</v>
      </c>
      <c r="O2856" s="14">
        <v>18.68048682</v>
      </c>
      <c r="P2856" s="14" t="s">
        <v>13536</v>
      </c>
      <c r="Q2856" s="14" t="s">
        <v>13537</v>
      </c>
      <c r="R2856" s="14" t="s">
        <v>13538</v>
      </c>
      <c r="S2856" s="14" t="s">
        <v>13539</v>
      </c>
      <c r="T2856" s="14" t="s">
        <v>13540</v>
      </c>
      <c r="U2856" s="14" t="s">
        <v>13541</v>
      </c>
    </row>
    <row r="2857" spans="1:21">
      <c r="A2857" s="14" t="s">
        <v>13542</v>
      </c>
      <c r="B2857" s="14">
        <v>1426.784082</v>
      </c>
      <c r="C2857" s="14">
        <v>427.4270743</v>
      </c>
      <c r="D2857" s="14">
        <v>2426.14109</v>
      </c>
      <c r="E2857" s="14">
        <v>5.67855444</v>
      </c>
      <c r="F2857" s="14">
        <v>2.505523717</v>
      </c>
      <c r="G2857" s="51" t="s">
        <v>13543</v>
      </c>
      <c r="H2857" s="51" t="s">
        <v>13544</v>
      </c>
      <c r="I2857" s="14" t="s">
        <v>164</v>
      </c>
      <c r="J2857" s="14">
        <v>21.9091069</v>
      </c>
      <c r="K2857" s="14">
        <v>23.78465449</v>
      </c>
      <c r="L2857" s="14">
        <v>17.77224455</v>
      </c>
      <c r="M2857" s="14">
        <v>3.056381923</v>
      </c>
      <c r="N2857" s="14">
        <v>3.69191892</v>
      </c>
      <c r="O2857" s="14">
        <v>2.38211362</v>
      </c>
      <c r="P2857" s="14" t="s">
        <v>13545</v>
      </c>
      <c r="Q2857" s="14" t="s">
        <v>13546</v>
      </c>
      <c r="T2857" s="14" t="s">
        <v>13547</v>
      </c>
      <c r="U2857" s="14" t="s">
        <v>13548</v>
      </c>
    </row>
    <row r="2858" spans="1:15">
      <c r="A2858" s="14" t="s">
        <v>13549</v>
      </c>
      <c r="B2858" s="14">
        <v>4865.764098</v>
      </c>
      <c r="C2858" s="14">
        <v>7142.854319</v>
      </c>
      <c r="D2858" s="14">
        <v>2588.673877</v>
      </c>
      <c r="E2858" s="14">
        <v>0.362432397</v>
      </c>
      <c r="F2858" s="14">
        <v>-1.464216173</v>
      </c>
      <c r="G2858" s="51" t="s">
        <v>13398</v>
      </c>
      <c r="H2858" s="51" t="s">
        <v>13550</v>
      </c>
      <c r="I2858" s="14" t="s">
        <v>147</v>
      </c>
      <c r="J2858" s="14">
        <v>16.18768704</v>
      </c>
      <c r="K2858" s="14">
        <v>21.20475928</v>
      </c>
      <c r="L2858" s="14">
        <v>21.30776927</v>
      </c>
      <c r="M2858" s="14">
        <v>48.40811387</v>
      </c>
      <c r="N2858" s="14">
        <v>47.99604266</v>
      </c>
      <c r="O2858" s="14">
        <v>35.64029609</v>
      </c>
    </row>
    <row r="2859" spans="1:21">
      <c r="A2859" s="14" t="s">
        <v>13551</v>
      </c>
      <c r="B2859" s="14">
        <v>29.75404762</v>
      </c>
      <c r="C2859" s="14">
        <v>10.72296162</v>
      </c>
      <c r="D2859" s="14">
        <v>48.78513361</v>
      </c>
      <c r="E2859" s="14">
        <v>4.547399417</v>
      </c>
      <c r="F2859" s="14">
        <v>2.185041727</v>
      </c>
      <c r="G2859" s="14">
        <v>0.004382821</v>
      </c>
      <c r="H2859" s="14">
        <v>0.013192159</v>
      </c>
      <c r="I2859" s="14" t="s">
        <v>164</v>
      </c>
      <c r="J2859" s="14">
        <v>1.82087972</v>
      </c>
      <c r="K2859" s="14">
        <v>0.603472992</v>
      </c>
      <c r="L2859" s="14">
        <v>0.855235616</v>
      </c>
      <c r="M2859" s="14">
        <v>0.094996039</v>
      </c>
      <c r="N2859" s="14">
        <v>0.346322202</v>
      </c>
      <c r="O2859" s="14">
        <v>0.148708052</v>
      </c>
      <c r="P2859" s="14" t="s">
        <v>13552</v>
      </c>
      <c r="Q2859" s="14" t="s">
        <v>13553</v>
      </c>
      <c r="T2859" s="14" t="s">
        <v>13554</v>
      </c>
      <c r="U2859" s="14" t="s">
        <v>13555</v>
      </c>
    </row>
    <row r="2860" spans="1:21">
      <c r="A2860" s="14" t="s">
        <v>13556</v>
      </c>
      <c r="B2860" s="14">
        <v>107.5150663</v>
      </c>
      <c r="C2860" s="14">
        <v>30.56985836</v>
      </c>
      <c r="D2860" s="14">
        <v>184.4602742</v>
      </c>
      <c r="E2860" s="14">
        <v>6.017020222</v>
      </c>
      <c r="F2860" s="14">
        <v>2.589049205</v>
      </c>
      <c r="G2860" s="51" t="s">
        <v>2497</v>
      </c>
      <c r="H2860" s="51" t="s">
        <v>13557</v>
      </c>
      <c r="I2860" s="14" t="s">
        <v>164</v>
      </c>
      <c r="J2860" s="14">
        <v>1.807836619</v>
      </c>
      <c r="K2860" s="14">
        <v>0.657701767</v>
      </c>
      <c r="L2860" s="14">
        <v>1.600861261</v>
      </c>
      <c r="M2860" s="14">
        <v>0.105603142</v>
      </c>
      <c r="N2860" s="14">
        <v>0.184748471</v>
      </c>
      <c r="O2860" s="14">
        <v>0.273495028</v>
      </c>
      <c r="P2860" s="14" t="s">
        <v>13558</v>
      </c>
      <c r="Q2860" s="14" t="s">
        <v>13559</v>
      </c>
      <c r="T2860" s="14" t="s">
        <v>900</v>
      </c>
      <c r="U2860" s="14" t="s">
        <v>901</v>
      </c>
    </row>
    <row r="2861" spans="1:15">
      <c r="A2861" s="14" t="s">
        <v>13560</v>
      </c>
      <c r="B2861" s="14">
        <v>602.7278436</v>
      </c>
      <c r="C2861" s="14">
        <v>399.1032528</v>
      </c>
      <c r="D2861" s="14">
        <v>806.3524344</v>
      </c>
      <c r="E2861" s="14">
        <v>2.019462433</v>
      </c>
      <c r="F2861" s="14">
        <v>1.013971309</v>
      </c>
      <c r="G2861" s="51" t="s">
        <v>13561</v>
      </c>
      <c r="H2861" s="51" t="s">
        <v>13562</v>
      </c>
      <c r="I2861" s="14" t="s">
        <v>164</v>
      </c>
      <c r="J2861" s="14">
        <v>21.811561</v>
      </c>
      <c r="K2861" s="14">
        <v>21.09048158</v>
      </c>
      <c r="L2861" s="14">
        <v>20.57571737</v>
      </c>
      <c r="M2861" s="14">
        <v>7.918499094</v>
      </c>
      <c r="N2861" s="14">
        <v>8.471779049</v>
      </c>
      <c r="O2861" s="14">
        <v>9.553585555</v>
      </c>
    </row>
    <row r="2862" spans="1:21">
      <c r="A2862" s="14" t="s">
        <v>13563</v>
      </c>
      <c r="B2862" s="14">
        <v>7456.018391</v>
      </c>
      <c r="C2862" s="14">
        <v>4428.713785</v>
      </c>
      <c r="D2862" s="14">
        <v>10483.323</v>
      </c>
      <c r="E2862" s="14">
        <v>2.367286714</v>
      </c>
      <c r="F2862" s="14">
        <v>1.243234449</v>
      </c>
      <c r="G2862" s="51" t="s">
        <v>13564</v>
      </c>
      <c r="H2862" s="51" t="s">
        <v>4866</v>
      </c>
      <c r="I2862" s="14" t="s">
        <v>164</v>
      </c>
      <c r="J2862" s="14">
        <v>129.2283896</v>
      </c>
      <c r="K2862" s="14">
        <v>168.3147794</v>
      </c>
      <c r="L2862" s="14">
        <v>171.7207353</v>
      </c>
      <c r="M2862" s="14">
        <v>56.38316714</v>
      </c>
      <c r="N2862" s="14">
        <v>55.92394282</v>
      </c>
      <c r="O2862" s="14">
        <v>50.04485693</v>
      </c>
      <c r="P2862" s="14" t="s">
        <v>13565</v>
      </c>
      <c r="Q2862" s="14" t="s">
        <v>13566</v>
      </c>
      <c r="R2862" s="14" t="s">
        <v>3188</v>
      </c>
      <c r="S2862" s="14" t="s">
        <v>3189</v>
      </c>
      <c r="T2862" s="14" t="s">
        <v>13567</v>
      </c>
      <c r="U2862" s="14" t="s">
        <v>13568</v>
      </c>
    </row>
    <row r="2863" spans="1:21">
      <c r="A2863" s="14" t="s">
        <v>13569</v>
      </c>
      <c r="B2863" s="14">
        <v>2273.293352</v>
      </c>
      <c r="C2863" s="14">
        <v>3260.520712</v>
      </c>
      <c r="D2863" s="14">
        <v>1286.065992</v>
      </c>
      <c r="E2863" s="14">
        <v>0.394438729</v>
      </c>
      <c r="F2863" s="14">
        <v>-1.342126882</v>
      </c>
      <c r="G2863" s="14">
        <v>0.008049128</v>
      </c>
      <c r="H2863" s="14">
        <v>0.022382005</v>
      </c>
      <c r="I2863" s="14" t="s">
        <v>147</v>
      </c>
      <c r="J2863" s="14">
        <v>5.33381332</v>
      </c>
      <c r="K2863" s="14">
        <v>12.25556608</v>
      </c>
      <c r="L2863" s="14">
        <v>5.838617023</v>
      </c>
      <c r="M2863" s="14">
        <v>19.76691975</v>
      </c>
      <c r="N2863" s="14">
        <v>20.56374538</v>
      </c>
      <c r="O2863" s="14">
        <v>7.636852936</v>
      </c>
      <c r="P2863" s="14" t="s">
        <v>13570</v>
      </c>
      <c r="Q2863" s="14" t="s">
        <v>13571</v>
      </c>
      <c r="T2863" s="14" t="s">
        <v>7172</v>
      </c>
      <c r="U2863" s="14" t="s">
        <v>7173</v>
      </c>
    </row>
    <row r="2864" spans="1:21">
      <c r="A2864" s="14" t="s">
        <v>13572</v>
      </c>
      <c r="B2864" s="14">
        <v>1138.717534</v>
      </c>
      <c r="C2864" s="14">
        <v>706.4557247</v>
      </c>
      <c r="D2864" s="14">
        <v>1570.979343</v>
      </c>
      <c r="E2864" s="14">
        <v>2.224178669</v>
      </c>
      <c r="F2864" s="14">
        <v>1.153272685</v>
      </c>
      <c r="G2864" s="51" t="s">
        <v>13573</v>
      </c>
      <c r="H2864" s="14">
        <v>0.000121899</v>
      </c>
      <c r="I2864" s="14" t="s">
        <v>164</v>
      </c>
      <c r="J2864" s="14">
        <v>16.52958645</v>
      </c>
      <c r="K2864" s="14">
        <v>18.93923913</v>
      </c>
      <c r="L2864" s="14">
        <v>14.14599668</v>
      </c>
      <c r="M2864" s="14">
        <v>5.87861547</v>
      </c>
      <c r="N2864" s="14">
        <v>7.636917586</v>
      </c>
      <c r="O2864" s="14">
        <v>4.70262598</v>
      </c>
      <c r="P2864" s="14" t="s">
        <v>13574</v>
      </c>
      <c r="Q2864" s="14" t="s">
        <v>13575</v>
      </c>
      <c r="T2864" s="14" t="s">
        <v>13576</v>
      </c>
      <c r="U2864" s="14" t="s">
        <v>13577</v>
      </c>
    </row>
    <row r="2865" spans="1:21">
      <c r="A2865" s="14" t="s">
        <v>13578</v>
      </c>
      <c r="B2865" s="14">
        <v>59.38779021</v>
      </c>
      <c r="C2865" s="14">
        <v>14.01226986</v>
      </c>
      <c r="D2865" s="14">
        <v>104.7633106</v>
      </c>
      <c r="E2865" s="14">
        <v>7.407582764</v>
      </c>
      <c r="F2865" s="14">
        <v>2.88900284</v>
      </c>
      <c r="G2865" s="51" t="s">
        <v>13579</v>
      </c>
      <c r="H2865" s="51" t="s">
        <v>13580</v>
      </c>
      <c r="I2865" s="14" t="s">
        <v>164</v>
      </c>
      <c r="J2865" s="14">
        <v>2.536649987</v>
      </c>
      <c r="K2865" s="14">
        <v>2.468106848</v>
      </c>
      <c r="L2865" s="14">
        <v>1.689334975</v>
      </c>
      <c r="M2865" s="14">
        <v>0.144689619</v>
      </c>
      <c r="N2865" s="14">
        <v>0.17351564</v>
      </c>
      <c r="O2865" s="14">
        <v>0.442380931</v>
      </c>
      <c r="P2865" s="14" t="s">
        <v>6535</v>
      </c>
      <c r="Q2865" s="14" t="s">
        <v>6536</v>
      </c>
      <c r="T2865" s="14" t="s">
        <v>6539</v>
      </c>
      <c r="U2865" s="14" t="s">
        <v>6540</v>
      </c>
    </row>
    <row r="2866" spans="1:21">
      <c r="A2866" s="14" t="s">
        <v>13581</v>
      </c>
      <c r="B2866" s="14">
        <v>1441.896135</v>
      </c>
      <c r="C2866" s="14">
        <v>2028.294312</v>
      </c>
      <c r="D2866" s="14">
        <v>855.4979587</v>
      </c>
      <c r="E2866" s="14">
        <v>0.421833878</v>
      </c>
      <c r="F2866" s="14">
        <v>-1.24525313</v>
      </c>
      <c r="G2866" s="51" t="s">
        <v>13582</v>
      </c>
      <c r="H2866" s="51" t="s">
        <v>13583</v>
      </c>
      <c r="I2866" s="14" t="s">
        <v>147</v>
      </c>
      <c r="J2866" s="14">
        <v>8.523321266</v>
      </c>
      <c r="K2866" s="14">
        <v>11.82046608</v>
      </c>
      <c r="L2866" s="14">
        <v>11.02771964</v>
      </c>
      <c r="M2866" s="14">
        <v>21.35959168</v>
      </c>
      <c r="N2866" s="14">
        <v>20.4323649</v>
      </c>
      <c r="O2866" s="14">
        <v>19.18509274</v>
      </c>
      <c r="P2866" s="14" t="s">
        <v>13584</v>
      </c>
      <c r="Q2866" s="14" t="s">
        <v>13585</v>
      </c>
      <c r="T2866" s="14" t="s">
        <v>13586</v>
      </c>
      <c r="U2866" s="14" t="s">
        <v>13587</v>
      </c>
    </row>
    <row r="2867" spans="1:21">
      <c r="A2867" s="14" t="s">
        <v>13588</v>
      </c>
      <c r="B2867" s="14">
        <v>3579.094559</v>
      </c>
      <c r="C2867" s="14">
        <v>5391.862214</v>
      </c>
      <c r="D2867" s="14">
        <v>1766.326905</v>
      </c>
      <c r="E2867" s="14">
        <v>0.327603602</v>
      </c>
      <c r="F2867" s="14">
        <v>-1.609976875</v>
      </c>
      <c r="G2867" s="51" t="s">
        <v>13589</v>
      </c>
      <c r="H2867" s="51" t="s">
        <v>347</v>
      </c>
      <c r="I2867" s="14" t="s">
        <v>147</v>
      </c>
      <c r="J2867" s="14">
        <v>13.9219776</v>
      </c>
      <c r="K2867" s="14">
        <v>14.65214179</v>
      </c>
      <c r="L2867" s="14">
        <v>25.53797639</v>
      </c>
      <c r="M2867" s="14">
        <v>36.51961513</v>
      </c>
      <c r="N2867" s="14">
        <v>37.98212547</v>
      </c>
      <c r="O2867" s="14">
        <v>62.89490465</v>
      </c>
      <c r="P2867" s="39">
        <v>45383</v>
      </c>
      <c r="Q2867" s="14" t="s">
        <v>13590</v>
      </c>
      <c r="R2867" s="14" t="s">
        <v>6555</v>
      </c>
      <c r="S2867" s="14" t="s">
        <v>6556</v>
      </c>
      <c r="T2867" s="14" t="s">
        <v>13591</v>
      </c>
      <c r="U2867" s="14" t="s">
        <v>13592</v>
      </c>
    </row>
    <row r="2868" spans="1:15">
      <c r="A2868" s="14" t="s">
        <v>13593</v>
      </c>
      <c r="B2868" s="14">
        <v>68.15119137</v>
      </c>
      <c r="C2868" s="14">
        <v>94.10417869</v>
      </c>
      <c r="D2868" s="14">
        <v>42.19820405</v>
      </c>
      <c r="E2868" s="14">
        <v>0.448376183</v>
      </c>
      <c r="F2868" s="14">
        <v>-1.157218449</v>
      </c>
      <c r="G2868" s="14">
        <v>0.016261532</v>
      </c>
      <c r="H2868" s="14">
        <v>0.040867193</v>
      </c>
      <c r="I2868" s="14" t="s">
        <v>147</v>
      </c>
      <c r="J2868" s="14">
        <v>1.005131128</v>
      </c>
      <c r="K2868" s="14">
        <v>2.986907581</v>
      </c>
      <c r="L2868" s="14">
        <v>2.119920823</v>
      </c>
      <c r="M2868" s="14">
        <v>3.358036147</v>
      </c>
      <c r="N2868" s="14">
        <v>4.243131685</v>
      </c>
      <c r="O2868" s="14">
        <v>3.605977623</v>
      </c>
    </row>
    <row r="2869" spans="1:21">
      <c r="A2869" s="14" t="s">
        <v>13594</v>
      </c>
      <c r="B2869" s="14">
        <v>228.1272131</v>
      </c>
      <c r="C2869" s="14">
        <v>70.75762411</v>
      </c>
      <c r="D2869" s="14">
        <v>385.4968021</v>
      </c>
      <c r="E2869" s="14">
        <v>5.441479961</v>
      </c>
      <c r="F2869" s="14">
        <v>2.443999086</v>
      </c>
      <c r="G2869" s="14">
        <v>0.01536125</v>
      </c>
      <c r="H2869" s="14">
        <v>0.038878935</v>
      </c>
      <c r="I2869" s="14" t="s">
        <v>164</v>
      </c>
      <c r="J2869" s="14">
        <v>1.327527492</v>
      </c>
      <c r="K2869" s="14">
        <v>2.992586598</v>
      </c>
      <c r="L2869" s="14">
        <v>2.827374965</v>
      </c>
      <c r="M2869" s="14">
        <v>0.099450158</v>
      </c>
      <c r="N2869" s="14">
        <v>0.035151281</v>
      </c>
      <c r="O2869" s="14">
        <v>1.019093323</v>
      </c>
      <c r="Q2869" s="14" t="s">
        <v>13595</v>
      </c>
      <c r="T2869" s="14" t="s">
        <v>13596</v>
      </c>
      <c r="U2869" s="14" t="s">
        <v>13597</v>
      </c>
    </row>
    <row r="2870" spans="1:21">
      <c r="A2870" s="14" t="s">
        <v>13598</v>
      </c>
      <c r="B2870" s="14">
        <v>506.1200024</v>
      </c>
      <c r="C2870" s="14">
        <v>305.2996525</v>
      </c>
      <c r="D2870" s="14">
        <v>706.9403522</v>
      </c>
      <c r="E2870" s="14">
        <v>2.313538684</v>
      </c>
      <c r="F2870" s="14">
        <v>1.210101222</v>
      </c>
      <c r="G2870" s="51" t="s">
        <v>13599</v>
      </c>
      <c r="H2870" s="51" t="s">
        <v>13600</v>
      </c>
      <c r="I2870" s="14" t="s">
        <v>164</v>
      </c>
      <c r="J2870" s="14">
        <v>5.662122902</v>
      </c>
      <c r="K2870" s="14">
        <v>5.739745582</v>
      </c>
      <c r="L2870" s="14">
        <v>5.895068561</v>
      </c>
      <c r="M2870" s="14">
        <v>1.734614936</v>
      </c>
      <c r="N2870" s="14">
        <v>2.11500444</v>
      </c>
      <c r="O2870" s="14">
        <v>2.325930888</v>
      </c>
      <c r="P2870" s="14" t="s">
        <v>13601</v>
      </c>
      <c r="Q2870" s="14" t="s">
        <v>13602</v>
      </c>
      <c r="T2870" s="14" t="s">
        <v>13603</v>
      </c>
      <c r="U2870" s="14" t="s">
        <v>13604</v>
      </c>
    </row>
    <row r="2871" spans="1:21">
      <c r="A2871" s="14" t="s">
        <v>13605</v>
      </c>
      <c r="B2871" s="14">
        <v>7.890254992</v>
      </c>
      <c r="C2871" s="14">
        <v>0.723792487</v>
      </c>
      <c r="D2871" s="14">
        <v>15.0567175</v>
      </c>
      <c r="E2871" s="14">
        <v>21.69954356</v>
      </c>
      <c r="F2871" s="14">
        <v>4.439592791</v>
      </c>
      <c r="G2871" s="14">
        <v>0.007297417</v>
      </c>
      <c r="H2871" s="14">
        <v>0.020558104</v>
      </c>
      <c r="I2871" s="14" t="s">
        <v>164</v>
      </c>
      <c r="J2871" s="14">
        <v>0.653166019</v>
      </c>
      <c r="K2871" s="14">
        <v>0.18783746</v>
      </c>
      <c r="L2871" s="14">
        <v>1.302722535</v>
      </c>
      <c r="M2871" s="14">
        <v>0.079835055</v>
      </c>
      <c r="N2871" s="14">
        <v>0</v>
      </c>
      <c r="O2871" s="14">
        <v>0</v>
      </c>
      <c r="P2871" s="14" t="s">
        <v>13606</v>
      </c>
      <c r="Q2871" s="14" t="s">
        <v>13607</v>
      </c>
      <c r="T2871" s="14" t="s">
        <v>13608</v>
      </c>
      <c r="U2871" s="14" t="s">
        <v>13609</v>
      </c>
    </row>
    <row r="2872" spans="1:21">
      <c r="A2872" s="14" t="s">
        <v>13610</v>
      </c>
      <c r="B2872" s="14">
        <v>72.64210984</v>
      </c>
      <c r="C2872" s="14">
        <v>12.4369266</v>
      </c>
      <c r="D2872" s="14">
        <v>132.8472931</v>
      </c>
      <c r="E2872" s="14">
        <v>10.58232428</v>
      </c>
      <c r="F2872" s="14">
        <v>3.403584627</v>
      </c>
      <c r="G2872" s="51" t="s">
        <v>13611</v>
      </c>
      <c r="H2872" s="51" t="s">
        <v>6381</v>
      </c>
      <c r="I2872" s="14" t="s">
        <v>164</v>
      </c>
      <c r="J2872" s="14">
        <v>2.510821692</v>
      </c>
      <c r="K2872" s="14">
        <v>2.928737493</v>
      </c>
      <c r="L2872" s="14">
        <v>4.021707468</v>
      </c>
      <c r="M2872" s="14">
        <v>0.160616504</v>
      </c>
      <c r="N2872" s="14">
        <v>0.173354025</v>
      </c>
      <c r="O2872" s="14">
        <v>0.412504299</v>
      </c>
      <c r="P2872" s="14" t="s">
        <v>13612</v>
      </c>
      <c r="Q2872" s="14" t="s">
        <v>13613</v>
      </c>
      <c r="T2872" s="14" t="s">
        <v>13614</v>
      </c>
      <c r="U2872" s="14" t="s">
        <v>13615</v>
      </c>
    </row>
    <row r="2873" spans="1:15">
      <c r="A2873" s="14" t="s">
        <v>13616</v>
      </c>
      <c r="B2873" s="14">
        <v>14.81921316</v>
      </c>
      <c r="C2873" s="14">
        <v>4.312091016</v>
      </c>
      <c r="D2873" s="14">
        <v>25.32633531</v>
      </c>
      <c r="E2873" s="14">
        <v>5.846355058</v>
      </c>
      <c r="F2873" s="14">
        <v>2.547537449</v>
      </c>
      <c r="G2873" s="14">
        <v>0.001871999</v>
      </c>
      <c r="H2873" s="14">
        <v>0.006329902</v>
      </c>
      <c r="I2873" s="14" t="s">
        <v>164</v>
      </c>
      <c r="J2873" s="14">
        <v>0.43149168</v>
      </c>
      <c r="K2873" s="14">
        <v>0.392279335</v>
      </c>
      <c r="L2873" s="14">
        <v>0.241235722</v>
      </c>
      <c r="M2873" s="14">
        <v>0.059545483</v>
      </c>
      <c r="N2873" s="14">
        <v>0.011425364</v>
      </c>
      <c r="O2873" s="14">
        <v>0.081561623</v>
      </c>
    </row>
    <row r="2874" spans="1:21">
      <c r="A2874" s="14" t="s">
        <v>13617</v>
      </c>
      <c r="B2874" s="14">
        <v>294.4271685</v>
      </c>
      <c r="C2874" s="14">
        <v>25.89235658</v>
      </c>
      <c r="D2874" s="14">
        <v>562.9619805</v>
      </c>
      <c r="E2874" s="14">
        <v>21.79698328</v>
      </c>
      <c r="F2874" s="14">
        <v>4.446056573</v>
      </c>
      <c r="G2874" s="51" t="s">
        <v>13618</v>
      </c>
      <c r="H2874" s="51" t="s">
        <v>13619</v>
      </c>
      <c r="I2874" s="14" t="s">
        <v>164</v>
      </c>
      <c r="J2874" s="14">
        <v>27.98121412</v>
      </c>
      <c r="K2874" s="14">
        <v>14.85357836</v>
      </c>
      <c r="L2874" s="14">
        <v>22.58673714</v>
      </c>
      <c r="M2874" s="14">
        <v>0.655906261</v>
      </c>
      <c r="N2874" s="14">
        <v>1.415844424</v>
      </c>
      <c r="O2874" s="14">
        <v>0.35295023</v>
      </c>
      <c r="P2874" s="14" t="s">
        <v>13620</v>
      </c>
      <c r="Q2874" s="14" t="s">
        <v>13621</v>
      </c>
      <c r="T2874" s="14" t="s">
        <v>13622</v>
      </c>
      <c r="U2874" s="14" t="s">
        <v>13623</v>
      </c>
    </row>
    <row r="2875" spans="1:15">
      <c r="A2875" s="14" t="s">
        <v>13624</v>
      </c>
      <c r="B2875" s="14">
        <v>19.49713677</v>
      </c>
      <c r="C2875" s="14">
        <v>9.618237291</v>
      </c>
      <c r="D2875" s="14">
        <v>29.37603626</v>
      </c>
      <c r="E2875" s="14">
        <v>3.041297937</v>
      </c>
      <c r="F2875" s="14">
        <v>1.604687155</v>
      </c>
      <c r="G2875" s="14">
        <v>0.016071918</v>
      </c>
      <c r="H2875" s="14">
        <v>0.040459169</v>
      </c>
      <c r="I2875" s="14" t="s">
        <v>164</v>
      </c>
      <c r="J2875" s="14">
        <v>1.156164016</v>
      </c>
      <c r="K2875" s="14">
        <v>1.37529791</v>
      </c>
      <c r="L2875" s="14">
        <v>0.573472782</v>
      </c>
      <c r="M2875" s="14">
        <v>0.269783947</v>
      </c>
      <c r="N2875" s="14">
        <v>0.172550446</v>
      </c>
      <c r="O2875" s="14">
        <v>0.410592142</v>
      </c>
    </row>
    <row r="2876" spans="1:21">
      <c r="A2876" s="14" t="s">
        <v>13625</v>
      </c>
      <c r="B2876" s="14">
        <v>170.9081742</v>
      </c>
      <c r="C2876" s="14">
        <v>280.4506724</v>
      </c>
      <c r="D2876" s="14">
        <v>61.36567601</v>
      </c>
      <c r="E2876" s="14">
        <v>0.218461755</v>
      </c>
      <c r="F2876" s="14">
        <v>-2.194547358</v>
      </c>
      <c r="G2876" s="51" t="s">
        <v>13626</v>
      </c>
      <c r="H2876" s="51" t="s">
        <v>13627</v>
      </c>
      <c r="I2876" s="14" t="s">
        <v>147</v>
      </c>
      <c r="J2876" s="14">
        <v>1.615169083</v>
      </c>
      <c r="K2876" s="14">
        <v>2.566919884</v>
      </c>
      <c r="L2876" s="14">
        <v>1.064060018</v>
      </c>
      <c r="M2876" s="14">
        <v>5.648942373</v>
      </c>
      <c r="N2876" s="14">
        <v>5.419489568</v>
      </c>
      <c r="O2876" s="14">
        <v>8.989994723</v>
      </c>
      <c r="P2876" s="14" t="s">
        <v>13628</v>
      </c>
      <c r="Q2876" s="14" t="s">
        <v>13629</v>
      </c>
      <c r="T2876" s="14" t="s">
        <v>13630</v>
      </c>
      <c r="U2876" s="14" t="s">
        <v>13631</v>
      </c>
    </row>
    <row r="2877" spans="1:15">
      <c r="A2877" s="14" t="s">
        <v>13632</v>
      </c>
      <c r="B2877" s="14">
        <v>88.95269454</v>
      </c>
      <c r="C2877" s="14">
        <v>118.8179832</v>
      </c>
      <c r="D2877" s="14">
        <v>59.08740589</v>
      </c>
      <c r="E2877" s="14">
        <v>0.497903465</v>
      </c>
      <c r="F2877" s="14">
        <v>-1.006062039</v>
      </c>
      <c r="G2877" s="14">
        <v>0.018426073</v>
      </c>
      <c r="H2877" s="14">
        <v>0.045378631</v>
      </c>
      <c r="I2877" s="14" t="s">
        <v>147</v>
      </c>
      <c r="J2877" s="14">
        <v>2.560243049</v>
      </c>
      <c r="K2877" s="14">
        <v>1.601894739</v>
      </c>
      <c r="L2877" s="14">
        <v>2.03206545</v>
      </c>
      <c r="M2877" s="14">
        <v>3.996237865</v>
      </c>
      <c r="N2877" s="14">
        <v>3.91911393</v>
      </c>
      <c r="O2877" s="14">
        <v>2.172140079</v>
      </c>
    </row>
    <row r="2878" spans="1:21">
      <c r="A2878" s="14" t="s">
        <v>25</v>
      </c>
      <c r="B2878" s="14">
        <v>8198.340103</v>
      </c>
      <c r="C2878" s="14">
        <v>11155.32472</v>
      </c>
      <c r="D2878" s="14">
        <v>5241.355489</v>
      </c>
      <c r="E2878" s="14">
        <v>0.469833725</v>
      </c>
      <c r="F2878" s="14">
        <v>-1.089777819</v>
      </c>
      <c r="G2878" s="51" t="s">
        <v>13633</v>
      </c>
      <c r="H2878" s="51" t="s">
        <v>13634</v>
      </c>
      <c r="I2878" s="14" t="s">
        <v>147</v>
      </c>
      <c r="J2878" s="14">
        <v>83.20417975</v>
      </c>
      <c r="K2878" s="14">
        <v>91.60654271</v>
      </c>
      <c r="L2878" s="14">
        <v>84.96748169</v>
      </c>
      <c r="M2878" s="14">
        <v>145.9634732</v>
      </c>
      <c r="N2878" s="14">
        <v>138.1266487</v>
      </c>
      <c r="O2878" s="14">
        <v>172.8442555</v>
      </c>
      <c r="P2878" s="14" t="s">
        <v>26</v>
      </c>
      <c r="Q2878" s="14" t="s">
        <v>13635</v>
      </c>
      <c r="T2878" s="14" t="s">
        <v>10825</v>
      </c>
      <c r="U2878" s="14" t="s">
        <v>10826</v>
      </c>
    </row>
    <row r="2879" spans="1:21">
      <c r="A2879" s="14" t="s">
        <v>13636</v>
      </c>
      <c r="B2879" s="14">
        <v>80.44480677</v>
      </c>
      <c r="C2879" s="14">
        <v>151.4711484</v>
      </c>
      <c r="D2879" s="14">
        <v>9.418465121</v>
      </c>
      <c r="E2879" s="14">
        <v>0.062349085</v>
      </c>
      <c r="F2879" s="14">
        <v>-4.003487808</v>
      </c>
      <c r="G2879" s="51" t="s">
        <v>13637</v>
      </c>
      <c r="H2879" s="51" t="s">
        <v>13638</v>
      </c>
      <c r="I2879" s="14" t="s">
        <v>147</v>
      </c>
      <c r="J2879" s="14">
        <v>0.275376614</v>
      </c>
      <c r="K2879" s="14">
        <v>0.151186248</v>
      </c>
      <c r="L2879" s="14">
        <v>0.28925042</v>
      </c>
      <c r="M2879" s="14">
        <v>2.527461009</v>
      </c>
      <c r="N2879" s="14">
        <v>3.164567899</v>
      </c>
      <c r="O2879" s="14">
        <v>3.834975118</v>
      </c>
      <c r="P2879" s="14" t="s">
        <v>13639</v>
      </c>
      <c r="Q2879" s="14" t="s">
        <v>13640</v>
      </c>
      <c r="T2879" s="14" t="s">
        <v>8763</v>
      </c>
      <c r="U2879" s="14" t="s">
        <v>8764</v>
      </c>
    </row>
    <row r="2880" spans="1:15">
      <c r="A2880" s="14" t="s">
        <v>13641</v>
      </c>
      <c r="B2880" s="14">
        <v>9723.423504</v>
      </c>
      <c r="C2880" s="14">
        <v>13003.75749</v>
      </c>
      <c r="D2880" s="14">
        <v>6443.089523</v>
      </c>
      <c r="E2880" s="14">
        <v>0.495489926</v>
      </c>
      <c r="F2880" s="14">
        <v>-1.01307237</v>
      </c>
      <c r="G2880" s="51" t="s">
        <v>13642</v>
      </c>
      <c r="H2880" s="51" t="s">
        <v>13643</v>
      </c>
      <c r="I2880" s="14" t="s">
        <v>147</v>
      </c>
      <c r="J2880" s="14">
        <v>44.51700306</v>
      </c>
      <c r="K2880" s="14">
        <v>49.2598315</v>
      </c>
      <c r="L2880" s="14">
        <v>44.94470554</v>
      </c>
      <c r="M2880" s="14">
        <v>81.76861208</v>
      </c>
      <c r="N2880" s="14">
        <v>81.78036564</v>
      </c>
      <c r="O2880" s="14">
        <v>65.30927925</v>
      </c>
    </row>
    <row r="2881" spans="1:21">
      <c r="A2881" s="14" t="s">
        <v>13644</v>
      </c>
      <c r="B2881" s="14">
        <v>92.87600562</v>
      </c>
      <c r="C2881" s="14">
        <v>22.68885266</v>
      </c>
      <c r="D2881" s="14">
        <v>163.0631586</v>
      </c>
      <c r="E2881" s="14">
        <v>7.212795233</v>
      </c>
      <c r="F2881" s="14">
        <v>2.850558467</v>
      </c>
      <c r="G2881" s="51" t="s">
        <v>13645</v>
      </c>
      <c r="H2881" s="51" t="s">
        <v>13646</v>
      </c>
      <c r="I2881" s="14" t="s">
        <v>164</v>
      </c>
      <c r="J2881" s="14">
        <v>3.429421954</v>
      </c>
      <c r="K2881" s="14">
        <v>2.37437029</v>
      </c>
      <c r="L2881" s="14">
        <v>4.008228726</v>
      </c>
      <c r="M2881" s="14">
        <v>0.491859319</v>
      </c>
      <c r="N2881" s="14">
        <v>0.244076185</v>
      </c>
      <c r="O2881" s="14">
        <v>0.381662725</v>
      </c>
      <c r="P2881" s="14" t="s">
        <v>13256</v>
      </c>
      <c r="Q2881" s="14" t="s">
        <v>13257</v>
      </c>
      <c r="T2881" s="14" t="s">
        <v>13258</v>
      </c>
      <c r="U2881" s="14" t="s">
        <v>13259</v>
      </c>
    </row>
    <row r="2882" spans="1:21">
      <c r="A2882" s="14" t="s">
        <v>13647</v>
      </c>
      <c r="B2882" s="14">
        <v>428.7389221</v>
      </c>
      <c r="C2882" s="14">
        <v>20.10358481</v>
      </c>
      <c r="D2882" s="14">
        <v>837.3742593</v>
      </c>
      <c r="E2882" s="14">
        <v>41.4472976</v>
      </c>
      <c r="F2882" s="14">
        <v>5.373206135</v>
      </c>
      <c r="G2882" s="51" t="s">
        <v>2998</v>
      </c>
      <c r="H2882" s="51" t="s">
        <v>2999</v>
      </c>
      <c r="I2882" s="14" t="s">
        <v>164</v>
      </c>
      <c r="J2882" s="14">
        <v>18.82801714</v>
      </c>
      <c r="K2882" s="14">
        <v>11.2063649</v>
      </c>
      <c r="L2882" s="14">
        <v>26.08897268</v>
      </c>
      <c r="M2882" s="14">
        <v>0.018863175</v>
      </c>
      <c r="N2882" s="14">
        <v>0.162872795</v>
      </c>
      <c r="O2882" s="14">
        <v>0.996592384</v>
      </c>
      <c r="P2882" s="14" t="s">
        <v>13648</v>
      </c>
      <c r="Q2882" s="14" t="s">
        <v>13649</v>
      </c>
      <c r="T2882" s="14" t="s">
        <v>13650</v>
      </c>
      <c r="U2882" s="14" t="s">
        <v>13651</v>
      </c>
    </row>
    <row r="2883" spans="1:21">
      <c r="A2883" s="14" t="s">
        <v>13652</v>
      </c>
      <c r="B2883" s="14">
        <v>45692.14747</v>
      </c>
      <c r="C2883" s="14">
        <v>67727.0034</v>
      </c>
      <c r="D2883" s="14">
        <v>23657.29154</v>
      </c>
      <c r="E2883" s="14">
        <v>0.349304296</v>
      </c>
      <c r="F2883" s="14">
        <v>-1.51744371</v>
      </c>
      <c r="G2883" s="51" t="s">
        <v>13653</v>
      </c>
      <c r="H2883" s="51" t="s">
        <v>13654</v>
      </c>
      <c r="I2883" s="14" t="s">
        <v>147</v>
      </c>
      <c r="J2883" s="14">
        <v>479.1816446</v>
      </c>
      <c r="K2883" s="14">
        <v>602.3256597</v>
      </c>
      <c r="L2883" s="14">
        <v>457.1154088</v>
      </c>
      <c r="M2883" s="14">
        <v>1353.643058</v>
      </c>
      <c r="N2883" s="14">
        <v>1337.237709</v>
      </c>
      <c r="O2883" s="14">
        <v>897.2349321</v>
      </c>
      <c r="P2883" s="14" t="s">
        <v>13655</v>
      </c>
      <c r="Q2883" s="14" t="s">
        <v>13656</v>
      </c>
      <c r="R2883" s="14" t="s">
        <v>2754</v>
      </c>
      <c r="S2883" s="14" t="s">
        <v>2755</v>
      </c>
      <c r="T2883" s="14" t="s">
        <v>13657</v>
      </c>
      <c r="U2883" s="14" t="s">
        <v>13658</v>
      </c>
    </row>
    <row r="2884" spans="1:21">
      <c r="A2884" s="14" t="s">
        <v>13659</v>
      </c>
      <c r="B2884" s="14">
        <v>2422.530644</v>
      </c>
      <c r="C2884" s="14">
        <v>3636.049007</v>
      </c>
      <c r="D2884" s="14">
        <v>1209.012282</v>
      </c>
      <c r="E2884" s="14">
        <v>0.332524436</v>
      </c>
      <c r="F2884" s="14">
        <v>-1.58846773</v>
      </c>
      <c r="G2884" s="51" t="s">
        <v>13660</v>
      </c>
      <c r="H2884" s="51" t="s">
        <v>13661</v>
      </c>
      <c r="I2884" s="14" t="s">
        <v>147</v>
      </c>
      <c r="J2884" s="14">
        <v>7.871783576</v>
      </c>
      <c r="K2884" s="14">
        <v>8.454496968</v>
      </c>
      <c r="L2884" s="14">
        <v>7.827116362</v>
      </c>
      <c r="M2884" s="14">
        <v>20.26726921</v>
      </c>
      <c r="N2884" s="14">
        <v>21.02014322</v>
      </c>
      <c r="O2884" s="14">
        <v>18.24945209</v>
      </c>
      <c r="P2884" s="14" t="s">
        <v>13662</v>
      </c>
      <c r="Q2884" s="14" t="s">
        <v>13663</v>
      </c>
      <c r="T2884" s="14" t="s">
        <v>13664</v>
      </c>
      <c r="U2884" s="14" t="s">
        <v>13665</v>
      </c>
    </row>
    <row r="2885" spans="1:21">
      <c r="A2885" s="14" t="s">
        <v>13666</v>
      </c>
      <c r="B2885" s="14">
        <v>402.3831105</v>
      </c>
      <c r="C2885" s="14">
        <v>4.470513209</v>
      </c>
      <c r="D2885" s="14">
        <v>800.2957079</v>
      </c>
      <c r="E2885" s="14">
        <v>179.6811941</v>
      </c>
      <c r="F2885" s="14">
        <v>7.489295611</v>
      </c>
      <c r="G2885" s="51" t="s">
        <v>3579</v>
      </c>
      <c r="H2885" s="51" t="s">
        <v>3580</v>
      </c>
      <c r="I2885" s="14" t="s">
        <v>164</v>
      </c>
      <c r="J2885" s="14">
        <v>15.95519005</v>
      </c>
      <c r="K2885" s="14">
        <v>0.336070635</v>
      </c>
      <c r="L2885" s="14">
        <v>12.74462989</v>
      </c>
      <c r="M2885" s="14">
        <v>0.081621382</v>
      </c>
      <c r="N2885" s="14">
        <v>0.009788253</v>
      </c>
      <c r="O2885" s="14">
        <v>0.039928496</v>
      </c>
      <c r="P2885" s="14" t="s">
        <v>13667</v>
      </c>
      <c r="Q2885" s="14" t="s">
        <v>13668</v>
      </c>
      <c r="R2885" s="14" t="s">
        <v>3188</v>
      </c>
      <c r="S2885" s="14" t="s">
        <v>3189</v>
      </c>
      <c r="T2885" s="14" t="s">
        <v>13669</v>
      </c>
      <c r="U2885" s="14" t="s">
        <v>13670</v>
      </c>
    </row>
    <row r="2886" spans="1:21">
      <c r="A2886" s="14" t="s">
        <v>13671</v>
      </c>
      <c r="B2886" s="14">
        <v>197.725876</v>
      </c>
      <c r="C2886" s="14">
        <v>101.3732508</v>
      </c>
      <c r="D2886" s="14">
        <v>294.0785012</v>
      </c>
      <c r="E2886" s="14">
        <v>2.897964401</v>
      </c>
      <c r="F2886" s="14">
        <v>1.535039873</v>
      </c>
      <c r="G2886" s="14">
        <v>0.016368434</v>
      </c>
      <c r="H2886" s="14">
        <v>0.041089475</v>
      </c>
      <c r="I2886" s="14" t="s">
        <v>164</v>
      </c>
      <c r="J2886" s="14">
        <v>3.034061509</v>
      </c>
      <c r="K2886" s="14">
        <v>1.454225493</v>
      </c>
      <c r="L2886" s="14">
        <v>3.582124701</v>
      </c>
      <c r="M2886" s="14">
        <v>0.502188249</v>
      </c>
      <c r="N2886" s="14">
        <v>0.296486157</v>
      </c>
      <c r="O2886" s="14">
        <v>1.572264209</v>
      </c>
      <c r="P2886" s="14" t="s">
        <v>13672</v>
      </c>
      <c r="Q2886" s="14" t="s">
        <v>13673</v>
      </c>
      <c r="T2886" s="14" t="s">
        <v>13674</v>
      </c>
      <c r="U2886" s="14" t="s">
        <v>13675</v>
      </c>
    </row>
    <row r="2887" spans="1:21">
      <c r="A2887" s="14" t="s">
        <v>13676</v>
      </c>
      <c r="B2887" s="14">
        <v>206.4328598</v>
      </c>
      <c r="C2887" s="14">
        <v>120.4391432</v>
      </c>
      <c r="D2887" s="14">
        <v>292.4265765</v>
      </c>
      <c r="E2887" s="14">
        <v>2.430024546</v>
      </c>
      <c r="F2887" s="14">
        <v>1.280970887</v>
      </c>
      <c r="G2887" s="14">
        <v>0.011469466</v>
      </c>
      <c r="H2887" s="14">
        <v>0.030402619</v>
      </c>
      <c r="I2887" s="14" t="s">
        <v>164</v>
      </c>
      <c r="J2887" s="14">
        <v>6.375759037</v>
      </c>
      <c r="K2887" s="14">
        <v>2.043946838</v>
      </c>
      <c r="L2887" s="14">
        <v>4.830606689</v>
      </c>
      <c r="M2887" s="14">
        <v>1.750220125</v>
      </c>
      <c r="N2887" s="14">
        <v>1.679128425</v>
      </c>
      <c r="O2887" s="14">
        <v>0.987434282</v>
      </c>
      <c r="P2887" s="14" t="s">
        <v>13677</v>
      </c>
      <c r="Q2887" s="14" t="s">
        <v>13678</v>
      </c>
      <c r="R2887" s="14" t="s">
        <v>1313</v>
      </c>
      <c r="S2887" s="14" t="s">
        <v>1314</v>
      </c>
      <c r="T2887" s="14" t="s">
        <v>13679</v>
      </c>
      <c r="U2887" s="14" t="s">
        <v>13680</v>
      </c>
    </row>
    <row r="2888" spans="1:21">
      <c r="A2888" s="14" t="s">
        <v>13681</v>
      </c>
      <c r="B2888" s="14">
        <v>586.9995386</v>
      </c>
      <c r="C2888" s="14">
        <v>146.1465466</v>
      </c>
      <c r="D2888" s="14">
        <v>1027.852531</v>
      </c>
      <c r="E2888" s="14">
        <v>7.027431658</v>
      </c>
      <c r="F2888" s="14">
        <v>2.812997518</v>
      </c>
      <c r="G2888" s="14">
        <v>0.000872579</v>
      </c>
      <c r="H2888" s="14">
        <v>0.003249687</v>
      </c>
      <c r="I2888" s="14" t="s">
        <v>164</v>
      </c>
      <c r="J2888" s="14">
        <v>15.36119718</v>
      </c>
      <c r="K2888" s="14">
        <v>6.7951087</v>
      </c>
      <c r="L2888" s="14">
        <v>14.0968648</v>
      </c>
      <c r="M2888" s="14">
        <v>0.228659648</v>
      </c>
      <c r="N2888" s="14">
        <v>0.581812128</v>
      </c>
      <c r="O2888" s="14">
        <v>3.686463245</v>
      </c>
      <c r="P2888" s="14" t="s">
        <v>2386</v>
      </c>
      <c r="Q2888" s="14" t="s">
        <v>2387</v>
      </c>
      <c r="T2888" s="14" t="s">
        <v>2388</v>
      </c>
      <c r="U2888" s="14" t="s">
        <v>2389</v>
      </c>
    </row>
    <row r="2889" spans="1:21">
      <c r="A2889" s="14" t="s">
        <v>13682</v>
      </c>
      <c r="B2889" s="14">
        <v>439.2600651</v>
      </c>
      <c r="C2889" s="14">
        <v>647.9381655</v>
      </c>
      <c r="D2889" s="14">
        <v>230.5819647</v>
      </c>
      <c r="E2889" s="14">
        <v>0.355969731</v>
      </c>
      <c r="F2889" s="14">
        <v>-1.490173525</v>
      </c>
      <c r="G2889" s="51" t="s">
        <v>13683</v>
      </c>
      <c r="H2889" s="51" t="s">
        <v>13684</v>
      </c>
      <c r="I2889" s="14" t="s">
        <v>147</v>
      </c>
      <c r="J2889" s="14">
        <v>2.696817331</v>
      </c>
      <c r="K2889" s="14">
        <v>2.544065657</v>
      </c>
      <c r="L2889" s="14">
        <v>2.640087276</v>
      </c>
      <c r="M2889" s="14">
        <v>6.284962694</v>
      </c>
      <c r="N2889" s="14">
        <v>7.761702179</v>
      </c>
      <c r="O2889" s="14">
        <v>3.919934551</v>
      </c>
      <c r="P2889" s="14" t="s">
        <v>13685</v>
      </c>
      <c r="Q2889" s="14" t="s">
        <v>13686</v>
      </c>
      <c r="T2889" s="14" t="s">
        <v>13687</v>
      </c>
      <c r="U2889" s="14" t="s">
        <v>13688</v>
      </c>
    </row>
    <row r="2890" spans="1:21">
      <c r="A2890" s="14" t="s">
        <v>13689</v>
      </c>
      <c r="B2890" s="14">
        <v>487.7298155</v>
      </c>
      <c r="C2890" s="14">
        <v>70.36418398</v>
      </c>
      <c r="D2890" s="14">
        <v>905.0954471</v>
      </c>
      <c r="E2890" s="14">
        <v>12.87869642</v>
      </c>
      <c r="F2890" s="14">
        <v>3.686914666</v>
      </c>
      <c r="G2890" s="51" t="s">
        <v>13690</v>
      </c>
      <c r="H2890" s="51" t="s">
        <v>13691</v>
      </c>
      <c r="I2890" s="14" t="s">
        <v>164</v>
      </c>
      <c r="J2890" s="14">
        <v>16.00415893</v>
      </c>
      <c r="K2890" s="14">
        <v>13.70488409</v>
      </c>
      <c r="L2890" s="14">
        <v>15.77687075</v>
      </c>
      <c r="M2890" s="14">
        <v>0.780434245</v>
      </c>
      <c r="N2890" s="14">
        <v>1.443014629</v>
      </c>
      <c r="O2890" s="14">
        <v>0.65249996</v>
      </c>
      <c r="P2890" s="14" t="s">
        <v>13692</v>
      </c>
      <c r="Q2890" s="14" t="s">
        <v>13693</v>
      </c>
      <c r="T2890" s="14" t="s">
        <v>13694</v>
      </c>
      <c r="U2890" s="14" t="s">
        <v>13695</v>
      </c>
    </row>
    <row r="2891" spans="1:21">
      <c r="A2891" s="14" t="s">
        <v>13696</v>
      </c>
      <c r="B2891" s="14">
        <v>836.8617677</v>
      </c>
      <c r="C2891" s="14">
        <v>518.5610354</v>
      </c>
      <c r="D2891" s="14">
        <v>1155.1625</v>
      </c>
      <c r="E2891" s="14">
        <v>2.22853788</v>
      </c>
      <c r="F2891" s="14">
        <v>1.156097484</v>
      </c>
      <c r="G2891" s="14">
        <v>0.000195394</v>
      </c>
      <c r="H2891" s="14">
        <v>0.000859396</v>
      </c>
      <c r="I2891" s="14" t="s">
        <v>164</v>
      </c>
      <c r="J2891" s="14">
        <v>11.38269159</v>
      </c>
      <c r="K2891" s="14">
        <v>8.727527605</v>
      </c>
      <c r="L2891" s="14">
        <v>9.633835706</v>
      </c>
      <c r="M2891" s="14">
        <v>3.971230732</v>
      </c>
      <c r="N2891" s="14">
        <v>4.430956063</v>
      </c>
      <c r="O2891" s="14">
        <v>2.433703057</v>
      </c>
      <c r="P2891" s="14" t="s">
        <v>13697</v>
      </c>
      <c r="Q2891" s="14" t="s">
        <v>13698</v>
      </c>
      <c r="T2891" s="14" t="s">
        <v>13699</v>
      </c>
      <c r="U2891" s="14" t="s">
        <v>13700</v>
      </c>
    </row>
    <row r="2892" spans="1:21">
      <c r="A2892" s="14" t="s">
        <v>13701</v>
      </c>
      <c r="B2892" s="14">
        <v>517.5608698</v>
      </c>
      <c r="C2892" s="14">
        <v>283.6916261</v>
      </c>
      <c r="D2892" s="14">
        <v>751.4301134</v>
      </c>
      <c r="E2892" s="14">
        <v>2.647268176</v>
      </c>
      <c r="F2892" s="14">
        <v>1.404504352</v>
      </c>
      <c r="G2892" s="14">
        <v>0.019246575</v>
      </c>
      <c r="H2892" s="14">
        <v>0.047080368</v>
      </c>
      <c r="I2892" s="14" t="s">
        <v>164</v>
      </c>
      <c r="J2892" s="14">
        <v>10.64402043</v>
      </c>
      <c r="K2892" s="14">
        <v>7.45465773</v>
      </c>
      <c r="L2892" s="14">
        <v>4.871002416</v>
      </c>
      <c r="M2892" s="14">
        <v>1.255237913</v>
      </c>
      <c r="N2892" s="14">
        <v>1.121199911</v>
      </c>
      <c r="O2892" s="14">
        <v>5.081808552</v>
      </c>
      <c r="P2892" s="14" t="s">
        <v>13702</v>
      </c>
      <c r="Q2892" s="14" t="s">
        <v>8125</v>
      </c>
      <c r="T2892" s="14" t="s">
        <v>13703</v>
      </c>
      <c r="U2892" s="14" t="s">
        <v>13704</v>
      </c>
    </row>
    <row r="2893" spans="1:21">
      <c r="A2893" s="14" t="s">
        <v>13705</v>
      </c>
      <c r="B2893" s="14">
        <v>1587.644659</v>
      </c>
      <c r="C2893" s="14">
        <v>2547.791305</v>
      </c>
      <c r="D2893" s="14">
        <v>627.4980132</v>
      </c>
      <c r="E2893" s="14">
        <v>0.246231697</v>
      </c>
      <c r="F2893" s="14">
        <v>-2.021911603</v>
      </c>
      <c r="G2893" s="51" t="s">
        <v>13706</v>
      </c>
      <c r="H2893" s="51" t="s">
        <v>13707</v>
      </c>
      <c r="I2893" s="14" t="s">
        <v>147</v>
      </c>
      <c r="J2893" s="14">
        <v>14.45497694</v>
      </c>
      <c r="K2893" s="14">
        <v>14.43569913</v>
      </c>
      <c r="L2893" s="14">
        <v>14.02670053</v>
      </c>
      <c r="M2893" s="14">
        <v>45.47026053</v>
      </c>
      <c r="N2893" s="14">
        <v>43.67893512</v>
      </c>
      <c r="O2893" s="14">
        <v>54.90490329</v>
      </c>
      <c r="P2893" s="14" t="s">
        <v>13708</v>
      </c>
      <c r="Q2893" s="14" t="s">
        <v>13709</v>
      </c>
      <c r="T2893" s="14" t="s">
        <v>13710</v>
      </c>
      <c r="U2893" s="14" t="s">
        <v>13711</v>
      </c>
    </row>
    <row r="2894" spans="1:21">
      <c r="A2894" s="14" t="s">
        <v>13712</v>
      </c>
      <c r="B2894" s="14">
        <v>2148.529332</v>
      </c>
      <c r="C2894" s="14">
        <v>3025.11183</v>
      </c>
      <c r="D2894" s="14">
        <v>1271.946833</v>
      </c>
      <c r="E2894" s="14">
        <v>0.420499853</v>
      </c>
      <c r="F2894" s="14">
        <v>-1.2498228</v>
      </c>
      <c r="G2894" s="51" t="s">
        <v>13713</v>
      </c>
      <c r="H2894" s="51" t="s">
        <v>8784</v>
      </c>
      <c r="I2894" s="14" t="s">
        <v>147</v>
      </c>
      <c r="J2894" s="14">
        <v>13.51558512</v>
      </c>
      <c r="K2894" s="14">
        <v>14.27913083</v>
      </c>
      <c r="L2894" s="14">
        <v>13.88867911</v>
      </c>
      <c r="M2894" s="14">
        <v>30.57155776</v>
      </c>
      <c r="N2894" s="14">
        <v>30.85755801</v>
      </c>
      <c r="O2894" s="14">
        <v>19.12219473</v>
      </c>
      <c r="P2894" s="14" t="s">
        <v>13714</v>
      </c>
      <c r="Q2894" s="14" t="s">
        <v>13715</v>
      </c>
      <c r="T2894" s="14" t="s">
        <v>13716</v>
      </c>
      <c r="U2894" s="14" t="s">
        <v>13717</v>
      </c>
    </row>
    <row r="2895" spans="1:21">
      <c r="A2895" s="14" t="s">
        <v>13718</v>
      </c>
      <c r="B2895" s="14">
        <v>2720.831088</v>
      </c>
      <c r="C2895" s="14">
        <v>3806.148376</v>
      </c>
      <c r="D2895" s="14">
        <v>1635.5138</v>
      </c>
      <c r="E2895" s="14">
        <v>0.429727729</v>
      </c>
      <c r="F2895" s="14">
        <v>-1.218505223</v>
      </c>
      <c r="G2895" s="51" t="s">
        <v>13719</v>
      </c>
      <c r="H2895" s="51" t="s">
        <v>13720</v>
      </c>
      <c r="I2895" s="14" t="s">
        <v>147</v>
      </c>
      <c r="J2895" s="14">
        <v>25.43951465</v>
      </c>
      <c r="K2895" s="14">
        <v>28.82849245</v>
      </c>
      <c r="L2895" s="14">
        <v>24.98770211</v>
      </c>
      <c r="M2895" s="14">
        <v>55.65444197</v>
      </c>
      <c r="N2895" s="14">
        <v>51.75114492</v>
      </c>
      <c r="O2895" s="14">
        <v>43.39491661</v>
      </c>
      <c r="P2895" s="14" t="s">
        <v>13721</v>
      </c>
      <c r="Q2895" s="14" t="s">
        <v>13722</v>
      </c>
      <c r="T2895" s="14" t="s">
        <v>13723</v>
      </c>
      <c r="U2895" s="14" t="s">
        <v>13724</v>
      </c>
    </row>
    <row r="2896" spans="1:15">
      <c r="A2896" s="14" t="s">
        <v>13725</v>
      </c>
      <c r="B2896" s="14">
        <v>1878.838381</v>
      </c>
      <c r="C2896" s="14">
        <v>2797.507577</v>
      </c>
      <c r="D2896" s="14">
        <v>960.1691847</v>
      </c>
      <c r="E2896" s="14">
        <v>0.343248602</v>
      </c>
      <c r="F2896" s="14">
        <v>-1.542674249</v>
      </c>
      <c r="G2896" s="51" t="s">
        <v>13726</v>
      </c>
      <c r="H2896" s="51" t="s">
        <v>13727</v>
      </c>
      <c r="I2896" s="14" t="s">
        <v>147</v>
      </c>
      <c r="J2896" s="14">
        <v>19.88150096</v>
      </c>
      <c r="K2896" s="14">
        <v>25.14905034</v>
      </c>
      <c r="L2896" s="14">
        <v>22.73358688</v>
      </c>
      <c r="M2896" s="14">
        <v>61.02245137</v>
      </c>
      <c r="N2896" s="14">
        <v>63.69029478</v>
      </c>
      <c r="O2896" s="14">
        <v>35.4512991</v>
      </c>
    </row>
    <row r="2897" spans="1:15">
      <c r="A2897" s="14" t="s">
        <v>13728</v>
      </c>
      <c r="B2897" s="14">
        <v>2006.964991</v>
      </c>
      <c r="C2897" s="14">
        <v>2818.793241</v>
      </c>
      <c r="D2897" s="14">
        <v>1195.136742</v>
      </c>
      <c r="E2897" s="14">
        <v>0.42400637</v>
      </c>
      <c r="F2897" s="14">
        <v>-1.237842157</v>
      </c>
      <c r="G2897" s="14">
        <v>0.003805868</v>
      </c>
      <c r="H2897" s="14">
        <v>0.011706774</v>
      </c>
      <c r="I2897" s="14" t="s">
        <v>147</v>
      </c>
      <c r="J2897" s="14">
        <v>18.04329173</v>
      </c>
      <c r="K2897" s="14">
        <v>31.16486966</v>
      </c>
      <c r="L2897" s="14">
        <v>22.88241343</v>
      </c>
      <c r="M2897" s="14">
        <v>54.39885981</v>
      </c>
      <c r="N2897" s="14">
        <v>59.35729124</v>
      </c>
      <c r="O2897" s="14">
        <v>23.4988677</v>
      </c>
    </row>
    <row r="2898" spans="1:21">
      <c r="A2898" s="14" t="s">
        <v>13729</v>
      </c>
      <c r="B2898" s="14">
        <v>193.6270457</v>
      </c>
      <c r="C2898" s="14">
        <v>96.9127978</v>
      </c>
      <c r="D2898" s="14">
        <v>290.3412936</v>
      </c>
      <c r="E2898" s="14">
        <v>2.990122305</v>
      </c>
      <c r="F2898" s="14">
        <v>1.580204496</v>
      </c>
      <c r="G2898" s="51" t="s">
        <v>11166</v>
      </c>
      <c r="H2898" s="14">
        <v>0.000149066</v>
      </c>
      <c r="I2898" s="14" t="s">
        <v>164</v>
      </c>
      <c r="J2898" s="14">
        <v>2.479829617</v>
      </c>
      <c r="K2898" s="14">
        <v>2.236695559</v>
      </c>
      <c r="L2898" s="14">
        <v>2.364445708</v>
      </c>
      <c r="M2898" s="14">
        <v>0.509766077</v>
      </c>
      <c r="N2898" s="14">
        <v>0.403144081</v>
      </c>
      <c r="O2898" s="14">
        <v>1.078370995</v>
      </c>
      <c r="P2898" s="14" t="s">
        <v>1195</v>
      </c>
      <c r="Q2898" s="14" t="s">
        <v>1196</v>
      </c>
      <c r="T2898" s="14" t="s">
        <v>1197</v>
      </c>
      <c r="U2898" s="14" t="s">
        <v>1198</v>
      </c>
    </row>
    <row r="2899" spans="1:21">
      <c r="A2899" s="14" t="s">
        <v>13730</v>
      </c>
      <c r="B2899" s="14">
        <v>125.5551587</v>
      </c>
      <c r="C2899" s="14">
        <v>51.29779827</v>
      </c>
      <c r="D2899" s="14">
        <v>199.8125191</v>
      </c>
      <c r="E2899" s="14">
        <v>3.879178551</v>
      </c>
      <c r="F2899" s="14">
        <v>1.955751182</v>
      </c>
      <c r="G2899" s="51" t="s">
        <v>13731</v>
      </c>
      <c r="H2899" s="51" t="s">
        <v>13732</v>
      </c>
      <c r="I2899" s="14" t="s">
        <v>164</v>
      </c>
      <c r="J2899" s="14">
        <v>0.888988625</v>
      </c>
      <c r="K2899" s="14">
        <v>0.796734032</v>
      </c>
      <c r="L2899" s="14">
        <v>0.769975127</v>
      </c>
      <c r="M2899" s="14">
        <v>0.128505554</v>
      </c>
      <c r="N2899" s="14">
        <v>0.159938365</v>
      </c>
      <c r="O2899" s="14">
        <v>0.237863179</v>
      </c>
      <c r="P2899" s="14" t="s">
        <v>13733</v>
      </c>
      <c r="Q2899" s="14" t="s">
        <v>13734</v>
      </c>
      <c r="T2899" s="14" t="s">
        <v>13735</v>
      </c>
      <c r="U2899" s="14" t="s">
        <v>13736</v>
      </c>
    </row>
    <row r="2900" spans="1:21">
      <c r="A2900" s="14" t="s">
        <v>13737</v>
      </c>
      <c r="B2900" s="14">
        <v>5286.257821</v>
      </c>
      <c r="C2900" s="14">
        <v>10003.64842</v>
      </c>
      <c r="D2900" s="14">
        <v>568.8672186</v>
      </c>
      <c r="E2900" s="14">
        <v>0.056864918</v>
      </c>
      <c r="F2900" s="14">
        <v>-4.13631732</v>
      </c>
      <c r="G2900" s="51" t="s">
        <v>13738</v>
      </c>
      <c r="H2900" s="51" t="s">
        <v>13739</v>
      </c>
      <c r="I2900" s="14" t="s">
        <v>147</v>
      </c>
      <c r="J2900" s="14">
        <v>5.208024975</v>
      </c>
      <c r="K2900" s="14">
        <v>15.17065092</v>
      </c>
      <c r="L2900" s="14">
        <v>9.281887579</v>
      </c>
      <c r="M2900" s="14">
        <v>181.2040636</v>
      </c>
      <c r="N2900" s="14">
        <v>178.2036829</v>
      </c>
      <c r="O2900" s="14">
        <v>60.32753441</v>
      </c>
      <c r="P2900" s="14" t="s">
        <v>6680</v>
      </c>
      <c r="Q2900" s="14" t="s">
        <v>6681</v>
      </c>
      <c r="T2900" s="14" t="s">
        <v>6682</v>
      </c>
      <c r="U2900" s="14" t="s">
        <v>6683</v>
      </c>
    </row>
    <row r="2901" spans="1:21">
      <c r="A2901" s="14" t="s">
        <v>13740</v>
      </c>
      <c r="B2901" s="14">
        <v>97.46914848</v>
      </c>
      <c r="C2901" s="14">
        <v>44.8461652</v>
      </c>
      <c r="D2901" s="14">
        <v>150.0921318</v>
      </c>
      <c r="E2901" s="14">
        <v>3.336280043</v>
      </c>
      <c r="F2901" s="14">
        <v>1.738240392</v>
      </c>
      <c r="G2901" s="51" t="s">
        <v>720</v>
      </c>
      <c r="H2901" s="51" t="s">
        <v>5325</v>
      </c>
      <c r="I2901" s="14" t="s">
        <v>164</v>
      </c>
      <c r="J2901" s="14">
        <v>0.670041129</v>
      </c>
      <c r="K2901" s="14">
        <v>0.427772695</v>
      </c>
      <c r="L2901" s="14">
        <v>0.645148724</v>
      </c>
      <c r="M2901" s="14">
        <v>0.098277195</v>
      </c>
      <c r="N2901" s="14">
        <v>0.128856579</v>
      </c>
      <c r="O2901" s="14">
        <v>0.208330981</v>
      </c>
      <c r="P2901" s="14" t="s">
        <v>13741</v>
      </c>
      <c r="Q2901" s="14" t="s">
        <v>13742</v>
      </c>
      <c r="T2901" s="14" t="s">
        <v>13743</v>
      </c>
      <c r="U2901" s="14" t="s">
        <v>13744</v>
      </c>
    </row>
    <row r="2902" spans="1:21">
      <c r="A2902" s="14" t="s">
        <v>13745</v>
      </c>
      <c r="B2902" s="14">
        <v>3538.012095</v>
      </c>
      <c r="C2902" s="14">
        <v>5279.070948</v>
      </c>
      <c r="D2902" s="14">
        <v>1796.953242</v>
      </c>
      <c r="E2902" s="14">
        <v>0.340408734</v>
      </c>
      <c r="F2902" s="14">
        <v>-1.554660043</v>
      </c>
      <c r="G2902" s="51" t="s">
        <v>13746</v>
      </c>
      <c r="H2902" s="51" t="s">
        <v>13747</v>
      </c>
      <c r="I2902" s="14" t="s">
        <v>147</v>
      </c>
      <c r="J2902" s="14">
        <v>30.53346615</v>
      </c>
      <c r="K2902" s="14">
        <v>31.87870027</v>
      </c>
      <c r="L2902" s="14">
        <v>30.03717527</v>
      </c>
      <c r="M2902" s="14">
        <v>77.58777896</v>
      </c>
      <c r="N2902" s="14">
        <v>77.08623275</v>
      </c>
      <c r="O2902" s="14">
        <v>67.83165963</v>
      </c>
      <c r="P2902" s="14" t="s">
        <v>13748</v>
      </c>
      <c r="Q2902" s="14" t="s">
        <v>13749</v>
      </c>
      <c r="T2902" s="14" t="s">
        <v>13750</v>
      </c>
      <c r="U2902" s="14" t="s">
        <v>13751</v>
      </c>
    </row>
    <row r="2903" spans="1:21">
      <c r="A2903" s="14" t="s">
        <v>13752</v>
      </c>
      <c r="B2903" s="14">
        <v>74.25986424</v>
      </c>
      <c r="C2903" s="14">
        <v>106.7018321</v>
      </c>
      <c r="D2903" s="14">
        <v>41.81789636</v>
      </c>
      <c r="E2903" s="14">
        <v>0.39230492</v>
      </c>
      <c r="F2903" s="14">
        <v>-1.349952667</v>
      </c>
      <c r="G2903" s="14">
        <v>0.000902942</v>
      </c>
      <c r="H2903" s="14">
        <v>0.003346672</v>
      </c>
      <c r="I2903" s="14" t="s">
        <v>147</v>
      </c>
      <c r="J2903" s="14">
        <v>0.417280999</v>
      </c>
      <c r="K2903" s="14">
        <v>0.356091865</v>
      </c>
      <c r="L2903" s="14">
        <v>0.375575811</v>
      </c>
      <c r="M2903" s="14">
        <v>0.807183364</v>
      </c>
      <c r="N2903" s="14">
        <v>1.035010854</v>
      </c>
      <c r="O2903" s="14">
        <v>0.539145787</v>
      </c>
      <c r="P2903" s="14" t="s">
        <v>13753</v>
      </c>
      <c r="Q2903" s="14" t="s">
        <v>13754</v>
      </c>
      <c r="T2903" s="14" t="s">
        <v>4373</v>
      </c>
      <c r="U2903" s="14" t="s">
        <v>4374</v>
      </c>
    </row>
    <row r="2904" spans="1:21">
      <c r="A2904" s="14" t="s">
        <v>13755</v>
      </c>
      <c r="B2904" s="14">
        <v>319.5278895</v>
      </c>
      <c r="C2904" s="14">
        <v>148.1146348</v>
      </c>
      <c r="D2904" s="14">
        <v>490.9411441</v>
      </c>
      <c r="E2904" s="14">
        <v>3.312996751</v>
      </c>
      <c r="F2904" s="14">
        <v>1.728136789</v>
      </c>
      <c r="G2904" s="51" t="s">
        <v>13756</v>
      </c>
      <c r="H2904" s="51" t="s">
        <v>13757</v>
      </c>
      <c r="I2904" s="14" t="s">
        <v>164</v>
      </c>
      <c r="J2904" s="14">
        <v>11.92169192</v>
      </c>
      <c r="K2904" s="14">
        <v>9.45554669</v>
      </c>
      <c r="L2904" s="14">
        <v>11.90951835</v>
      </c>
      <c r="M2904" s="14">
        <v>2.602661454</v>
      </c>
      <c r="N2904" s="14">
        <v>2.460224904</v>
      </c>
      <c r="O2904" s="14">
        <v>3.239171021</v>
      </c>
      <c r="P2904" s="14" t="s">
        <v>13758</v>
      </c>
      <c r="Q2904" s="14" t="s">
        <v>13759</v>
      </c>
      <c r="T2904" s="14" t="s">
        <v>4944</v>
      </c>
      <c r="U2904" s="14" t="s">
        <v>4945</v>
      </c>
    </row>
    <row r="2905" spans="1:21">
      <c r="A2905" s="14" t="s">
        <v>13760</v>
      </c>
      <c r="B2905" s="14">
        <v>126.3978705</v>
      </c>
      <c r="C2905" s="14">
        <v>20.93763974</v>
      </c>
      <c r="D2905" s="14">
        <v>231.8581012</v>
      </c>
      <c r="E2905" s="14">
        <v>11.02382505</v>
      </c>
      <c r="F2905" s="14">
        <v>3.462552992</v>
      </c>
      <c r="G2905" s="51" t="s">
        <v>7277</v>
      </c>
      <c r="H2905" s="51" t="s">
        <v>6643</v>
      </c>
      <c r="I2905" s="14" t="s">
        <v>164</v>
      </c>
      <c r="J2905" s="14">
        <v>4.032672581</v>
      </c>
      <c r="K2905" s="14">
        <v>1.345135513</v>
      </c>
      <c r="L2905" s="14">
        <v>2.866992899</v>
      </c>
      <c r="M2905" s="14">
        <v>0.100300386</v>
      </c>
      <c r="N2905" s="14">
        <v>0.202075258</v>
      </c>
      <c r="O2905" s="14">
        <v>0.323836315</v>
      </c>
      <c r="P2905" s="14" t="s">
        <v>13761</v>
      </c>
      <c r="Q2905" s="14" t="s">
        <v>13762</v>
      </c>
      <c r="T2905" s="14" t="s">
        <v>13763</v>
      </c>
      <c r="U2905" s="14" t="s">
        <v>13764</v>
      </c>
    </row>
    <row r="2906" spans="1:21">
      <c r="A2906" s="14" t="s">
        <v>13765</v>
      </c>
      <c r="B2906" s="14">
        <v>180.5073756</v>
      </c>
      <c r="C2906" s="14">
        <v>120.2372573</v>
      </c>
      <c r="D2906" s="14">
        <v>240.7774938</v>
      </c>
      <c r="E2906" s="14">
        <v>2.004781638</v>
      </c>
      <c r="F2906" s="14">
        <v>1.003445106</v>
      </c>
      <c r="G2906" s="14">
        <v>0.003044741</v>
      </c>
      <c r="H2906" s="14">
        <v>0.009623132</v>
      </c>
      <c r="I2906" s="14" t="s">
        <v>164</v>
      </c>
      <c r="J2906" s="14">
        <v>2.953830178</v>
      </c>
      <c r="K2906" s="14">
        <v>2.627924793</v>
      </c>
      <c r="L2906" s="14">
        <v>2.481924486</v>
      </c>
      <c r="M2906" s="14">
        <v>1.097994936</v>
      </c>
      <c r="N2906" s="14">
        <v>1.425716713</v>
      </c>
      <c r="O2906" s="14">
        <v>0.750129716</v>
      </c>
      <c r="P2906" s="14" t="s">
        <v>5171</v>
      </c>
      <c r="Q2906" s="14" t="s">
        <v>5172</v>
      </c>
      <c r="T2906" s="14" t="s">
        <v>5173</v>
      </c>
      <c r="U2906" s="14" t="s">
        <v>5174</v>
      </c>
    </row>
    <row r="2907" spans="1:21">
      <c r="A2907" s="14" t="s">
        <v>13766</v>
      </c>
      <c r="B2907" s="14">
        <v>103.0620686</v>
      </c>
      <c r="C2907" s="14">
        <v>35.6313615</v>
      </c>
      <c r="D2907" s="14">
        <v>170.4927758</v>
      </c>
      <c r="E2907" s="14">
        <v>4.788207953</v>
      </c>
      <c r="F2907" s="14">
        <v>2.25948581</v>
      </c>
      <c r="G2907" s="51" t="s">
        <v>13767</v>
      </c>
      <c r="H2907" s="51" t="s">
        <v>13768</v>
      </c>
      <c r="I2907" s="14" t="s">
        <v>164</v>
      </c>
      <c r="J2907" s="14">
        <v>7.753014</v>
      </c>
      <c r="K2907" s="14">
        <v>4.856520744</v>
      </c>
      <c r="L2907" s="14">
        <v>8.735620939</v>
      </c>
      <c r="M2907" s="14">
        <v>0.917390319</v>
      </c>
      <c r="N2907" s="14">
        <v>1.692552115</v>
      </c>
      <c r="O2907" s="14">
        <v>1.035645359</v>
      </c>
      <c r="P2907" s="14" t="s">
        <v>13769</v>
      </c>
      <c r="Q2907" s="14" t="s">
        <v>13770</v>
      </c>
      <c r="T2907" s="14" t="s">
        <v>2899</v>
      </c>
      <c r="U2907" s="14" t="s">
        <v>2900</v>
      </c>
    </row>
    <row r="2908" spans="1:21">
      <c r="A2908" s="14" t="s">
        <v>13771</v>
      </c>
      <c r="B2908" s="14">
        <v>6006.734017</v>
      </c>
      <c r="C2908" s="14">
        <v>9257.144906</v>
      </c>
      <c r="D2908" s="14">
        <v>2756.323129</v>
      </c>
      <c r="E2908" s="14">
        <v>0.297754646</v>
      </c>
      <c r="F2908" s="14">
        <v>-1.747804078</v>
      </c>
      <c r="G2908" s="51" t="s">
        <v>13772</v>
      </c>
      <c r="H2908" s="51" t="s">
        <v>13773</v>
      </c>
      <c r="I2908" s="14" t="s">
        <v>147</v>
      </c>
      <c r="J2908" s="14">
        <v>46.50162115</v>
      </c>
      <c r="K2908" s="14">
        <v>57.49513424</v>
      </c>
      <c r="L2908" s="14">
        <v>49.85153045</v>
      </c>
      <c r="M2908" s="14">
        <v>148.0557827</v>
      </c>
      <c r="N2908" s="14">
        <v>146.9759554</v>
      </c>
      <c r="O2908" s="14">
        <v>128.2783554</v>
      </c>
      <c r="P2908" s="14" t="s">
        <v>13774</v>
      </c>
      <c r="Q2908" s="14" t="s">
        <v>13775</v>
      </c>
      <c r="T2908" s="14" t="s">
        <v>13776</v>
      </c>
      <c r="U2908" s="14" t="s">
        <v>13777</v>
      </c>
    </row>
    <row r="2909" spans="1:21">
      <c r="A2909" s="14" t="s">
        <v>13778</v>
      </c>
      <c r="B2909" s="14">
        <v>1177.027101</v>
      </c>
      <c r="C2909" s="14">
        <v>1665.043926</v>
      </c>
      <c r="D2909" s="14">
        <v>689.0102766</v>
      </c>
      <c r="E2909" s="14">
        <v>0.413884203</v>
      </c>
      <c r="F2909" s="14">
        <v>-1.272700908</v>
      </c>
      <c r="G2909" s="51" t="s">
        <v>13779</v>
      </c>
      <c r="H2909" s="51" t="s">
        <v>10000</v>
      </c>
      <c r="I2909" s="14" t="s">
        <v>147</v>
      </c>
      <c r="J2909" s="14">
        <v>73.40839582</v>
      </c>
      <c r="K2909" s="14">
        <v>90.87200616</v>
      </c>
      <c r="L2909" s="14">
        <v>92.85806229</v>
      </c>
      <c r="M2909" s="14">
        <v>192.6387943</v>
      </c>
      <c r="N2909" s="14">
        <v>190.88016</v>
      </c>
      <c r="O2909" s="14">
        <v>121.2505969</v>
      </c>
      <c r="P2909" s="14" t="s">
        <v>13780</v>
      </c>
      <c r="Q2909" s="14" t="s">
        <v>13781</v>
      </c>
      <c r="T2909" s="14" t="s">
        <v>13782</v>
      </c>
      <c r="U2909" s="14" t="s">
        <v>13783</v>
      </c>
    </row>
    <row r="2910" spans="1:15">
      <c r="A2910" s="14" t="s">
        <v>13784</v>
      </c>
      <c r="B2910" s="14">
        <v>1026.388314</v>
      </c>
      <c r="C2910" s="14">
        <v>1372.257786</v>
      </c>
      <c r="D2910" s="14">
        <v>680.518843</v>
      </c>
      <c r="E2910" s="14">
        <v>0.495991895</v>
      </c>
      <c r="F2910" s="14">
        <v>-1.01161155</v>
      </c>
      <c r="G2910" s="51" t="s">
        <v>13785</v>
      </c>
      <c r="H2910" s="51" t="s">
        <v>13786</v>
      </c>
      <c r="I2910" s="14" t="s">
        <v>147</v>
      </c>
      <c r="J2910" s="14">
        <v>8.302444949</v>
      </c>
      <c r="K2910" s="14">
        <v>9.251102438</v>
      </c>
      <c r="L2910" s="14">
        <v>8.605166866</v>
      </c>
      <c r="M2910" s="14">
        <v>14.41342741</v>
      </c>
      <c r="N2910" s="14">
        <v>15.40146442</v>
      </c>
      <c r="O2910" s="14">
        <v>13.44298987</v>
      </c>
    </row>
    <row r="2911" spans="1:15">
      <c r="A2911" s="14" t="s">
        <v>13787</v>
      </c>
      <c r="B2911" s="14">
        <v>99.78330677</v>
      </c>
      <c r="C2911" s="14">
        <v>147.7236044</v>
      </c>
      <c r="D2911" s="14">
        <v>51.84300911</v>
      </c>
      <c r="E2911" s="14">
        <v>0.351567661</v>
      </c>
      <c r="F2911" s="14">
        <v>-1.508125724</v>
      </c>
      <c r="G2911" s="51" t="s">
        <v>13788</v>
      </c>
      <c r="H2911" s="51" t="s">
        <v>13789</v>
      </c>
      <c r="I2911" s="14" t="s">
        <v>147</v>
      </c>
      <c r="J2911" s="14">
        <v>0.72806392</v>
      </c>
      <c r="K2911" s="14">
        <v>0.608083089</v>
      </c>
      <c r="L2911" s="14">
        <v>1.103727217</v>
      </c>
      <c r="M2911" s="14">
        <v>1.882036674</v>
      </c>
      <c r="N2911" s="14">
        <v>1.665721048</v>
      </c>
      <c r="O2911" s="14">
        <v>2.1785023</v>
      </c>
    </row>
    <row r="2912" spans="1:21">
      <c r="A2912" s="14" t="s">
        <v>13790</v>
      </c>
      <c r="B2912" s="14">
        <v>47.63418183</v>
      </c>
      <c r="C2912" s="14">
        <v>17.73801859</v>
      </c>
      <c r="D2912" s="14">
        <v>77.53034507</v>
      </c>
      <c r="E2912" s="14">
        <v>4.36023302</v>
      </c>
      <c r="F2912" s="14">
        <v>2.124405238</v>
      </c>
      <c r="G2912" s="14">
        <v>0.002769969</v>
      </c>
      <c r="H2912" s="14">
        <v>0.008875959</v>
      </c>
      <c r="I2912" s="14" t="s">
        <v>164</v>
      </c>
      <c r="J2912" s="14">
        <v>1.301545211</v>
      </c>
      <c r="K2912" s="14">
        <v>1.06818983</v>
      </c>
      <c r="L2912" s="14">
        <v>2.352145123</v>
      </c>
      <c r="M2912" s="14">
        <v>0.291247972</v>
      </c>
      <c r="N2912" s="14">
        <v>0.082181721</v>
      </c>
      <c r="O2912" s="14">
        <v>0.536380486</v>
      </c>
      <c r="P2912" s="14" t="s">
        <v>13791</v>
      </c>
      <c r="Q2912" s="14" t="s">
        <v>13792</v>
      </c>
      <c r="R2912" s="14" t="s">
        <v>3258</v>
      </c>
      <c r="S2912" s="14" t="s">
        <v>3259</v>
      </c>
      <c r="T2912" s="14" t="s">
        <v>13793</v>
      </c>
      <c r="U2912" s="14" t="s">
        <v>13794</v>
      </c>
    </row>
    <row r="2913" spans="1:21">
      <c r="A2913" s="14" t="s">
        <v>13795</v>
      </c>
      <c r="B2913" s="14">
        <v>474.3286765</v>
      </c>
      <c r="C2913" s="14">
        <v>124.3370439</v>
      </c>
      <c r="D2913" s="14">
        <v>824.3203091</v>
      </c>
      <c r="E2913" s="14">
        <v>6.619864986</v>
      </c>
      <c r="F2913" s="14">
        <v>2.726801793</v>
      </c>
      <c r="G2913" s="51" t="s">
        <v>5605</v>
      </c>
      <c r="H2913" s="51" t="s">
        <v>13796</v>
      </c>
      <c r="I2913" s="14" t="s">
        <v>164</v>
      </c>
      <c r="J2913" s="14">
        <v>20.37483715</v>
      </c>
      <c r="K2913" s="14">
        <v>23.49370411</v>
      </c>
      <c r="L2913" s="14">
        <v>21.0710783</v>
      </c>
      <c r="M2913" s="14">
        <v>1.469414787</v>
      </c>
      <c r="N2913" s="14">
        <v>3.310727291</v>
      </c>
      <c r="O2913" s="14">
        <v>3.376301114</v>
      </c>
      <c r="P2913" s="14" t="s">
        <v>2505</v>
      </c>
      <c r="Q2913" s="14" t="s">
        <v>2506</v>
      </c>
      <c r="T2913" s="14" t="s">
        <v>2507</v>
      </c>
      <c r="U2913" s="14" t="s">
        <v>2508</v>
      </c>
    </row>
    <row r="2914" spans="1:21">
      <c r="A2914" s="14" t="s">
        <v>13797</v>
      </c>
      <c r="B2914" s="14">
        <v>439.5252226</v>
      </c>
      <c r="C2914" s="14">
        <v>789.2223933</v>
      </c>
      <c r="D2914" s="14">
        <v>89.82805186</v>
      </c>
      <c r="E2914" s="14">
        <v>0.113752764</v>
      </c>
      <c r="F2914" s="14">
        <v>-3.136026493</v>
      </c>
      <c r="G2914" s="51" t="s">
        <v>6839</v>
      </c>
      <c r="H2914" s="51" t="s">
        <v>13798</v>
      </c>
      <c r="I2914" s="14" t="s">
        <v>147</v>
      </c>
      <c r="J2914" s="14">
        <v>1.298698304</v>
      </c>
      <c r="K2914" s="14">
        <v>3.434113363</v>
      </c>
      <c r="L2914" s="14">
        <v>1.229256848</v>
      </c>
      <c r="M2914" s="14">
        <v>16.96872217</v>
      </c>
      <c r="N2914" s="14">
        <v>15.21344889</v>
      </c>
      <c r="O2914" s="14">
        <v>10.59500574</v>
      </c>
      <c r="Q2914" s="14" t="s">
        <v>13799</v>
      </c>
      <c r="R2914" s="14" t="s">
        <v>11383</v>
      </c>
      <c r="S2914" s="14" t="s">
        <v>11384</v>
      </c>
      <c r="T2914" s="14" t="s">
        <v>13800</v>
      </c>
      <c r="U2914" s="14" t="s">
        <v>13801</v>
      </c>
    </row>
    <row r="2915" spans="1:21">
      <c r="A2915" s="14" t="s">
        <v>13802</v>
      </c>
      <c r="B2915" s="14">
        <v>75.22458717</v>
      </c>
      <c r="C2915" s="14">
        <v>110.6412018</v>
      </c>
      <c r="D2915" s="14">
        <v>39.80797251</v>
      </c>
      <c r="E2915" s="14">
        <v>0.359746913</v>
      </c>
      <c r="F2915" s="14">
        <v>-1.474945788</v>
      </c>
      <c r="G2915" s="14">
        <v>0.014564445</v>
      </c>
      <c r="H2915" s="14">
        <v>0.037211197</v>
      </c>
      <c r="I2915" s="14" t="s">
        <v>147</v>
      </c>
      <c r="J2915" s="14">
        <v>0.786340931</v>
      </c>
      <c r="K2915" s="14">
        <v>0.158295127</v>
      </c>
      <c r="L2915" s="14">
        <v>0.411012301</v>
      </c>
      <c r="M2915" s="14">
        <v>0.807346961</v>
      </c>
      <c r="N2915" s="14">
        <v>1.106505087</v>
      </c>
      <c r="O2915" s="14">
        <v>1.203649118</v>
      </c>
      <c r="P2915" s="14" t="s">
        <v>13803</v>
      </c>
      <c r="Q2915" s="14" t="s">
        <v>13804</v>
      </c>
      <c r="T2915" s="14" t="s">
        <v>13805</v>
      </c>
      <c r="U2915" s="14" t="s">
        <v>13806</v>
      </c>
    </row>
    <row r="2916" spans="1:21">
      <c r="A2916" s="14" t="s">
        <v>13807</v>
      </c>
      <c r="B2916" s="14">
        <v>44.5428278</v>
      </c>
      <c r="C2916" s="14">
        <v>27.4556549</v>
      </c>
      <c r="D2916" s="14">
        <v>61.6300007</v>
      </c>
      <c r="E2916" s="14">
        <v>2.249662219</v>
      </c>
      <c r="F2916" s="14">
        <v>1.169708401</v>
      </c>
      <c r="G2916" s="14">
        <v>0.00635128</v>
      </c>
      <c r="H2916" s="14">
        <v>0.018200374</v>
      </c>
      <c r="I2916" s="14" t="s">
        <v>164</v>
      </c>
      <c r="J2916" s="14">
        <v>0.972382495</v>
      </c>
      <c r="K2916" s="14">
        <v>0.806792616</v>
      </c>
      <c r="L2916" s="14">
        <v>0.670563118</v>
      </c>
      <c r="M2916" s="14">
        <v>0.292312136</v>
      </c>
      <c r="N2916" s="14">
        <v>0.377513758</v>
      </c>
      <c r="O2916" s="14">
        <v>0.219994842</v>
      </c>
      <c r="P2916" s="14" t="s">
        <v>13808</v>
      </c>
      <c r="Q2916" s="14" t="s">
        <v>13809</v>
      </c>
      <c r="T2916" s="14" t="s">
        <v>13810</v>
      </c>
      <c r="U2916" s="14" t="s">
        <v>13811</v>
      </c>
    </row>
    <row r="2917" spans="1:21">
      <c r="A2917" s="14" t="s">
        <v>13812</v>
      </c>
      <c r="B2917" s="14">
        <v>268.6109089</v>
      </c>
      <c r="C2917" s="14">
        <v>73.58868825</v>
      </c>
      <c r="D2917" s="14">
        <v>463.6331295</v>
      </c>
      <c r="E2917" s="14">
        <v>6.286851275</v>
      </c>
      <c r="F2917" s="14">
        <v>2.652337634</v>
      </c>
      <c r="G2917" s="51" t="s">
        <v>13813</v>
      </c>
      <c r="H2917" s="51" t="s">
        <v>13814</v>
      </c>
      <c r="I2917" s="14" t="s">
        <v>164</v>
      </c>
      <c r="J2917" s="14">
        <v>8.379333878</v>
      </c>
      <c r="K2917" s="14">
        <v>8.851359593</v>
      </c>
      <c r="L2917" s="14">
        <v>13.48874921</v>
      </c>
      <c r="M2917" s="14">
        <v>0.672123156</v>
      </c>
      <c r="N2917" s="14">
        <v>1.468762074</v>
      </c>
      <c r="O2917" s="14">
        <v>1.936249087</v>
      </c>
      <c r="P2917" s="14" t="s">
        <v>13815</v>
      </c>
      <c r="Q2917" s="14" t="s">
        <v>13816</v>
      </c>
      <c r="T2917" s="14" t="s">
        <v>13817</v>
      </c>
      <c r="U2917" s="14" t="s">
        <v>13818</v>
      </c>
    </row>
    <row r="2918" spans="1:21">
      <c r="A2918" s="14" t="s">
        <v>13819</v>
      </c>
      <c r="B2918" s="14">
        <v>21.73816325</v>
      </c>
      <c r="C2918" s="14">
        <v>37.66839664</v>
      </c>
      <c r="D2918" s="14">
        <v>5.807929856</v>
      </c>
      <c r="E2918" s="14">
        <v>0.154842217</v>
      </c>
      <c r="F2918" s="14">
        <v>-2.69112923</v>
      </c>
      <c r="G2918" s="51" t="s">
        <v>13820</v>
      </c>
      <c r="H2918" s="14">
        <v>0.000424496</v>
      </c>
      <c r="I2918" s="14" t="s">
        <v>147</v>
      </c>
      <c r="J2918" s="14">
        <v>0.076660861</v>
      </c>
      <c r="K2918" s="14">
        <v>0.231484338</v>
      </c>
      <c r="L2918" s="14">
        <v>0.369064332</v>
      </c>
      <c r="M2918" s="14">
        <v>0.885473452</v>
      </c>
      <c r="N2918" s="14">
        <v>1.384381215</v>
      </c>
      <c r="O2918" s="14">
        <v>1.347628152</v>
      </c>
      <c r="P2918" s="14" t="s">
        <v>13821</v>
      </c>
      <c r="Q2918" s="14" t="s">
        <v>13822</v>
      </c>
      <c r="T2918" s="14" t="s">
        <v>8763</v>
      </c>
      <c r="U2918" s="14" t="s">
        <v>8764</v>
      </c>
    </row>
    <row r="2919" spans="1:21">
      <c r="A2919" s="14" t="s">
        <v>13823</v>
      </c>
      <c r="B2919" s="14">
        <v>410.9342812</v>
      </c>
      <c r="C2919" s="14">
        <v>213.6576327</v>
      </c>
      <c r="D2919" s="14">
        <v>608.2109297</v>
      </c>
      <c r="E2919" s="14">
        <v>2.847668743</v>
      </c>
      <c r="F2919" s="14">
        <v>1.509781334</v>
      </c>
      <c r="G2919" s="14">
        <v>0.009540532</v>
      </c>
      <c r="H2919" s="14">
        <v>0.025926087</v>
      </c>
      <c r="I2919" s="14" t="s">
        <v>164</v>
      </c>
      <c r="J2919" s="14">
        <v>3.767867565</v>
      </c>
      <c r="K2919" s="14">
        <v>3.019248955</v>
      </c>
      <c r="L2919" s="14">
        <v>2.832873231</v>
      </c>
      <c r="M2919" s="14">
        <v>0.818237804</v>
      </c>
      <c r="N2919" s="14">
        <v>1.595741836</v>
      </c>
      <c r="O2919" s="14">
        <v>0.301846779</v>
      </c>
      <c r="P2919" s="14" t="s">
        <v>8550</v>
      </c>
      <c r="Q2919" s="14" t="s">
        <v>8551</v>
      </c>
      <c r="T2919" s="14" t="s">
        <v>8552</v>
      </c>
      <c r="U2919" s="14" t="s">
        <v>8553</v>
      </c>
    </row>
    <row r="2920" spans="1:21">
      <c r="A2920" s="14" t="s">
        <v>13824</v>
      </c>
      <c r="B2920" s="14">
        <v>85.28944206</v>
      </c>
      <c r="C2920" s="14">
        <v>145.6620828</v>
      </c>
      <c r="D2920" s="14">
        <v>24.91680131</v>
      </c>
      <c r="E2920" s="14">
        <v>0.170980539</v>
      </c>
      <c r="F2920" s="14">
        <v>-2.548095967</v>
      </c>
      <c r="G2920" s="51" t="s">
        <v>13825</v>
      </c>
      <c r="H2920" s="51" t="s">
        <v>967</v>
      </c>
      <c r="I2920" s="14" t="s">
        <v>147</v>
      </c>
      <c r="J2920" s="14">
        <v>0.17570139</v>
      </c>
      <c r="K2920" s="14">
        <v>0.643086173</v>
      </c>
      <c r="L2920" s="14">
        <v>0.384486329</v>
      </c>
      <c r="M2920" s="14">
        <v>2.09094221</v>
      </c>
      <c r="N2920" s="14">
        <v>1.914232543</v>
      </c>
      <c r="O2920" s="14">
        <v>1.764954581</v>
      </c>
      <c r="P2920" s="14" t="s">
        <v>13826</v>
      </c>
      <c r="Q2920" s="14" t="s">
        <v>13827</v>
      </c>
      <c r="T2920" s="14" t="s">
        <v>2771</v>
      </c>
      <c r="U2920" s="14" t="s">
        <v>2772</v>
      </c>
    </row>
    <row r="2921" spans="1:21">
      <c r="A2921" s="14" t="s">
        <v>13828</v>
      </c>
      <c r="B2921" s="14">
        <v>20036.97593</v>
      </c>
      <c r="C2921" s="14">
        <v>31380.10927</v>
      </c>
      <c r="D2921" s="14">
        <v>8693.842593</v>
      </c>
      <c r="E2921" s="14">
        <v>0.277051729</v>
      </c>
      <c r="F2921" s="14">
        <v>-1.851772724</v>
      </c>
      <c r="G2921" s="51" t="s">
        <v>13829</v>
      </c>
      <c r="H2921" s="51" t="s">
        <v>9112</v>
      </c>
      <c r="I2921" s="14" t="s">
        <v>147</v>
      </c>
      <c r="J2921" s="14">
        <v>72.08084623</v>
      </c>
      <c r="K2921" s="14">
        <v>96.59795815</v>
      </c>
      <c r="L2921" s="14">
        <v>88.04942571</v>
      </c>
      <c r="M2921" s="14">
        <v>290.5558341</v>
      </c>
      <c r="N2921" s="14">
        <v>285.6854545</v>
      </c>
      <c r="O2921" s="14">
        <v>176.347447</v>
      </c>
      <c r="P2921" s="14" t="s">
        <v>13830</v>
      </c>
      <c r="Q2921" s="14" t="s">
        <v>13831</v>
      </c>
      <c r="T2921" s="14" t="s">
        <v>13832</v>
      </c>
      <c r="U2921" s="14" t="s">
        <v>13833</v>
      </c>
    </row>
    <row r="2922" spans="1:21">
      <c r="A2922" s="14" t="s">
        <v>13834</v>
      </c>
      <c r="B2922" s="14">
        <v>597.5974297</v>
      </c>
      <c r="C2922" s="14">
        <v>895.764534</v>
      </c>
      <c r="D2922" s="14">
        <v>299.4303254</v>
      </c>
      <c r="E2922" s="14">
        <v>0.334140119</v>
      </c>
      <c r="F2922" s="14">
        <v>-1.581474881</v>
      </c>
      <c r="G2922" s="51" t="s">
        <v>13835</v>
      </c>
      <c r="H2922" s="51" t="s">
        <v>13836</v>
      </c>
      <c r="I2922" s="14" t="s">
        <v>147</v>
      </c>
      <c r="J2922" s="14">
        <v>1.540592227</v>
      </c>
      <c r="K2922" s="14">
        <v>1.215496742</v>
      </c>
      <c r="L2922" s="14">
        <v>1.269617962</v>
      </c>
      <c r="M2922" s="14">
        <v>2.393133153</v>
      </c>
      <c r="N2922" s="14">
        <v>3.294473242</v>
      </c>
      <c r="O2922" s="14">
        <v>4.344600306</v>
      </c>
      <c r="P2922" s="14" t="s">
        <v>9044</v>
      </c>
      <c r="Q2922" s="14" t="s">
        <v>9045</v>
      </c>
      <c r="T2922" s="14" t="s">
        <v>9046</v>
      </c>
      <c r="U2922" s="14" t="s">
        <v>9047</v>
      </c>
    </row>
    <row r="2923" spans="1:15">
      <c r="A2923" s="14" t="s">
        <v>13837</v>
      </c>
      <c r="B2923" s="14">
        <v>38.63643103</v>
      </c>
      <c r="C2923" s="14">
        <v>0</v>
      </c>
      <c r="D2923" s="14">
        <v>77.27286206</v>
      </c>
      <c r="E2923" s="14">
        <v>416.874996</v>
      </c>
      <c r="F2923" s="14">
        <v>8.703471032</v>
      </c>
      <c r="G2923" s="51" t="s">
        <v>13838</v>
      </c>
      <c r="H2923" s="51" t="s">
        <v>13839</v>
      </c>
      <c r="I2923" s="14" t="s">
        <v>164</v>
      </c>
      <c r="J2923" s="14">
        <v>2.830887747</v>
      </c>
      <c r="K2923" s="14">
        <v>2.736897822</v>
      </c>
      <c r="L2923" s="14">
        <v>3.156095307</v>
      </c>
      <c r="M2923" s="14">
        <v>0</v>
      </c>
      <c r="N2923" s="14">
        <v>0</v>
      </c>
      <c r="O2923" s="14">
        <v>0</v>
      </c>
    </row>
    <row r="2924" spans="1:15">
      <c r="A2924" s="14" t="s">
        <v>13840</v>
      </c>
      <c r="B2924" s="14">
        <v>1848.324243</v>
      </c>
      <c r="C2924" s="14">
        <v>2805.030438</v>
      </c>
      <c r="D2924" s="14">
        <v>891.6180483</v>
      </c>
      <c r="E2924" s="14">
        <v>0.317874092</v>
      </c>
      <c r="F2924" s="14">
        <v>-1.653472658</v>
      </c>
      <c r="G2924" s="51" t="s">
        <v>13841</v>
      </c>
      <c r="H2924" s="51" t="s">
        <v>1433</v>
      </c>
      <c r="I2924" s="14" t="s">
        <v>147</v>
      </c>
      <c r="J2924" s="14">
        <v>14.98228716</v>
      </c>
      <c r="K2924" s="14">
        <v>17.31162856</v>
      </c>
      <c r="L2924" s="14">
        <v>14.44236385</v>
      </c>
      <c r="M2924" s="14">
        <v>44.04320355</v>
      </c>
      <c r="N2924" s="14">
        <v>40.91778588</v>
      </c>
      <c r="O2924" s="14">
        <v>35.36314643</v>
      </c>
    </row>
    <row r="2925" spans="1:21">
      <c r="A2925" s="14" t="s">
        <v>13842</v>
      </c>
      <c r="B2925" s="14">
        <v>3572.020907</v>
      </c>
      <c r="C2925" s="14">
        <v>5283.289196</v>
      </c>
      <c r="D2925" s="14">
        <v>1860.752618</v>
      </c>
      <c r="E2925" s="14">
        <v>0.352200095</v>
      </c>
      <c r="F2925" s="14">
        <v>-1.505532795</v>
      </c>
      <c r="G2925" s="51" t="s">
        <v>13843</v>
      </c>
      <c r="H2925" s="14">
        <v>0.000188724</v>
      </c>
      <c r="I2925" s="14" t="s">
        <v>147</v>
      </c>
      <c r="J2925" s="14">
        <v>26.56548976</v>
      </c>
      <c r="K2925" s="14">
        <v>49.77831083</v>
      </c>
      <c r="L2925" s="14">
        <v>33.08735553</v>
      </c>
      <c r="M2925" s="14">
        <v>96.89067999</v>
      </c>
      <c r="N2925" s="14">
        <v>99.88323714</v>
      </c>
      <c r="O2925" s="14">
        <v>55.56233717</v>
      </c>
      <c r="P2925" s="39">
        <v>45537</v>
      </c>
      <c r="Q2925" s="14" t="s">
        <v>13844</v>
      </c>
      <c r="T2925" s="14" t="s">
        <v>13845</v>
      </c>
      <c r="U2925" s="14" t="s">
        <v>13846</v>
      </c>
    </row>
    <row r="2926" spans="1:21">
      <c r="A2926" s="14" t="s">
        <v>13847</v>
      </c>
      <c r="B2926" s="14">
        <v>21151.1053</v>
      </c>
      <c r="C2926" s="14">
        <v>32017.34924</v>
      </c>
      <c r="D2926" s="14">
        <v>10284.86136</v>
      </c>
      <c r="E2926" s="14">
        <v>0.321226197</v>
      </c>
      <c r="F2926" s="14">
        <v>-1.63833854</v>
      </c>
      <c r="G2926" s="51" t="s">
        <v>13848</v>
      </c>
      <c r="H2926" s="51" t="s">
        <v>13849</v>
      </c>
      <c r="I2926" s="14" t="s">
        <v>147</v>
      </c>
      <c r="J2926" s="14">
        <v>93.54876048</v>
      </c>
      <c r="K2926" s="14">
        <v>95.42590318</v>
      </c>
      <c r="L2926" s="14">
        <v>86.86590972</v>
      </c>
      <c r="M2926" s="14">
        <v>237.837817</v>
      </c>
      <c r="N2926" s="14">
        <v>230.6279303</v>
      </c>
      <c r="O2926" s="14">
        <v>237.8360891</v>
      </c>
      <c r="P2926" s="14" t="s">
        <v>13850</v>
      </c>
      <c r="Q2926" s="14" t="s">
        <v>13851</v>
      </c>
      <c r="T2926" s="14" t="s">
        <v>13852</v>
      </c>
      <c r="U2926" s="14" t="s">
        <v>13853</v>
      </c>
    </row>
    <row r="2927" spans="1:21">
      <c r="A2927" s="14" t="s">
        <v>13854</v>
      </c>
      <c r="B2927" s="14">
        <v>152.4481166</v>
      </c>
      <c r="C2927" s="14">
        <v>302.9257507</v>
      </c>
      <c r="D2927" s="14">
        <v>1.970482499</v>
      </c>
      <c r="E2927" s="14">
        <v>0.00648288</v>
      </c>
      <c r="F2927" s="14">
        <v>-7.269149341</v>
      </c>
      <c r="G2927" s="51" t="s">
        <v>6686</v>
      </c>
      <c r="H2927" s="51" t="s">
        <v>13855</v>
      </c>
      <c r="I2927" s="14" t="s">
        <v>147</v>
      </c>
      <c r="J2927" s="14">
        <v>0</v>
      </c>
      <c r="K2927" s="14">
        <v>0.066216885</v>
      </c>
      <c r="L2927" s="14">
        <v>0.031671634</v>
      </c>
      <c r="M2927" s="14">
        <v>5.051782236</v>
      </c>
      <c r="N2927" s="14">
        <v>5.265092679</v>
      </c>
      <c r="O2927" s="14">
        <v>1.81732712</v>
      </c>
      <c r="P2927" s="14" t="s">
        <v>13856</v>
      </c>
      <c r="Q2927" s="14" t="s">
        <v>13857</v>
      </c>
      <c r="T2927" s="14" t="s">
        <v>282</v>
      </c>
      <c r="U2927" s="14" t="s">
        <v>283</v>
      </c>
    </row>
    <row r="2928" spans="1:21">
      <c r="A2928" s="14" t="s">
        <v>13858</v>
      </c>
      <c r="B2928" s="14">
        <v>1831.501103</v>
      </c>
      <c r="C2928" s="14">
        <v>1110.52171</v>
      </c>
      <c r="D2928" s="14">
        <v>2552.480496</v>
      </c>
      <c r="E2928" s="14">
        <v>2.298917068</v>
      </c>
      <c r="F2928" s="14">
        <v>1.200954423</v>
      </c>
      <c r="G2928" s="51" t="s">
        <v>8291</v>
      </c>
      <c r="H2928" s="51" t="s">
        <v>8747</v>
      </c>
      <c r="I2928" s="14" t="s">
        <v>164</v>
      </c>
      <c r="J2928" s="14">
        <v>10.17648577</v>
      </c>
      <c r="K2928" s="14">
        <v>6.604753705</v>
      </c>
      <c r="L2928" s="14">
        <v>9.165642365</v>
      </c>
      <c r="M2928" s="14">
        <v>3.224582787</v>
      </c>
      <c r="N2928" s="14">
        <v>3.239477168</v>
      </c>
      <c r="O2928" s="14">
        <v>2.767535107</v>
      </c>
      <c r="P2928" s="14" t="s">
        <v>13859</v>
      </c>
      <c r="Q2928" s="14" t="s">
        <v>13860</v>
      </c>
      <c r="T2928" s="14" t="s">
        <v>13861</v>
      </c>
      <c r="U2928" s="14" t="s">
        <v>13862</v>
      </c>
    </row>
    <row r="2929" spans="1:15">
      <c r="A2929" s="14" t="s">
        <v>13863</v>
      </c>
      <c r="B2929" s="14">
        <v>890.7339724</v>
      </c>
      <c r="C2929" s="14">
        <v>409.5794797</v>
      </c>
      <c r="D2929" s="14">
        <v>1371.888465</v>
      </c>
      <c r="E2929" s="14">
        <v>3.35198726</v>
      </c>
      <c r="F2929" s="14">
        <v>1.745016666</v>
      </c>
      <c r="G2929" s="51" t="s">
        <v>13864</v>
      </c>
      <c r="H2929" s="51" t="s">
        <v>13865</v>
      </c>
      <c r="I2929" s="14" t="s">
        <v>164</v>
      </c>
      <c r="J2929" s="14">
        <v>81.01093376</v>
      </c>
      <c r="K2929" s="14">
        <v>61.32470946</v>
      </c>
      <c r="L2929" s="14">
        <v>73.4042003</v>
      </c>
      <c r="M2929" s="14">
        <v>20.11439725</v>
      </c>
      <c r="N2929" s="14">
        <v>17.93420614</v>
      </c>
      <c r="O2929" s="14">
        <v>14.46645292</v>
      </c>
    </row>
    <row r="2930" spans="1:21">
      <c r="A2930" s="14" t="s">
        <v>13866</v>
      </c>
      <c r="B2930" s="14">
        <v>111.4980061</v>
      </c>
      <c r="C2930" s="14">
        <v>215.9838578</v>
      </c>
      <c r="D2930" s="14">
        <v>7.012154392</v>
      </c>
      <c r="E2930" s="14">
        <v>0.032664583</v>
      </c>
      <c r="F2930" s="14">
        <v>-4.93612897</v>
      </c>
      <c r="G2930" s="51" t="s">
        <v>13867</v>
      </c>
      <c r="H2930" s="51" t="s">
        <v>13868</v>
      </c>
      <c r="I2930" s="14" t="s">
        <v>147</v>
      </c>
      <c r="J2930" s="14">
        <v>0.072628344</v>
      </c>
      <c r="K2930" s="14">
        <v>0</v>
      </c>
      <c r="L2930" s="14">
        <v>0.149850344</v>
      </c>
      <c r="M2930" s="14">
        <v>2.31695019</v>
      </c>
      <c r="N2930" s="14">
        <v>1.865140469</v>
      </c>
      <c r="O2930" s="14">
        <v>1.328852031</v>
      </c>
      <c r="P2930" s="14" t="s">
        <v>13869</v>
      </c>
      <c r="Q2930" s="14" t="s">
        <v>13870</v>
      </c>
      <c r="T2930" s="14" t="s">
        <v>13871</v>
      </c>
      <c r="U2930" s="14" t="s">
        <v>13872</v>
      </c>
    </row>
    <row r="2931" spans="1:15">
      <c r="A2931" s="14" t="s">
        <v>13873</v>
      </c>
      <c r="B2931" s="14">
        <v>4.971036169</v>
      </c>
      <c r="C2931" s="14">
        <v>9.942072339</v>
      </c>
      <c r="D2931" s="14">
        <v>0</v>
      </c>
      <c r="E2931" s="14">
        <v>0.018165679</v>
      </c>
      <c r="F2931" s="14">
        <v>-5.782640881</v>
      </c>
      <c r="G2931" s="14">
        <v>0.001110838</v>
      </c>
      <c r="H2931" s="14">
        <v>0.004024229</v>
      </c>
      <c r="I2931" s="14" t="s">
        <v>147</v>
      </c>
      <c r="J2931" s="14">
        <v>0</v>
      </c>
      <c r="K2931" s="14">
        <v>0</v>
      </c>
      <c r="L2931" s="14">
        <v>0</v>
      </c>
      <c r="M2931" s="14">
        <v>1.536824809</v>
      </c>
      <c r="N2931" s="14">
        <v>0.84251483</v>
      </c>
      <c r="O2931" s="14">
        <v>0.751801816</v>
      </c>
    </row>
    <row r="2932" spans="1:21">
      <c r="A2932" s="14" t="s">
        <v>13874</v>
      </c>
      <c r="B2932" s="14">
        <v>4920.088698</v>
      </c>
      <c r="C2932" s="14">
        <v>7757.485958</v>
      </c>
      <c r="D2932" s="14">
        <v>2082.691439</v>
      </c>
      <c r="E2932" s="14">
        <v>0.268481708</v>
      </c>
      <c r="F2932" s="14">
        <v>-1.897104296</v>
      </c>
      <c r="G2932" s="51" t="s">
        <v>13875</v>
      </c>
      <c r="H2932" s="51" t="s">
        <v>4275</v>
      </c>
      <c r="I2932" s="14" t="s">
        <v>147</v>
      </c>
      <c r="J2932" s="14">
        <v>49.531548</v>
      </c>
      <c r="K2932" s="14">
        <v>55.21439317</v>
      </c>
      <c r="L2932" s="14">
        <v>51.43519983</v>
      </c>
      <c r="M2932" s="14">
        <v>178.6907583</v>
      </c>
      <c r="N2932" s="14">
        <v>195.6847984</v>
      </c>
      <c r="O2932" s="14">
        <v>96.75352488</v>
      </c>
      <c r="P2932" s="14" t="s">
        <v>13876</v>
      </c>
      <c r="Q2932" s="14" t="s">
        <v>13877</v>
      </c>
      <c r="T2932" s="14" t="s">
        <v>13878</v>
      </c>
      <c r="U2932" s="14" t="s">
        <v>13879</v>
      </c>
    </row>
    <row r="2933" spans="1:15">
      <c r="A2933" s="14" t="s">
        <v>13880</v>
      </c>
      <c r="B2933" s="14">
        <v>4.804655123</v>
      </c>
      <c r="C2933" s="14">
        <v>9.609310246</v>
      </c>
      <c r="D2933" s="14">
        <v>0</v>
      </c>
      <c r="E2933" s="14">
        <v>0.018743316</v>
      </c>
      <c r="F2933" s="14">
        <v>-5.737480003</v>
      </c>
      <c r="G2933" s="14">
        <v>0.000970012</v>
      </c>
      <c r="H2933" s="14">
        <v>0.00357148</v>
      </c>
      <c r="I2933" s="14" t="s">
        <v>147</v>
      </c>
      <c r="J2933" s="14">
        <v>0</v>
      </c>
      <c r="K2933" s="14">
        <v>0</v>
      </c>
      <c r="L2933" s="14">
        <v>0</v>
      </c>
      <c r="M2933" s="14">
        <v>0.042492852</v>
      </c>
      <c r="N2933" s="14">
        <v>0.074739219</v>
      </c>
      <c r="O2933" s="14">
        <v>0.083148588</v>
      </c>
    </row>
    <row r="2934" spans="1:21">
      <c r="A2934" s="14" t="s">
        <v>13881</v>
      </c>
      <c r="B2934" s="14">
        <v>254.7266705</v>
      </c>
      <c r="C2934" s="14">
        <v>58.53690465</v>
      </c>
      <c r="D2934" s="14">
        <v>450.9164363</v>
      </c>
      <c r="E2934" s="14">
        <v>7.699544279</v>
      </c>
      <c r="F2934" s="14">
        <v>2.944773058</v>
      </c>
      <c r="G2934" s="51" t="s">
        <v>13882</v>
      </c>
      <c r="H2934" s="51" t="s">
        <v>13883</v>
      </c>
      <c r="I2934" s="14" t="s">
        <v>164</v>
      </c>
      <c r="J2934" s="14">
        <v>5.951609773</v>
      </c>
      <c r="K2934" s="14">
        <v>3.770066025</v>
      </c>
      <c r="L2934" s="14">
        <v>5.996010103</v>
      </c>
      <c r="M2934" s="14">
        <v>0.432539179</v>
      </c>
      <c r="N2934" s="14">
        <v>0.669610667</v>
      </c>
      <c r="O2934" s="14">
        <v>0.577076021</v>
      </c>
      <c r="P2934" s="14" t="s">
        <v>2872</v>
      </c>
      <c r="Q2934" s="14" t="s">
        <v>2873</v>
      </c>
      <c r="T2934" s="14" t="s">
        <v>549</v>
      </c>
      <c r="U2934" s="14" t="s">
        <v>550</v>
      </c>
    </row>
    <row r="2935" spans="1:21">
      <c r="A2935" s="14" t="s">
        <v>13884</v>
      </c>
      <c r="B2935" s="14">
        <v>91.95236393</v>
      </c>
      <c r="C2935" s="14">
        <v>33.18236234</v>
      </c>
      <c r="D2935" s="14">
        <v>150.7223655</v>
      </c>
      <c r="E2935" s="14">
        <v>4.52386726</v>
      </c>
      <c r="F2935" s="14">
        <v>2.177556598</v>
      </c>
      <c r="G2935" s="14">
        <v>0.000565359</v>
      </c>
      <c r="H2935" s="14">
        <v>0.002211404</v>
      </c>
      <c r="I2935" s="14" t="s">
        <v>164</v>
      </c>
      <c r="J2935" s="14">
        <v>1.666006617</v>
      </c>
      <c r="K2935" s="14">
        <v>2.302588938</v>
      </c>
      <c r="L2935" s="14">
        <v>1.699881505</v>
      </c>
      <c r="M2935" s="14">
        <v>0.180837682</v>
      </c>
      <c r="N2935" s="14">
        <v>0.153081429</v>
      </c>
      <c r="O2935" s="14">
        <v>0.738936913</v>
      </c>
      <c r="P2935" s="14" t="s">
        <v>13885</v>
      </c>
      <c r="Q2935" s="14" t="s">
        <v>13886</v>
      </c>
      <c r="R2935" s="14" t="s">
        <v>771</v>
      </c>
      <c r="S2935" s="14" t="s">
        <v>772</v>
      </c>
      <c r="T2935" s="14" t="s">
        <v>13887</v>
      </c>
      <c r="U2935" s="14" t="s">
        <v>13888</v>
      </c>
    </row>
    <row r="2936" spans="1:21">
      <c r="A2936" s="14" t="s">
        <v>13889</v>
      </c>
      <c r="B2936" s="14">
        <v>152.9047703</v>
      </c>
      <c r="C2936" s="14">
        <v>81.72397062</v>
      </c>
      <c r="D2936" s="14">
        <v>224.08557</v>
      </c>
      <c r="E2936" s="14">
        <v>2.738055475</v>
      </c>
      <c r="F2936" s="14">
        <v>1.453151677</v>
      </c>
      <c r="G2936" s="14">
        <v>0.000500194</v>
      </c>
      <c r="H2936" s="14">
        <v>0.001985725</v>
      </c>
      <c r="I2936" s="14" t="s">
        <v>164</v>
      </c>
      <c r="J2936" s="14">
        <v>1.953169892</v>
      </c>
      <c r="K2936" s="14">
        <v>1.135042819</v>
      </c>
      <c r="L2936" s="14">
        <v>1.923188347</v>
      </c>
      <c r="M2936" s="14">
        <v>0.416203922</v>
      </c>
      <c r="N2936" s="14">
        <v>0.320648596</v>
      </c>
      <c r="O2936" s="14">
        <v>0.795904476</v>
      </c>
      <c r="P2936" s="14" t="s">
        <v>5046</v>
      </c>
      <c r="Q2936" s="14" t="s">
        <v>5047</v>
      </c>
      <c r="T2936" s="14" t="s">
        <v>549</v>
      </c>
      <c r="U2936" s="14" t="s">
        <v>550</v>
      </c>
    </row>
    <row r="2937" spans="1:21">
      <c r="A2937" s="14" t="s">
        <v>13890</v>
      </c>
      <c r="B2937" s="14">
        <v>221.7886165</v>
      </c>
      <c r="C2937" s="14">
        <v>127.8091641</v>
      </c>
      <c r="D2937" s="14">
        <v>315.768069</v>
      </c>
      <c r="E2937" s="14">
        <v>2.471137205</v>
      </c>
      <c r="F2937" s="14">
        <v>1.305175115</v>
      </c>
      <c r="G2937" s="51" t="s">
        <v>13891</v>
      </c>
      <c r="H2937" s="51" t="s">
        <v>13892</v>
      </c>
      <c r="I2937" s="14" t="s">
        <v>164</v>
      </c>
      <c r="J2937" s="14">
        <v>6.471246051</v>
      </c>
      <c r="K2937" s="14">
        <v>7.888105232</v>
      </c>
      <c r="L2937" s="14">
        <v>5.704855988</v>
      </c>
      <c r="M2937" s="14">
        <v>2.049321677</v>
      </c>
      <c r="N2937" s="14">
        <v>2.500716877</v>
      </c>
      <c r="O2937" s="14">
        <v>2.128137362</v>
      </c>
      <c r="P2937" s="14" t="s">
        <v>13893</v>
      </c>
      <c r="Q2937" s="14" t="s">
        <v>13894</v>
      </c>
      <c r="T2937" s="14" t="s">
        <v>13895</v>
      </c>
      <c r="U2937" s="14" t="s">
        <v>13896</v>
      </c>
    </row>
    <row r="2938" spans="1:15">
      <c r="A2938" s="14" t="s">
        <v>13897</v>
      </c>
      <c r="B2938" s="14">
        <v>488.904145</v>
      </c>
      <c r="C2938" s="14">
        <v>2.638123623</v>
      </c>
      <c r="D2938" s="14">
        <v>975.1701664</v>
      </c>
      <c r="E2938" s="14">
        <v>365.7739492</v>
      </c>
      <c r="F2938" s="14">
        <v>8.514808518</v>
      </c>
      <c r="G2938" s="51" t="s">
        <v>13898</v>
      </c>
      <c r="H2938" s="51" t="s">
        <v>13899</v>
      </c>
      <c r="I2938" s="14" t="s">
        <v>164</v>
      </c>
      <c r="J2938" s="14">
        <v>109.258909</v>
      </c>
      <c r="K2938" s="14">
        <v>29.01602963</v>
      </c>
      <c r="L2938" s="14">
        <v>97.68560193</v>
      </c>
      <c r="M2938" s="14">
        <v>0.13627018</v>
      </c>
      <c r="N2938" s="14">
        <v>0.13073506</v>
      </c>
      <c r="O2938" s="14">
        <v>0.26664892</v>
      </c>
    </row>
    <row r="2939" spans="1:15">
      <c r="A2939" s="14" t="s">
        <v>13900</v>
      </c>
      <c r="B2939" s="14">
        <v>12.91946783</v>
      </c>
      <c r="C2939" s="14">
        <v>23.23326098</v>
      </c>
      <c r="D2939" s="14">
        <v>2.605674687</v>
      </c>
      <c r="E2939" s="14">
        <v>0.112474328</v>
      </c>
      <c r="F2939" s="14">
        <v>-3.152332348</v>
      </c>
      <c r="G2939" s="14">
        <v>0.000765608</v>
      </c>
      <c r="H2939" s="14">
        <v>0.00289488</v>
      </c>
      <c r="I2939" s="14" t="s">
        <v>147</v>
      </c>
      <c r="J2939" s="14">
        <v>0.129499538</v>
      </c>
      <c r="K2939" s="14">
        <v>0.086896769</v>
      </c>
      <c r="L2939" s="14">
        <v>0.124688557</v>
      </c>
      <c r="M2939" s="14">
        <v>0.775593829</v>
      </c>
      <c r="N2939" s="14">
        <v>1.311016068</v>
      </c>
      <c r="O2939" s="14">
        <v>0.361346667</v>
      </c>
    </row>
    <row r="2940" spans="1:15">
      <c r="A2940" s="14" t="s">
        <v>13901</v>
      </c>
      <c r="B2940" s="14">
        <v>4.554255966</v>
      </c>
      <c r="C2940" s="14">
        <v>8.795820669</v>
      </c>
      <c r="D2940" s="14">
        <v>0.312691262</v>
      </c>
      <c r="E2940" s="14">
        <v>0.039807329</v>
      </c>
      <c r="F2940" s="14">
        <v>-4.650822112</v>
      </c>
      <c r="G2940" s="14">
        <v>0.006016191</v>
      </c>
      <c r="H2940" s="14">
        <v>0.017402727</v>
      </c>
      <c r="I2940" s="14" t="s">
        <v>147</v>
      </c>
      <c r="J2940" s="14">
        <v>0</v>
      </c>
      <c r="K2940" s="14">
        <v>0</v>
      </c>
      <c r="L2940" s="14">
        <v>0.317658943</v>
      </c>
      <c r="M2940" s="14">
        <v>1.129095778</v>
      </c>
      <c r="N2940" s="14">
        <v>2.166466707</v>
      </c>
      <c r="O2940" s="14">
        <v>4.142581436</v>
      </c>
    </row>
    <row r="2941" spans="1:21">
      <c r="A2941" s="14" t="s">
        <v>13902</v>
      </c>
      <c r="B2941" s="14">
        <v>931.6752849</v>
      </c>
      <c r="C2941" s="14">
        <v>1529.92794</v>
      </c>
      <c r="D2941" s="14">
        <v>333.4226302</v>
      </c>
      <c r="E2941" s="14">
        <v>0.217915225</v>
      </c>
      <c r="F2941" s="14">
        <v>-2.198161096</v>
      </c>
      <c r="G2941" s="14">
        <v>0.000275707</v>
      </c>
      <c r="H2941" s="14">
        <v>0.001169325</v>
      </c>
      <c r="I2941" s="14" t="s">
        <v>147</v>
      </c>
      <c r="J2941" s="14">
        <v>3.039055545</v>
      </c>
      <c r="K2941" s="14">
        <v>10.31758764</v>
      </c>
      <c r="L2941" s="14">
        <v>3.147591521</v>
      </c>
      <c r="M2941" s="14">
        <v>24.68081559</v>
      </c>
      <c r="N2941" s="14">
        <v>26.45606439</v>
      </c>
      <c r="O2941" s="14">
        <v>10.20347029</v>
      </c>
      <c r="P2941" s="14" t="s">
        <v>13903</v>
      </c>
      <c r="Q2941" s="14" t="s">
        <v>13904</v>
      </c>
      <c r="T2941" s="14" t="s">
        <v>13905</v>
      </c>
      <c r="U2941" s="14" t="s">
        <v>13906</v>
      </c>
    </row>
    <row r="2942" spans="1:21">
      <c r="A2942" s="14" t="s">
        <v>13907</v>
      </c>
      <c r="B2942" s="14">
        <v>6747.203378</v>
      </c>
      <c r="C2942" s="14">
        <v>11211.69916</v>
      </c>
      <c r="D2942" s="14">
        <v>2282.707598</v>
      </c>
      <c r="E2942" s="14">
        <v>0.203584657</v>
      </c>
      <c r="F2942" s="14">
        <v>-2.29629926</v>
      </c>
      <c r="G2942" s="51" t="s">
        <v>13908</v>
      </c>
      <c r="H2942" s="51" t="s">
        <v>13909</v>
      </c>
      <c r="I2942" s="14" t="s">
        <v>147</v>
      </c>
      <c r="J2942" s="14">
        <v>37.65413836</v>
      </c>
      <c r="K2942" s="14">
        <v>47.443554</v>
      </c>
      <c r="L2942" s="14">
        <v>32.38716341</v>
      </c>
      <c r="M2942" s="14">
        <v>156.1606041</v>
      </c>
      <c r="N2942" s="14">
        <v>141.7831361</v>
      </c>
      <c r="O2942" s="14">
        <v>179.417543</v>
      </c>
      <c r="P2942" s="14" t="s">
        <v>13910</v>
      </c>
      <c r="Q2942" s="14" t="s">
        <v>13911</v>
      </c>
      <c r="T2942" s="14" t="s">
        <v>13912</v>
      </c>
      <c r="U2942" s="14" t="s">
        <v>13913</v>
      </c>
    </row>
    <row r="2943" spans="1:15">
      <c r="A2943" s="14" t="s">
        <v>13914</v>
      </c>
      <c r="B2943" s="14">
        <v>206.1645115</v>
      </c>
      <c r="C2943" s="14">
        <v>74.19784215</v>
      </c>
      <c r="D2943" s="14">
        <v>338.1311808</v>
      </c>
      <c r="E2943" s="14">
        <v>4.562441966</v>
      </c>
      <c r="F2943" s="14">
        <v>2.189806208</v>
      </c>
      <c r="G2943" s="14">
        <v>0.000135781</v>
      </c>
      <c r="H2943" s="14">
        <v>0.000623852</v>
      </c>
      <c r="I2943" s="14" t="s">
        <v>164</v>
      </c>
      <c r="J2943" s="14">
        <v>14.87033718</v>
      </c>
      <c r="K2943" s="14">
        <v>23.04078418</v>
      </c>
      <c r="L2943" s="14">
        <v>8.026699151</v>
      </c>
      <c r="M2943" s="14">
        <v>3.354240627</v>
      </c>
      <c r="N2943" s="14">
        <v>3.513903317</v>
      </c>
      <c r="O2943" s="14">
        <v>1.282516269</v>
      </c>
    </row>
    <row r="2944" spans="1:21">
      <c r="A2944" s="14" t="s">
        <v>13915</v>
      </c>
      <c r="B2944" s="14">
        <v>1372.326128</v>
      </c>
      <c r="C2944" s="14">
        <v>1841.318573</v>
      </c>
      <c r="D2944" s="14">
        <v>903.3336828</v>
      </c>
      <c r="E2944" s="14">
        <v>0.490583237</v>
      </c>
      <c r="F2944" s="14">
        <v>-1.027430156</v>
      </c>
      <c r="G2944" s="51" t="s">
        <v>13916</v>
      </c>
      <c r="H2944" s="51" t="s">
        <v>9063</v>
      </c>
      <c r="I2944" s="14" t="s">
        <v>147</v>
      </c>
      <c r="J2944" s="14">
        <v>6.93369925</v>
      </c>
      <c r="K2944" s="14">
        <v>6.934897662</v>
      </c>
      <c r="L2944" s="14">
        <v>6.085799886</v>
      </c>
      <c r="M2944" s="14">
        <v>11.35905441</v>
      </c>
      <c r="N2944" s="14">
        <v>10.86770908</v>
      </c>
      <c r="O2944" s="14">
        <v>11.22959236</v>
      </c>
      <c r="P2944" s="14" t="s">
        <v>13917</v>
      </c>
      <c r="Q2944" s="14" t="s">
        <v>13918</v>
      </c>
      <c r="T2944" s="14" t="s">
        <v>2960</v>
      </c>
      <c r="U2944" s="14" t="s">
        <v>2961</v>
      </c>
    </row>
    <row r="2945" spans="1:21">
      <c r="A2945" s="14" t="s">
        <v>13919</v>
      </c>
      <c r="B2945" s="14">
        <v>11425.6489</v>
      </c>
      <c r="C2945" s="14">
        <v>6644.81692</v>
      </c>
      <c r="D2945" s="14">
        <v>16206.48088</v>
      </c>
      <c r="E2945" s="14">
        <v>2.438873873</v>
      </c>
      <c r="F2945" s="14">
        <v>1.286215151</v>
      </c>
      <c r="G2945" s="14">
        <v>0.000183441</v>
      </c>
      <c r="H2945" s="14">
        <v>0.000813639</v>
      </c>
      <c r="I2945" s="14" t="s">
        <v>164</v>
      </c>
      <c r="J2945" s="14">
        <v>136.9060115</v>
      </c>
      <c r="K2945" s="14">
        <v>207.3192501</v>
      </c>
      <c r="L2945" s="14">
        <v>180.8595486</v>
      </c>
      <c r="M2945" s="14">
        <v>41.60870521</v>
      </c>
      <c r="N2945" s="14">
        <v>42.54472187</v>
      </c>
      <c r="O2945" s="14">
        <v>97.30811831</v>
      </c>
      <c r="P2945" s="14" t="s">
        <v>13920</v>
      </c>
      <c r="Q2945" s="14" t="s">
        <v>13921</v>
      </c>
      <c r="R2945" s="14" t="s">
        <v>13922</v>
      </c>
      <c r="S2945" s="14" t="s">
        <v>13923</v>
      </c>
      <c r="T2945" s="14" t="s">
        <v>13924</v>
      </c>
      <c r="U2945" s="14" t="s">
        <v>13925</v>
      </c>
    </row>
    <row r="2946" spans="1:21">
      <c r="A2946" s="14" t="s">
        <v>13926</v>
      </c>
      <c r="B2946" s="14">
        <v>1576.218675</v>
      </c>
      <c r="C2946" s="14">
        <v>2265.11921</v>
      </c>
      <c r="D2946" s="14">
        <v>887.3181399</v>
      </c>
      <c r="E2946" s="14">
        <v>0.391734033</v>
      </c>
      <c r="F2946" s="14">
        <v>-1.352053622</v>
      </c>
      <c r="G2946" s="14">
        <v>0.014669905</v>
      </c>
      <c r="H2946" s="14">
        <v>0.037410882</v>
      </c>
      <c r="I2946" s="14" t="s">
        <v>147</v>
      </c>
      <c r="J2946" s="14">
        <v>8.409361247</v>
      </c>
      <c r="K2946" s="14">
        <v>13.14597755</v>
      </c>
      <c r="L2946" s="14">
        <v>5.941716966</v>
      </c>
      <c r="M2946" s="14">
        <v>22.76221947</v>
      </c>
      <c r="N2946" s="14">
        <v>26.8103265</v>
      </c>
      <c r="O2946" s="14">
        <v>6.927734557</v>
      </c>
      <c r="P2946" s="14" t="s">
        <v>13927</v>
      </c>
      <c r="Q2946" s="14" t="s">
        <v>13928</v>
      </c>
      <c r="R2946" s="14" t="s">
        <v>4897</v>
      </c>
      <c r="S2946" s="14" t="s">
        <v>4898</v>
      </c>
      <c r="T2946" s="14" t="s">
        <v>13929</v>
      </c>
      <c r="U2946" s="14" t="s">
        <v>13930</v>
      </c>
    </row>
    <row r="2947" spans="1:15">
      <c r="A2947" s="14" t="s">
        <v>13931</v>
      </c>
      <c r="B2947" s="14">
        <v>352.3385385</v>
      </c>
      <c r="C2947" s="14">
        <v>93.14157223</v>
      </c>
      <c r="D2947" s="14">
        <v>611.5355048</v>
      </c>
      <c r="E2947" s="14">
        <v>6.56799977</v>
      </c>
      <c r="F2947" s="14">
        <v>2.715454077</v>
      </c>
      <c r="G2947" s="14">
        <v>0.000313361</v>
      </c>
      <c r="H2947" s="14">
        <v>0.001314627</v>
      </c>
      <c r="I2947" s="14" t="s">
        <v>164</v>
      </c>
      <c r="J2947" s="14">
        <v>3.077880546</v>
      </c>
      <c r="K2947" s="14">
        <v>15.20058812</v>
      </c>
      <c r="L2947" s="14">
        <v>3.770724223</v>
      </c>
      <c r="M2947" s="14">
        <v>0.789000809</v>
      </c>
      <c r="N2947" s="14">
        <v>1.543396874</v>
      </c>
      <c r="O2947" s="14">
        <v>0.390985214</v>
      </c>
    </row>
    <row r="2948" spans="1:21">
      <c r="A2948" s="14" t="s">
        <v>13932</v>
      </c>
      <c r="B2948" s="14">
        <v>233.940623</v>
      </c>
      <c r="C2948" s="14">
        <v>420.203034</v>
      </c>
      <c r="D2948" s="14">
        <v>47.67821199</v>
      </c>
      <c r="E2948" s="14">
        <v>0.113509923</v>
      </c>
      <c r="F2948" s="14">
        <v>-3.139109673</v>
      </c>
      <c r="G2948" s="51" t="s">
        <v>13933</v>
      </c>
      <c r="H2948" s="51" t="s">
        <v>13934</v>
      </c>
      <c r="I2948" s="14" t="s">
        <v>147</v>
      </c>
      <c r="J2948" s="14">
        <v>1.01412446</v>
      </c>
      <c r="K2948" s="14">
        <v>0.863708628</v>
      </c>
      <c r="L2948" s="14">
        <v>0.938893428</v>
      </c>
      <c r="M2948" s="14">
        <v>7.425334302</v>
      </c>
      <c r="N2948" s="14">
        <v>8.51645533</v>
      </c>
      <c r="O2948" s="14">
        <v>4.162988241</v>
      </c>
      <c r="P2948" s="14" t="s">
        <v>13935</v>
      </c>
      <c r="Q2948" s="14" t="s">
        <v>13936</v>
      </c>
      <c r="R2948" s="14" t="s">
        <v>556</v>
      </c>
      <c r="S2948" s="14" t="s">
        <v>557</v>
      </c>
      <c r="T2948" s="14" t="s">
        <v>13937</v>
      </c>
      <c r="U2948" s="14" t="s">
        <v>13938</v>
      </c>
    </row>
    <row r="2949" spans="1:21">
      <c r="A2949" s="14" t="s">
        <v>13939</v>
      </c>
      <c r="B2949" s="14">
        <v>1980.956522</v>
      </c>
      <c r="C2949" s="14">
        <v>1081.704767</v>
      </c>
      <c r="D2949" s="14">
        <v>2880.208277</v>
      </c>
      <c r="E2949" s="14">
        <v>2.663115216</v>
      </c>
      <c r="F2949" s="14">
        <v>1.413114846</v>
      </c>
      <c r="G2949" s="51" t="s">
        <v>13940</v>
      </c>
      <c r="H2949" s="51" t="s">
        <v>13941</v>
      </c>
      <c r="I2949" s="14" t="s">
        <v>164</v>
      </c>
      <c r="J2949" s="14">
        <v>27.43138037</v>
      </c>
      <c r="K2949" s="14">
        <v>35.47655033</v>
      </c>
      <c r="L2949" s="14">
        <v>35.35733782</v>
      </c>
      <c r="M2949" s="14">
        <v>10.13571065</v>
      </c>
      <c r="N2949" s="14">
        <v>9.834931348</v>
      </c>
      <c r="O2949" s="14">
        <v>10.37850471</v>
      </c>
      <c r="P2949" s="14" t="s">
        <v>13942</v>
      </c>
      <c r="Q2949" s="14" t="s">
        <v>13943</v>
      </c>
      <c r="T2949" s="14" t="s">
        <v>13944</v>
      </c>
      <c r="U2949" s="14" t="s">
        <v>13945</v>
      </c>
    </row>
    <row r="2950" spans="1:15">
      <c r="A2950" s="14" t="s">
        <v>13946</v>
      </c>
      <c r="B2950" s="14">
        <v>289.3472011</v>
      </c>
      <c r="C2950" s="14">
        <v>0</v>
      </c>
      <c r="D2950" s="14">
        <v>578.6944021</v>
      </c>
      <c r="E2950" s="14">
        <v>3121.587943</v>
      </c>
      <c r="F2950" s="14">
        <v>11.6080644</v>
      </c>
      <c r="G2950" s="51" t="s">
        <v>11793</v>
      </c>
      <c r="H2950" s="51" t="s">
        <v>2137</v>
      </c>
      <c r="I2950" s="14" t="s">
        <v>164</v>
      </c>
      <c r="J2950" s="14">
        <v>12.7668835</v>
      </c>
      <c r="K2950" s="14">
        <v>14.20918136</v>
      </c>
      <c r="L2950" s="14">
        <v>14.55040862</v>
      </c>
      <c r="M2950" s="14">
        <v>0</v>
      </c>
      <c r="N2950" s="14">
        <v>0</v>
      </c>
      <c r="O2950" s="14">
        <v>0</v>
      </c>
    </row>
    <row r="2951" spans="1:15">
      <c r="A2951" s="14" t="s">
        <v>13947</v>
      </c>
      <c r="B2951" s="14">
        <v>4.905545145</v>
      </c>
      <c r="C2951" s="14">
        <v>0</v>
      </c>
      <c r="D2951" s="14">
        <v>9.811090291</v>
      </c>
      <c r="E2951" s="14">
        <v>52.91428201</v>
      </c>
      <c r="F2951" s="14">
        <v>5.725585265</v>
      </c>
      <c r="G2951" s="14">
        <v>0.000705594</v>
      </c>
      <c r="H2951" s="14">
        <v>0.002695419</v>
      </c>
      <c r="I2951" s="14" t="s">
        <v>164</v>
      </c>
      <c r="J2951" s="14">
        <v>0.989746468</v>
      </c>
      <c r="K2951" s="14">
        <v>1.217589246</v>
      </c>
      <c r="L2951" s="14">
        <v>1.058863144</v>
      </c>
      <c r="M2951" s="14">
        <v>0</v>
      </c>
      <c r="N2951" s="14">
        <v>0</v>
      </c>
      <c r="O2951" s="14">
        <v>0</v>
      </c>
    </row>
    <row r="2952" spans="1:21">
      <c r="A2952" s="14" t="s">
        <v>13948</v>
      </c>
      <c r="B2952" s="14">
        <v>2942.975919</v>
      </c>
      <c r="C2952" s="14">
        <v>5052.545653</v>
      </c>
      <c r="D2952" s="14">
        <v>833.4061848</v>
      </c>
      <c r="E2952" s="14">
        <v>0.164954997</v>
      </c>
      <c r="F2952" s="14">
        <v>-2.599855612</v>
      </c>
      <c r="G2952" s="51" t="s">
        <v>13949</v>
      </c>
      <c r="H2952" s="51" t="s">
        <v>2312</v>
      </c>
      <c r="I2952" s="14" t="s">
        <v>147</v>
      </c>
      <c r="J2952" s="14">
        <v>7.562871867</v>
      </c>
      <c r="K2952" s="14">
        <v>9.85867057</v>
      </c>
      <c r="L2952" s="14">
        <v>9.27806602</v>
      </c>
      <c r="M2952" s="14">
        <v>47.67542279</v>
      </c>
      <c r="N2952" s="14">
        <v>53.81354458</v>
      </c>
      <c r="O2952" s="14">
        <v>29.93663354</v>
      </c>
      <c r="P2952" s="14" t="s">
        <v>13950</v>
      </c>
      <c r="Q2952" s="14" t="s">
        <v>13951</v>
      </c>
      <c r="T2952" s="14" t="s">
        <v>12014</v>
      </c>
      <c r="U2952" s="14" t="s">
        <v>12015</v>
      </c>
    </row>
    <row r="2953" spans="1:21">
      <c r="A2953" s="14" t="s">
        <v>13952</v>
      </c>
      <c r="B2953" s="14">
        <v>7852.585167</v>
      </c>
      <c r="C2953" s="14">
        <v>10716.2125</v>
      </c>
      <c r="D2953" s="14">
        <v>4988.957833</v>
      </c>
      <c r="E2953" s="14">
        <v>0.465563883</v>
      </c>
      <c r="F2953" s="14">
        <v>-1.102948951</v>
      </c>
      <c r="G2953" s="14">
        <v>0.000172047</v>
      </c>
      <c r="H2953" s="14">
        <v>0.000769825</v>
      </c>
      <c r="I2953" s="14" t="s">
        <v>147</v>
      </c>
      <c r="J2953" s="14">
        <v>124.9694974</v>
      </c>
      <c r="K2953" s="14">
        <v>136.969392</v>
      </c>
      <c r="L2953" s="14">
        <v>133.0895075</v>
      </c>
      <c r="M2953" s="14">
        <v>268.4712811</v>
      </c>
      <c r="N2953" s="14">
        <v>267.9530987</v>
      </c>
      <c r="O2953" s="14">
        <v>151.5340657</v>
      </c>
      <c r="P2953" s="14" t="s">
        <v>13953</v>
      </c>
      <c r="Q2953" s="14" t="s">
        <v>13954</v>
      </c>
      <c r="T2953" s="14" t="s">
        <v>13955</v>
      </c>
      <c r="U2953" s="14" t="s">
        <v>13956</v>
      </c>
    </row>
    <row r="2954" spans="1:21">
      <c r="A2954" s="14" t="s">
        <v>13957</v>
      </c>
      <c r="B2954" s="14">
        <v>5152.024563</v>
      </c>
      <c r="C2954" s="14">
        <v>3272.711946</v>
      </c>
      <c r="D2954" s="14">
        <v>7031.337179</v>
      </c>
      <c r="E2954" s="14">
        <v>2.148285753</v>
      </c>
      <c r="F2954" s="14">
        <v>1.103185906</v>
      </c>
      <c r="G2954" s="51" t="s">
        <v>5127</v>
      </c>
      <c r="H2954" s="51" t="s">
        <v>5128</v>
      </c>
      <c r="I2954" s="14" t="s">
        <v>164</v>
      </c>
      <c r="J2954" s="14">
        <v>170.0601765</v>
      </c>
      <c r="K2954" s="14">
        <v>135.5583789</v>
      </c>
      <c r="L2954" s="14">
        <v>131.9717379</v>
      </c>
      <c r="M2954" s="14">
        <v>50.14843717</v>
      </c>
      <c r="N2954" s="14">
        <v>50.2715099</v>
      </c>
      <c r="O2954" s="14">
        <v>68.54558636</v>
      </c>
      <c r="P2954" s="14" t="s">
        <v>2924</v>
      </c>
      <c r="Q2954" s="14" t="s">
        <v>2925</v>
      </c>
      <c r="T2954" s="14" t="s">
        <v>2926</v>
      </c>
      <c r="U2954" s="14" t="s">
        <v>2927</v>
      </c>
    </row>
    <row r="2955" spans="1:21">
      <c r="A2955" s="14" t="s">
        <v>13958</v>
      </c>
      <c r="B2955" s="14">
        <v>56.7123465</v>
      </c>
      <c r="C2955" s="14">
        <v>24.64630928</v>
      </c>
      <c r="D2955" s="14">
        <v>88.77838373</v>
      </c>
      <c r="E2955" s="14">
        <v>3.603028517</v>
      </c>
      <c r="F2955" s="14">
        <v>1.84921007</v>
      </c>
      <c r="G2955" s="14">
        <v>0.019985145</v>
      </c>
      <c r="H2955" s="14">
        <v>0.048520565</v>
      </c>
      <c r="I2955" s="14" t="s">
        <v>164</v>
      </c>
      <c r="J2955" s="14">
        <v>1.038851861</v>
      </c>
      <c r="K2955" s="14">
        <v>0.576637184</v>
      </c>
      <c r="L2955" s="14">
        <v>0.433935425</v>
      </c>
      <c r="M2955" s="14">
        <v>0.065355599</v>
      </c>
      <c r="N2955" s="14">
        <v>0.326044879</v>
      </c>
      <c r="O2955" s="14">
        <v>0.070337105</v>
      </c>
      <c r="P2955" s="14" t="s">
        <v>6601</v>
      </c>
      <c r="Q2955" s="14" t="s">
        <v>6602</v>
      </c>
      <c r="T2955" s="14" t="s">
        <v>2621</v>
      </c>
      <c r="U2955" s="14" t="s">
        <v>2622</v>
      </c>
    </row>
    <row r="2956" spans="1:21">
      <c r="A2956" s="14" t="s">
        <v>13959</v>
      </c>
      <c r="B2956" s="14">
        <v>127.48123</v>
      </c>
      <c r="C2956" s="14">
        <v>78.42023608</v>
      </c>
      <c r="D2956" s="14">
        <v>176.5422238</v>
      </c>
      <c r="E2956" s="14">
        <v>2.254759039</v>
      </c>
      <c r="F2956" s="14">
        <v>1.172973264</v>
      </c>
      <c r="G2956" s="14">
        <v>0.012962161</v>
      </c>
      <c r="H2956" s="14">
        <v>0.033663099</v>
      </c>
      <c r="I2956" s="14" t="s">
        <v>164</v>
      </c>
      <c r="J2956" s="14">
        <v>1.772424027</v>
      </c>
      <c r="K2956" s="14">
        <v>3.492402326</v>
      </c>
      <c r="L2956" s="14">
        <v>2.76234151</v>
      </c>
      <c r="M2956" s="14">
        <v>1.182337692</v>
      </c>
      <c r="N2956" s="14">
        <v>1.146642135</v>
      </c>
      <c r="O2956" s="14">
        <v>0.553242312</v>
      </c>
      <c r="P2956" s="14" t="s">
        <v>13960</v>
      </c>
      <c r="Q2956" s="14" t="s">
        <v>13961</v>
      </c>
      <c r="T2956" s="14" t="s">
        <v>13962</v>
      </c>
      <c r="U2956" s="14" t="s">
        <v>13963</v>
      </c>
    </row>
    <row r="2957" spans="1:21">
      <c r="A2957" s="14" t="s">
        <v>13964</v>
      </c>
      <c r="B2957" s="14">
        <v>8736.050173</v>
      </c>
      <c r="C2957" s="14">
        <v>11860.58661</v>
      </c>
      <c r="D2957" s="14">
        <v>5611.513735</v>
      </c>
      <c r="E2957" s="14">
        <v>0.473134041</v>
      </c>
      <c r="F2957" s="14">
        <v>-1.079679132</v>
      </c>
      <c r="G2957" s="51" t="s">
        <v>13965</v>
      </c>
      <c r="H2957" s="51" t="s">
        <v>13966</v>
      </c>
      <c r="I2957" s="14" t="s">
        <v>147</v>
      </c>
      <c r="J2957" s="14">
        <v>31.19972203</v>
      </c>
      <c r="K2957" s="14">
        <v>35.8567967</v>
      </c>
      <c r="L2957" s="14">
        <v>32.50640441</v>
      </c>
      <c r="M2957" s="14">
        <v>60.95971152</v>
      </c>
      <c r="N2957" s="14">
        <v>58.06029987</v>
      </c>
      <c r="O2957" s="14">
        <v>53.47074875</v>
      </c>
      <c r="P2957" s="14" t="s">
        <v>13967</v>
      </c>
      <c r="Q2957" s="14" t="s">
        <v>13968</v>
      </c>
      <c r="T2957" s="14" t="s">
        <v>13969</v>
      </c>
      <c r="U2957" s="14" t="s">
        <v>13970</v>
      </c>
    </row>
    <row r="2958" spans="1:21">
      <c r="A2958" s="14" t="s">
        <v>13971</v>
      </c>
      <c r="B2958" s="14">
        <v>14446.05866</v>
      </c>
      <c r="C2958" s="14">
        <v>19286.91529</v>
      </c>
      <c r="D2958" s="14">
        <v>9605.202018</v>
      </c>
      <c r="E2958" s="14">
        <v>0.498006228</v>
      </c>
      <c r="F2958" s="14">
        <v>-1.00576431</v>
      </c>
      <c r="G2958" s="51" t="s">
        <v>13972</v>
      </c>
      <c r="H2958" s="51" t="s">
        <v>13973</v>
      </c>
      <c r="I2958" s="14" t="s">
        <v>147</v>
      </c>
      <c r="J2958" s="14">
        <v>90.74534461</v>
      </c>
      <c r="K2958" s="14">
        <v>116.0258139</v>
      </c>
      <c r="L2958" s="14">
        <v>97.84568</v>
      </c>
      <c r="M2958" s="14">
        <v>155.7306952</v>
      </c>
      <c r="N2958" s="14">
        <v>156.6810018</v>
      </c>
      <c r="O2958" s="14">
        <v>193.6479058</v>
      </c>
      <c r="P2958" s="14" t="s">
        <v>13974</v>
      </c>
      <c r="Q2958" s="14" t="s">
        <v>13975</v>
      </c>
      <c r="T2958" s="14" t="s">
        <v>13976</v>
      </c>
      <c r="U2958" s="14" t="s">
        <v>13977</v>
      </c>
    </row>
    <row r="2959" spans="1:21">
      <c r="A2959" s="14" t="s">
        <v>13978</v>
      </c>
      <c r="B2959" s="14">
        <v>14.89645971</v>
      </c>
      <c r="C2959" s="14">
        <v>0.309088846</v>
      </c>
      <c r="D2959" s="14">
        <v>29.48383058</v>
      </c>
      <c r="E2959" s="14">
        <v>81.68224397</v>
      </c>
      <c r="F2959" s="14">
        <v>6.351950595</v>
      </c>
      <c r="G2959" s="51" t="s">
        <v>13979</v>
      </c>
      <c r="H2959" s="14">
        <v>0.000183796</v>
      </c>
      <c r="I2959" s="14" t="s">
        <v>164</v>
      </c>
      <c r="J2959" s="14">
        <v>0.398014278</v>
      </c>
      <c r="K2959" s="14">
        <v>0.083849287</v>
      </c>
      <c r="L2959" s="14">
        <v>0.347578723</v>
      </c>
      <c r="M2959" s="14">
        <v>0</v>
      </c>
      <c r="N2959" s="14">
        <v>0</v>
      </c>
      <c r="O2959" s="14">
        <v>0.007748315</v>
      </c>
      <c r="P2959" s="14" t="s">
        <v>13980</v>
      </c>
      <c r="Q2959" s="14" t="s">
        <v>13981</v>
      </c>
      <c r="T2959" s="14" t="s">
        <v>1440</v>
      </c>
      <c r="U2959" s="14" t="s">
        <v>1441</v>
      </c>
    </row>
    <row r="2960" spans="1:21">
      <c r="A2960" s="14" t="s">
        <v>13982</v>
      </c>
      <c r="B2960" s="14">
        <v>38.79518592</v>
      </c>
      <c r="C2960" s="14">
        <v>67.88342614</v>
      </c>
      <c r="D2960" s="14">
        <v>9.706945698</v>
      </c>
      <c r="E2960" s="14">
        <v>0.142966976</v>
      </c>
      <c r="F2960" s="14">
        <v>-2.806246156</v>
      </c>
      <c r="G2960" s="14">
        <v>0.018729999</v>
      </c>
      <c r="H2960" s="14">
        <v>0.045990731</v>
      </c>
      <c r="I2960" s="14" t="s">
        <v>147</v>
      </c>
      <c r="J2960" s="14">
        <v>0.119710156</v>
      </c>
      <c r="K2960" s="14">
        <v>0.180737772</v>
      </c>
      <c r="L2960" s="14">
        <v>0.288157141</v>
      </c>
      <c r="M2960" s="14">
        <v>0.1365645</v>
      </c>
      <c r="N2960" s="14">
        <v>0.212903316</v>
      </c>
      <c r="O2960" s="14">
        <v>3.273504236</v>
      </c>
      <c r="P2960" s="14" t="s">
        <v>13983</v>
      </c>
      <c r="Q2960" s="14" t="s">
        <v>13984</v>
      </c>
      <c r="T2960" s="14" t="s">
        <v>2960</v>
      </c>
      <c r="U2960" s="14" t="s">
        <v>2961</v>
      </c>
    </row>
    <row r="2961" spans="1:21">
      <c r="A2961" s="14" t="s">
        <v>13985</v>
      </c>
      <c r="B2961" s="14">
        <v>3706.813684</v>
      </c>
      <c r="C2961" s="14">
        <v>1996.183495</v>
      </c>
      <c r="D2961" s="14">
        <v>5417.443872</v>
      </c>
      <c r="E2961" s="14">
        <v>2.714113988</v>
      </c>
      <c r="F2961" s="14">
        <v>1.440481313</v>
      </c>
      <c r="G2961" s="51" t="s">
        <v>13986</v>
      </c>
      <c r="H2961" s="51" t="s">
        <v>2091</v>
      </c>
      <c r="I2961" s="14" t="s">
        <v>164</v>
      </c>
      <c r="J2961" s="14">
        <v>36.61676271</v>
      </c>
      <c r="K2961" s="14">
        <v>70.56959535</v>
      </c>
      <c r="L2961" s="14">
        <v>53.76369175</v>
      </c>
      <c r="M2961" s="14">
        <v>17.680368</v>
      </c>
      <c r="N2961" s="14">
        <v>18.38043247</v>
      </c>
      <c r="O2961" s="14">
        <v>12.2607497</v>
      </c>
      <c r="P2961" s="14" t="s">
        <v>13983</v>
      </c>
      <c r="Q2961" s="14" t="s">
        <v>13984</v>
      </c>
      <c r="T2961" s="14" t="s">
        <v>2960</v>
      </c>
      <c r="U2961" s="14" t="s">
        <v>2961</v>
      </c>
    </row>
    <row r="2962" spans="1:21">
      <c r="A2962" s="14" t="s">
        <v>13987</v>
      </c>
      <c r="B2962" s="14">
        <v>38.03143281</v>
      </c>
      <c r="C2962" s="14">
        <v>9.905589273</v>
      </c>
      <c r="D2962" s="14">
        <v>66.15727634</v>
      </c>
      <c r="E2962" s="14">
        <v>6.630621103</v>
      </c>
      <c r="F2962" s="14">
        <v>2.729144017</v>
      </c>
      <c r="G2962" s="14">
        <v>0.003669818</v>
      </c>
      <c r="H2962" s="14">
        <v>0.011345101</v>
      </c>
      <c r="I2962" s="14" t="s">
        <v>164</v>
      </c>
      <c r="J2962" s="14">
        <v>1.190124587</v>
      </c>
      <c r="K2962" s="14">
        <v>0.534774976</v>
      </c>
      <c r="L2962" s="14">
        <v>0.399022507</v>
      </c>
      <c r="M2962" s="14">
        <v>0.045458227</v>
      </c>
      <c r="N2962" s="14">
        <v>0.017444709</v>
      </c>
      <c r="O2962" s="14">
        <v>0.213482724</v>
      </c>
      <c r="P2962" s="14" t="s">
        <v>4804</v>
      </c>
      <c r="Q2962" s="14" t="s">
        <v>4805</v>
      </c>
      <c r="R2962" s="14" t="s">
        <v>4806</v>
      </c>
      <c r="S2962" s="14" t="s">
        <v>4807</v>
      </c>
      <c r="T2962" s="14" t="s">
        <v>4808</v>
      </c>
      <c r="U2962" s="14" t="s">
        <v>4809</v>
      </c>
    </row>
    <row r="2963" spans="1:21">
      <c r="A2963" s="14" t="s">
        <v>13988</v>
      </c>
      <c r="B2963" s="14">
        <v>3.89752811</v>
      </c>
      <c r="C2963" s="14">
        <v>0.309088846</v>
      </c>
      <c r="D2963" s="14">
        <v>7.485967374</v>
      </c>
      <c r="E2963" s="14">
        <v>20.73767946</v>
      </c>
      <c r="F2963" s="14">
        <v>4.374182561</v>
      </c>
      <c r="G2963" s="14">
        <v>0.0181134</v>
      </c>
      <c r="H2963" s="14">
        <v>0.044738491</v>
      </c>
      <c r="I2963" s="14" t="s">
        <v>164</v>
      </c>
      <c r="J2963" s="14">
        <v>0.243259767</v>
      </c>
      <c r="K2963" s="14">
        <v>0.037668957</v>
      </c>
      <c r="L2963" s="14">
        <v>0.144136941</v>
      </c>
      <c r="M2963" s="14">
        <v>0</v>
      </c>
      <c r="N2963" s="14">
        <v>0</v>
      </c>
      <c r="O2963" s="14">
        <v>0.015664049</v>
      </c>
      <c r="P2963" s="14" t="s">
        <v>13989</v>
      </c>
      <c r="Q2963" s="14" t="s">
        <v>13990</v>
      </c>
      <c r="T2963" s="14" t="s">
        <v>13991</v>
      </c>
      <c r="U2963" s="14" t="s">
        <v>13992</v>
      </c>
    </row>
    <row r="2964" spans="1:21">
      <c r="A2964" s="14" t="s">
        <v>13993</v>
      </c>
      <c r="B2964" s="14">
        <v>666.5400033</v>
      </c>
      <c r="C2964" s="14">
        <v>223.8475428</v>
      </c>
      <c r="D2964" s="14">
        <v>1109.232464</v>
      </c>
      <c r="E2964" s="14">
        <v>4.955110808</v>
      </c>
      <c r="F2964" s="14">
        <v>2.30891732</v>
      </c>
      <c r="G2964" s="51" t="s">
        <v>9052</v>
      </c>
      <c r="H2964" s="51" t="s">
        <v>8382</v>
      </c>
      <c r="I2964" s="14" t="s">
        <v>164</v>
      </c>
      <c r="J2964" s="14">
        <v>23.52951927</v>
      </c>
      <c r="K2964" s="14">
        <v>11.80931609</v>
      </c>
      <c r="L2964" s="14">
        <v>18.56568625</v>
      </c>
      <c r="M2964" s="14">
        <v>2.043343371</v>
      </c>
      <c r="N2964" s="14">
        <v>4.183824369</v>
      </c>
      <c r="O2964" s="14">
        <v>2.696870829</v>
      </c>
      <c r="P2964" s="14" t="s">
        <v>13989</v>
      </c>
      <c r="Q2964" s="14" t="s">
        <v>13990</v>
      </c>
      <c r="T2964" s="14" t="s">
        <v>13991</v>
      </c>
      <c r="U2964" s="14" t="s">
        <v>13992</v>
      </c>
    </row>
    <row r="2965" spans="1:21">
      <c r="A2965" s="14" t="s">
        <v>13994</v>
      </c>
      <c r="B2965" s="14">
        <v>6798.0187</v>
      </c>
      <c r="C2965" s="14">
        <v>10063.22437</v>
      </c>
      <c r="D2965" s="14">
        <v>3532.813025</v>
      </c>
      <c r="E2965" s="14">
        <v>0.351068858</v>
      </c>
      <c r="F2965" s="14">
        <v>-1.510174067</v>
      </c>
      <c r="G2965" s="51" t="s">
        <v>13995</v>
      </c>
      <c r="H2965" s="51" t="s">
        <v>13996</v>
      </c>
      <c r="I2965" s="14" t="s">
        <v>147</v>
      </c>
      <c r="J2965" s="14">
        <v>63.23135456</v>
      </c>
      <c r="K2965" s="14">
        <v>88.13433069</v>
      </c>
      <c r="L2965" s="14">
        <v>76.11820148</v>
      </c>
      <c r="M2965" s="14">
        <v>203.336025</v>
      </c>
      <c r="N2965" s="14">
        <v>203.875657</v>
      </c>
      <c r="O2965" s="14">
        <v>118.69847</v>
      </c>
      <c r="P2965" s="14" t="s">
        <v>13997</v>
      </c>
      <c r="Q2965" s="14" t="s">
        <v>13998</v>
      </c>
      <c r="T2965" s="14" t="s">
        <v>13999</v>
      </c>
      <c r="U2965" s="14" t="s">
        <v>14000</v>
      </c>
    </row>
    <row r="2966" spans="1:21">
      <c r="A2966" s="14" t="s">
        <v>14001</v>
      </c>
      <c r="B2966" s="14">
        <v>4943.478598</v>
      </c>
      <c r="C2966" s="14">
        <v>7573.384609</v>
      </c>
      <c r="D2966" s="14">
        <v>2313.572587</v>
      </c>
      <c r="E2966" s="14">
        <v>0.305492967</v>
      </c>
      <c r="F2966" s="14">
        <v>-1.710788927</v>
      </c>
      <c r="G2966" s="51" t="s">
        <v>14002</v>
      </c>
      <c r="H2966" s="51" t="s">
        <v>4514</v>
      </c>
      <c r="I2966" s="14" t="s">
        <v>147</v>
      </c>
      <c r="J2966" s="14">
        <v>34.49341803</v>
      </c>
      <c r="K2966" s="14">
        <v>34.3505132</v>
      </c>
      <c r="L2966" s="14">
        <v>29.64967302</v>
      </c>
      <c r="M2966" s="14">
        <v>105.5681626</v>
      </c>
      <c r="N2966" s="14">
        <v>107.1691694</v>
      </c>
      <c r="O2966" s="14">
        <v>47.73936081</v>
      </c>
      <c r="P2966" s="14" t="s">
        <v>13989</v>
      </c>
      <c r="Q2966" s="14" t="s">
        <v>13990</v>
      </c>
      <c r="T2966" s="14" t="s">
        <v>13991</v>
      </c>
      <c r="U2966" s="14" t="s">
        <v>13992</v>
      </c>
    </row>
    <row r="2967" spans="1:21">
      <c r="A2967" s="14" t="s">
        <v>14003</v>
      </c>
      <c r="B2967" s="14">
        <v>27.95321956</v>
      </c>
      <c r="C2967" s="14">
        <v>46.72594965</v>
      </c>
      <c r="D2967" s="14">
        <v>9.180489459</v>
      </c>
      <c r="E2967" s="14">
        <v>0.19591214</v>
      </c>
      <c r="F2967" s="14">
        <v>-2.351721293</v>
      </c>
      <c r="G2967" s="14">
        <v>0.001757733</v>
      </c>
      <c r="H2967" s="14">
        <v>0.005994736</v>
      </c>
      <c r="I2967" s="14" t="s">
        <v>147</v>
      </c>
      <c r="J2967" s="14">
        <v>0.028106391</v>
      </c>
      <c r="K2967" s="14">
        <v>0.079211781</v>
      </c>
      <c r="L2967" s="14">
        <v>0.048712</v>
      </c>
      <c r="M2967" s="14">
        <v>0.120238394</v>
      </c>
      <c r="N2967" s="14">
        <v>0.138425358</v>
      </c>
      <c r="O2967" s="14">
        <v>0.418795657</v>
      </c>
      <c r="P2967" s="14" t="s">
        <v>14004</v>
      </c>
      <c r="Q2967" s="14" t="s">
        <v>5901</v>
      </c>
      <c r="T2967" s="14" t="s">
        <v>14005</v>
      </c>
      <c r="U2967" s="14" t="s">
        <v>14006</v>
      </c>
    </row>
    <row r="2968" spans="1:21">
      <c r="A2968" s="14" t="s">
        <v>14007</v>
      </c>
      <c r="B2968" s="14">
        <v>129.7594352</v>
      </c>
      <c r="C2968" s="14">
        <v>182.129029</v>
      </c>
      <c r="D2968" s="14">
        <v>77.38984149</v>
      </c>
      <c r="E2968" s="14">
        <v>0.424867531</v>
      </c>
      <c r="F2968" s="14">
        <v>-1.234915</v>
      </c>
      <c r="G2968" s="14">
        <v>0.009912355</v>
      </c>
      <c r="H2968" s="14">
        <v>0.026809715</v>
      </c>
      <c r="I2968" s="14" t="s">
        <v>147</v>
      </c>
      <c r="J2968" s="14">
        <v>0.281591978</v>
      </c>
      <c r="K2968" s="14">
        <v>0.65777322</v>
      </c>
      <c r="L2968" s="14">
        <v>0.301824717</v>
      </c>
      <c r="M2968" s="14">
        <v>0.91825619</v>
      </c>
      <c r="N2968" s="14">
        <v>0.889680154</v>
      </c>
      <c r="O2968" s="14">
        <v>0.573734822</v>
      </c>
      <c r="P2968" s="14" t="s">
        <v>14008</v>
      </c>
      <c r="Q2968" s="14" t="s">
        <v>14009</v>
      </c>
      <c r="T2968" s="14" t="s">
        <v>14010</v>
      </c>
      <c r="U2968" s="14" t="s">
        <v>14011</v>
      </c>
    </row>
    <row r="2969" spans="1:15">
      <c r="A2969" s="14" t="s">
        <v>14012</v>
      </c>
      <c r="B2969" s="14">
        <v>32.50185374</v>
      </c>
      <c r="C2969" s="14">
        <v>52.88982411</v>
      </c>
      <c r="D2969" s="14">
        <v>12.11388338</v>
      </c>
      <c r="E2969" s="14">
        <v>0.228505296</v>
      </c>
      <c r="F2969" s="14">
        <v>-2.129700492</v>
      </c>
      <c r="G2969" s="51" t="s">
        <v>14013</v>
      </c>
      <c r="H2969" s="51" t="s">
        <v>1226</v>
      </c>
      <c r="I2969" s="14" t="s">
        <v>147</v>
      </c>
      <c r="J2969" s="14">
        <v>0.133749523</v>
      </c>
      <c r="K2969" s="14">
        <v>0.098723452</v>
      </c>
      <c r="L2969" s="14">
        <v>0.094439145</v>
      </c>
      <c r="M2969" s="14">
        <v>0.350935174</v>
      </c>
      <c r="N2969" s="14">
        <v>0.322042348</v>
      </c>
      <c r="O2969" s="14">
        <v>0.515023638</v>
      </c>
    </row>
    <row r="2970" spans="1:21">
      <c r="A2970" s="14" t="s">
        <v>14014</v>
      </c>
      <c r="B2970" s="14">
        <v>10.23479133</v>
      </c>
      <c r="C2970" s="14">
        <v>1.756673821</v>
      </c>
      <c r="D2970" s="14">
        <v>18.71290884</v>
      </c>
      <c r="E2970" s="14">
        <v>10.90327491</v>
      </c>
      <c r="F2970" s="14">
        <v>3.446689623</v>
      </c>
      <c r="G2970" s="14">
        <v>0.002052301</v>
      </c>
      <c r="H2970" s="14">
        <v>0.006862707</v>
      </c>
      <c r="I2970" s="14" t="s">
        <v>164</v>
      </c>
      <c r="J2970" s="14">
        <v>0.449619339</v>
      </c>
      <c r="K2970" s="14">
        <v>0.411413905</v>
      </c>
      <c r="L2970" s="14">
        <v>0.295169815</v>
      </c>
      <c r="M2970" s="14">
        <v>0.069943986</v>
      </c>
      <c r="N2970" s="14">
        <v>0</v>
      </c>
      <c r="O2970" s="14">
        <v>0.017108006</v>
      </c>
      <c r="P2970" s="14" t="s">
        <v>14015</v>
      </c>
      <c r="Q2970" s="14" t="s">
        <v>14016</v>
      </c>
      <c r="T2970" s="14" t="s">
        <v>13023</v>
      </c>
      <c r="U2970" s="14" t="s">
        <v>13024</v>
      </c>
    </row>
    <row r="2971" spans="1:21">
      <c r="A2971" s="14" t="s">
        <v>14017</v>
      </c>
      <c r="B2971" s="14">
        <v>77350.71866</v>
      </c>
      <c r="C2971" s="14">
        <v>110375.8229</v>
      </c>
      <c r="D2971" s="14">
        <v>44325.61442</v>
      </c>
      <c r="E2971" s="14">
        <v>0.401588882</v>
      </c>
      <c r="F2971" s="14">
        <v>-1.316208767</v>
      </c>
      <c r="G2971" s="51" t="s">
        <v>12233</v>
      </c>
      <c r="H2971" s="14">
        <v>0.000153971</v>
      </c>
      <c r="I2971" s="14" t="s">
        <v>147</v>
      </c>
      <c r="J2971" s="14">
        <v>463.3939464</v>
      </c>
      <c r="K2971" s="14">
        <v>543.1548955</v>
      </c>
      <c r="L2971" s="14">
        <v>428.375963</v>
      </c>
      <c r="M2971" s="14">
        <v>1149.39814</v>
      </c>
      <c r="N2971" s="14">
        <v>1128.998499</v>
      </c>
      <c r="O2971" s="14">
        <v>619.1121544</v>
      </c>
      <c r="Q2971" s="14" t="s">
        <v>14018</v>
      </c>
      <c r="R2971" s="14" t="s">
        <v>14019</v>
      </c>
      <c r="S2971" s="14" t="s">
        <v>14020</v>
      </c>
      <c r="T2971" s="14" t="s">
        <v>14021</v>
      </c>
      <c r="U2971" s="14" t="s">
        <v>14022</v>
      </c>
    </row>
    <row r="2972" spans="1:21">
      <c r="A2972" s="14" t="s">
        <v>14023</v>
      </c>
      <c r="B2972" s="14">
        <v>29.65659415</v>
      </c>
      <c r="C2972" s="14">
        <v>56.38104828</v>
      </c>
      <c r="D2972" s="14">
        <v>2.932140016</v>
      </c>
      <c r="E2972" s="14">
        <v>0.05206555</v>
      </c>
      <c r="F2972" s="14">
        <v>-4.263527085</v>
      </c>
      <c r="G2972" s="51" t="s">
        <v>7194</v>
      </c>
      <c r="H2972" s="14">
        <v>0.000145523</v>
      </c>
      <c r="I2972" s="14" t="s">
        <v>147</v>
      </c>
      <c r="J2972" s="14">
        <v>0</v>
      </c>
      <c r="K2972" s="14">
        <v>0.036538987</v>
      </c>
      <c r="L2972" s="14">
        <v>0.027962642</v>
      </c>
      <c r="M2972" s="14">
        <v>0.248477981</v>
      </c>
      <c r="N2972" s="14">
        <v>0.590003181</v>
      </c>
      <c r="O2972" s="14">
        <v>0.164097017</v>
      </c>
      <c r="P2972" s="14" t="s">
        <v>14024</v>
      </c>
      <c r="Q2972" s="14" t="s">
        <v>14025</v>
      </c>
      <c r="T2972" s="14" t="s">
        <v>14026</v>
      </c>
      <c r="U2972" s="14" t="s">
        <v>14027</v>
      </c>
    </row>
    <row r="2973" spans="1:21">
      <c r="A2973" s="14" t="s">
        <v>14028</v>
      </c>
      <c r="B2973" s="14">
        <v>3046.794717</v>
      </c>
      <c r="C2973" s="14">
        <v>1800.491131</v>
      </c>
      <c r="D2973" s="14">
        <v>4293.098302</v>
      </c>
      <c r="E2973" s="14">
        <v>2.383895421</v>
      </c>
      <c r="F2973" s="14">
        <v>1.253320947</v>
      </c>
      <c r="G2973" s="51" t="s">
        <v>2713</v>
      </c>
      <c r="H2973" s="51" t="s">
        <v>14029</v>
      </c>
      <c r="I2973" s="14" t="s">
        <v>164</v>
      </c>
      <c r="J2973" s="14">
        <v>42.0603486</v>
      </c>
      <c r="K2973" s="14">
        <v>45.43547131</v>
      </c>
      <c r="L2973" s="14">
        <v>46.94717186</v>
      </c>
      <c r="M2973" s="14">
        <v>13.2484502</v>
      </c>
      <c r="N2973" s="14">
        <v>13.17698223</v>
      </c>
      <c r="O2973" s="14">
        <v>20.49009471</v>
      </c>
      <c r="P2973" s="14" t="s">
        <v>14030</v>
      </c>
      <c r="Q2973" s="14" t="s">
        <v>14031</v>
      </c>
      <c r="R2973" s="14" t="s">
        <v>341</v>
      </c>
      <c r="S2973" s="14" t="s">
        <v>342</v>
      </c>
      <c r="T2973" s="14" t="s">
        <v>14032</v>
      </c>
      <c r="U2973" s="14" t="s">
        <v>14033</v>
      </c>
    </row>
    <row r="2974" spans="1:21">
      <c r="A2974" s="14" t="s">
        <v>14034</v>
      </c>
      <c r="B2974" s="14">
        <v>23.54114234</v>
      </c>
      <c r="C2974" s="14">
        <v>3.761873549</v>
      </c>
      <c r="D2974" s="14">
        <v>43.32041113</v>
      </c>
      <c r="E2974" s="14">
        <v>11.32859539</v>
      </c>
      <c r="F2974" s="14">
        <v>3.501897091</v>
      </c>
      <c r="G2974" s="14">
        <v>0.002324914</v>
      </c>
      <c r="H2974" s="14">
        <v>0.007635267</v>
      </c>
      <c r="I2974" s="14" t="s">
        <v>164</v>
      </c>
      <c r="J2974" s="14">
        <v>0.497411046</v>
      </c>
      <c r="K2974" s="14">
        <v>0.347396093</v>
      </c>
      <c r="L2974" s="14">
        <v>0.488706067</v>
      </c>
      <c r="M2974" s="14">
        <v>0.008685352</v>
      </c>
      <c r="N2974" s="14">
        <v>0</v>
      </c>
      <c r="O2974" s="14">
        <v>0.093473632</v>
      </c>
      <c r="P2974" s="14" t="s">
        <v>12048</v>
      </c>
      <c r="Q2974" s="14" t="s">
        <v>12049</v>
      </c>
      <c r="T2974" s="14" t="s">
        <v>9523</v>
      </c>
      <c r="U2974" s="14" t="s">
        <v>9524</v>
      </c>
    </row>
    <row r="2975" spans="1:15">
      <c r="A2975" s="14" t="s">
        <v>14035</v>
      </c>
      <c r="B2975" s="14">
        <v>94.06976756</v>
      </c>
      <c r="C2975" s="14">
        <v>129.4031747</v>
      </c>
      <c r="D2975" s="14">
        <v>58.7363604</v>
      </c>
      <c r="E2975" s="14">
        <v>0.454106815</v>
      </c>
      <c r="F2975" s="14">
        <v>-1.138896407</v>
      </c>
      <c r="G2975" s="14">
        <v>0.000391913</v>
      </c>
      <c r="H2975" s="14">
        <v>0.001602652</v>
      </c>
      <c r="I2975" s="14" t="s">
        <v>147</v>
      </c>
      <c r="J2975" s="14">
        <v>3.695053481</v>
      </c>
      <c r="K2975" s="14">
        <v>2.821448185</v>
      </c>
      <c r="L2975" s="14">
        <v>4.845941948</v>
      </c>
      <c r="M2975" s="14">
        <v>5.450807203</v>
      </c>
      <c r="N2975" s="14">
        <v>6.798223114</v>
      </c>
      <c r="O2975" s="14">
        <v>8.479435656</v>
      </c>
    </row>
    <row r="2976" spans="1:21">
      <c r="A2976" s="14" t="s">
        <v>14036</v>
      </c>
      <c r="B2976" s="14">
        <v>187.9786186</v>
      </c>
      <c r="C2976" s="14">
        <v>253.343234</v>
      </c>
      <c r="D2976" s="14">
        <v>122.6140031</v>
      </c>
      <c r="E2976" s="14">
        <v>0.48421652</v>
      </c>
      <c r="F2976" s="14">
        <v>-1.046275794</v>
      </c>
      <c r="G2976" s="14">
        <v>0.000366855</v>
      </c>
      <c r="H2976" s="14">
        <v>0.001513734</v>
      </c>
      <c r="I2976" s="14" t="s">
        <v>147</v>
      </c>
      <c r="J2976" s="14">
        <v>2.903481121</v>
      </c>
      <c r="K2976" s="14">
        <v>3.041238867</v>
      </c>
      <c r="L2976" s="14">
        <v>2.818343742</v>
      </c>
      <c r="M2976" s="14">
        <v>4.867422258</v>
      </c>
      <c r="N2976" s="14">
        <v>6.10356783</v>
      </c>
      <c r="O2976" s="14">
        <v>3.793955332</v>
      </c>
      <c r="P2976" s="14" t="s">
        <v>14037</v>
      </c>
      <c r="Q2976" s="14" t="s">
        <v>14038</v>
      </c>
      <c r="T2976" s="14" t="s">
        <v>2238</v>
      </c>
      <c r="U2976" s="14" t="s">
        <v>2239</v>
      </c>
    </row>
    <row r="2977" spans="1:21">
      <c r="A2977" s="14" t="s">
        <v>14039</v>
      </c>
      <c r="B2977" s="14">
        <v>30775.17262</v>
      </c>
      <c r="C2977" s="14">
        <v>52167.57222</v>
      </c>
      <c r="D2977" s="14">
        <v>9382.773027</v>
      </c>
      <c r="E2977" s="14">
        <v>0.179858249</v>
      </c>
      <c r="F2977" s="14">
        <v>-2.475067763</v>
      </c>
      <c r="G2977" s="51" t="s">
        <v>1250</v>
      </c>
      <c r="H2977" s="51" t="s">
        <v>4564</v>
      </c>
      <c r="I2977" s="14" t="s">
        <v>147</v>
      </c>
      <c r="J2977" s="14">
        <v>122.6589252</v>
      </c>
      <c r="K2977" s="14">
        <v>253.1890485</v>
      </c>
      <c r="L2977" s="14">
        <v>135.8678002</v>
      </c>
      <c r="M2977" s="14">
        <v>904.4013045</v>
      </c>
      <c r="N2977" s="14">
        <v>992.2085842</v>
      </c>
      <c r="O2977" s="14">
        <v>404.9830792</v>
      </c>
      <c r="P2977" s="14" t="s">
        <v>26</v>
      </c>
      <c r="Q2977" s="14" t="s">
        <v>14040</v>
      </c>
      <c r="T2977" s="14" t="s">
        <v>14041</v>
      </c>
      <c r="U2977" s="14" t="s">
        <v>14042</v>
      </c>
    </row>
    <row r="2978" spans="1:21">
      <c r="A2978" s="14" t="s">
        <v>14043</v>
      </c>
      <c r="B2978" s="14">
        <v>143.8722987</v>
      </c>
      <c r="C2978" s="14">
        <v>194.9298266</v>
      </c>
      <c r="D2978" s="14">
        <v>92.81477078</v>
      </c>
      <c r="E2978" s="14">
        <v>0.475829498</v>
      </c>
      <c r="F2978" s="14">
        <v>-1.071483383</v>
      </c>
      <c r="G2978" s="51" t="s">
        <v>14044</v>
      </c>
      <c r="H2978" s="51" t="s">
        <v>14045</v>
      </c>
      <c r="I2978" s="14" t="s">
        <v>147</v>
      </c>
      <c r="J2978" s="14">
        <v>1.320316877</v>
      </c>
      <c r="K2978" s="14">
        <v>1.467369454</v>
      </c>
      <c r="L2978" s="14">
        <v>1.072630992</v>
      </c>
      <c r="M2978" s="14">
        <v>2.329915754</v>
      </c>
      <c r="N2978" s="14">
        <v>1.964334825</v>
      </c>
      <c r="O2978" s="14">
        <v>2.394679333</v>
      </c>
      <c r="P2978" s="14" t="s">
        <v>14046</v>
      </c>
      <c r="Q2978" s="14" t="s">
        <v>14047</v>
      </c>
      <c r="T2978" s="14" t="s">
        <v>14048</v>
      </c>
      <c r="U2978" s="14" t="s">
        <v>14049</v>
      </c>
    </row>
    <row r="2979" spans="1:21">
      <c r="A2979" s="14" t="s">
        <v>14050</v>
      </c>
      <c r="B2979" s="14">
        <v>97.05318549</v>
      </c>
      <c r="C2979" s="14">
        <v>41.21515782</v>
      </c>
      <c r="D2979" s="14">
        <v>152.8912132</v>
      </c>
      <c r="E2979" s="14">
        <v>3.69837849</v>
      </c>
      <c r="F2979" s="14">
        <v>1.886892877</v>
      </c>
      <c r="G2979" s="51" t="s">
        <v>10360</v>
      </c>
      <c r="H2979" s="14">
        <v>0.000434626</v>
      </c>
      <c r="I2979" s="14" t="s">
        <v>164</v>
      </c>
      <c r="J2979" s="14">
        <v>1.31663521</v>
      </c>
      <c r="K2979" s="14">
        <v>0.987069848</v>
      </c>
      <c r="L2979" s="14">
        <v>1.914696566</v>
      </c>
      <c r="M2979" s="14">
        <v>0.201994199</v>
      </c>
      <c r="N2979" s="14">
        <v>0.223603215</v>
      </c>
      <c r="O2979" s="14">
        <v>0.53207468</v>
      </c>
      <c r="P2979" s="14" t="s">
        <v>14051</v>
      </c>
      <c r="Q2979" s="14" t="s">
        <v>14052</v>
      </c>
      <c r="T2979" s="14" t="s">
        <v>14053</v>
      </c>
      <c r="U2979" s="14" t="s">
        <v>14054</v>
      </c>
    </row>
    <row r="2980" spans="1:15">
      <c r="A2980" s="14" t="s">
        <v>14055</v>
      </c>
      <c r="B2980" s="14">
        <v>128.60057</v>
      </c>
      <c r="C2980" s="14">
        <v>219.0044731</v>
      </c>
      <c r="D2980" s="14">
        <v>38.19666699</v>
      </c>
      <c r="E2980" s="14">
        <v>0.174353129</v>
      </c>
      <c r="F2980" s="14">
        <v>-2.519915837</v>
      </c>
      <c r="G2980" s="51" t="s">
        <v>4196</v>
      </c>
      <c r="H2980" s="14">
        <v>0.000171283</v>
      </c>
      <c r="I2980" s="14" t="s">
        <v>147</v>
      </c>
      <c r="J2980" s="14">
        <v>2.089464766</v>
      </c>
      <c r="K2980" s="14">
        <v>2.822593253</v>
      </c>
      <c r="L2980" s="14">
        <v>1.429465245</v>
      </c>
      <c r="M2980" s="14">
        <v>11.33800343</v>
      </c>
      <c r="N2980" s="14">
        <v>14.17230304</v>
      </c>
      <c r="O2980" s="14">
        <v>3.774351975</v>
      </c>
    </row>
    <row r="2981" spans="1:21">
      <c r="A2981" s="14" t="s">
        <v>14056</v>
      </c>
      <c r="B2981" s="14">
        <v>173.7383427</v>
      </c>
      <c r="C2981" s="14">
        <v>50.64583877</v>
      </c>
      <c r="D2981" s="14">
        <v>296.8308466</v>
      </c>
      <c r="E2981" s="14">
        <v>5.84166822</v>
      </c>
      <c r="F2981" s="14">
        <v>2.546380422</v>
      </c>
      <c r="G2981" s="51" t="s">
        <v>14057</v>
      </c>
      <c r="H2981" s="51" t="s">
        <v>14058</v>
      </c>
      <c r="I2981" s="14" t="s">
        <v>164</v>
      </c>
      <c r="J2981" s="14">
        <v>7.309529471</v>
      </c>
      <c r="K2981" s="14">
        <v>10.31174988</v>
      </c>
      <c r="L2981" s="14">
        <v>8.229444773</v>
      </c>
      <c r="M2981" s="14">
        <v>0.960259026</v>
      </c>
      <c r="N2981" s="14">
        <v>0.779523067</v>
      </c>
      <c r="O2981" s="14">
        <v>1.975361781</v>
      </c>
      <c r="P2981" s="14" t="s">
        <v>13620</v>
      </c>
      <c r="Q2981" s="14" t="s">
        <v>13621</v>
      </c>
      <c r="T2981" s="14" t="s">
        <v>13622</v>
      </c>
      <c r="U2981" s="14" t="s">
        <v>13623</v>
      </c>
    </row>
    <row r="2982" spans="1:21">
      <c r="A2982" s="14" t="s">
        <v>14059</v>
      </c>
      <c r="B2982" s="14">
        <v>1719.230519</v>
      </c>
      <c r="C2982" s="14">
        <v>1078.266728</v>
      </c>
      <c r="D2982" s="14">
        <v>2360.194311</v>
      </c>
      <c r="E2982" s="14">
        <v>2.188280024</v>
      </c>
      <c r="F2982" s="14">
        <v>1.129797365</v>
      </c>
      <c r="G2982" s="51" t="s">
        <v>14060</v>
      </c>
      <c r="H2982" s="51" t="s">
        <v>2039</v>
      </c>
      <c r="I2982" s="14" t="s">
        <v>164</v>
      </c>
      <c r="J2982" s="14">
        <v>123.9836874</v>
      </c>
      <c r="K2982" s="14">
        <v>93.46560752</v>
      </c>
      <c r="L2982" s="14">
        <v>116.8577793</v>
      </c>
      <c r="M2982" s="14">
        <v>34.10707026</v>
      </c>
      <c r="N2982" s="14">
        <v>36.40431281</v>
      </c>
      <c r="O2982" s="14">
        <v>56.68560338</v>
      </c>
      <c r="P2982" s="14" t="s">
        <v>14061</v>
      </c>
      <c r="Q2982" s="14" t="s">
        <v>14062</v>
      </c>
      <c r="T2982" s="14" t="s">
        <v>14063</v>
      </c>
      <c r="U2982" s="14" t="s">
        <v>14064</v>
      </c>
    </row>
    <row r="2983" spans="1:21">
      <c r="A2983" s="14" t="s">
        <v>14065</v>
      </c>
      <c r="B2983" s="14">
        <v>24.45887957</v>
      </c>
      <c r="C2983" s="14">
        <v>33.93330422</v>
      </c>
      <c r="D2983" s="14">
        <v>14.98445491</v>
      </c>
      <c r="E2983" s="14">
        <v>0.442257396</v>
      </c>
      <c r="F2983" s="14">
        <v>-1.177041825</v>
      </c>
      <c r="G2983" s="14">
        <v>0.008810783</v>
      </c>
      <c r="H2983" s="14">
        <v>0.024231354</v>
      </c>
      <c r="I2983" s="14" t="s">
        <v>147</v>
      </c>
      <c r="J2983" s="14">
        <v>0.133878749</v>
      </c>
      <c r="K2983" s="14">
        <v>0.155484185</v>
      </c>
      <c r="L2983" s="14">
        <v>0.178483955</v>
      </c>
      <c r="M2983" s="14">
        <v>0.308392938</v>
      </c>
      <c r="N2983" s="14">
        <v>0.245146456</v>
      </c>
      <c r="O2983" s="14">
        <v>0.318967995</v>
      </c>
      <c r="P2983" s="14" t="s">
        <v>14066</v>
      </c>
      <c r="Q2983" s="14" t="s">
        <v>14067</v>
      </c>
      <c r="T2983" s="14" t="s">
        <v>14068</v>
      </c>
      <c r="U2983" s="14" t="s">
        <v>14069</v>
      </c>
    </row>
    <row r="2984" spans="1:15">
      <c r="A2984" s="14" t="s">
        <v>14070</v>
      </c>
      <c r="B2984" s="14">
        <v>15.98016275</v>
      </c>
      <c r="C2984" s="14">
        <v>30.34970172</v>
      </c>
      <c r="D2984" s="14">
        <v>1.610623773</v>
      </c>
      <c r="E2984" s="14">
        <v>0.053356504</v>
      </c>
      <c r="F2984" s="14">
        <v>-4.228192056</v>
      </c>
      <c r="G2984" s="14">
        <v>0.000150954</v>
      </c>
      <c r="H2984" s="14">
        <v>0.000683168</v>
      </c>
      <c r="I2984" s="14" t="s">
        <v>147</v>
      </c>
      <c r="J2984" s="14">
        <v>0</v>
      </c>
      <c r="K2984" s="14">
        <v>0.112702476</v>
      </c>
      <c r="L2984" s="14">
        <v>0.16171728</v>
      </c>
      <c r="M2984" s="14">
        <v>0.47901033</v>
      </c>
      <c r="N2984" s="14">
        <v>1.654392758</v>
      </c>
      <c r="O2984" s="14">
        <v>2.202681685</v>
      </c>
    </row>
    <row r="2985" spans="1:15">
      <c r="A2985" s="14" t="s">
        <v>14071</v>
      </c>
      <c r="B2985" s="14">
        <v>3.451613199</v>
      </c>
      <c r="C2985" s="14">
        <v>6.903226398</v>
      </c>
      <c r="D2985" s="14">
        <v>0</v>
      </c>
      <c r="E2985" s="14">
        <v>0.026163805</v>
      </c>
      <c r="F2985" s="14">
        <v>-5.25628382</v>
      </c>
      <c r="G2985" s="14">
        <v>0.012736626</v>
      </c>
      <c r="H2985" s="14">
        <v>0.033154685</v>
      </c>
      <c r="I2985" s="14" t="s">
        <v>147</v>
      </c>
      <c r="J2985" s="14">
        <v>0</v>
      </c>
      <c r="K2985" s="14">
        <v>0</v>
      </c>
      <c r="L2985" s="14">
        <v>0</v>
      </c>
      <c r="M2985" s="14">
        <v>0.286105717</v>
      </c>
      <c r="N2985" s="14">
        <v>0.343105587</v>
      </c>
      <c r="O2985" s="14">
        <v>0.06998026</v>
      </c>
    </row>
    <row r="2986" spans="1:21">
      <c r="A2986" s="14" t="s">
        <v>14072</v>
      </c>
      <c r="B2986" s="14">
        <v>179.8475654</v>
      </c>
      <c r="C2986" s="14">
        <v>257.4083672</v>
      </c>
      <c r="D2986" s="14">
        <v>102.2867636</v>
      </c>
      <c r="E2986" s="14">
        <v>0.397892287</v>
      </c>
      <c r="F2986" s="14">
        <v>-1.329550161</v>
      </c>
      <c r="G2986" s="51" t="s">
        <v>14073</v>
      </c>
      <c r="H2986" s="51" t="s">
        <v>14074</v>
      </c>
      <c r="I2986" s="14" t="s">
        <v>147</v>
      </c>
      <c r="J2986" s="14">
        <v>0.865752091</v>
      </c>
      <c r="K2986" s="14">
        <v>0.844729665</v>
      </c>
      <c r="L2986" s="14">
        <v>1.029227128</v>
      </c>
      <c r="M2986" s="14">
        <v>1.889624748</v>
      </c>
      <c r="N2986" s="14">
        <v>2.030415084</v>
      </c>
      <c r="O2986" s="14">
        <v>1.723060331</v>
      </c>
      <c r="P2986" s="14" t="s">
        <v>5072</v>
      </c>
      <c r="Q2986" s="14" t="s">
        <v>5073</v>
      </c>
      <c r="T2986" s="14" t="s">
        <v>5074</v>
      </c>
      <c r="U2986" s="14" t="s">
        <v>5075</v>
      </c>
    </row>
    <row r="2987" spans="1:21">
      <c r="A2987" s="14" t="s">
        <v>14075</v>
      </c>
      <c r="B2987" s="14">
        <v>230.7368818</v>
      </c>
      <c r="C2987" s="14">
        <v>125.9811407</v>
      </c>
      <c r="D2987" s="14">
        <v>335.4926229</v>
      </c>
      <c r="E2987" s="14">
        <v>2.658713388</v>
      </c>
      <c r="F2987" s="14">
        <v>1.410728262</v>
      </c>
      <c r="G2987" s="14">
        <v>0.002577566</v>
      </c>
      <c r="H2987" s="14">
        <v>0.008335909</v>
      </c>
      <c r="I2987" s="14" t="s">
        <v>164</v>
      </c>
      <c r="J2987" s="14">
        <v>11.17015072</v>
      </c>
      <c r="K2987" s="14">
        <v>10.35708594</v>
      </c>
      <c r="L2987" s="14">
        <v>9.293872609</v>
      </c>
      <c r="M2987" s="14">
        <v>1.610167254</v>
      </c>
      <c r="N2987" s="14">
        <v>2.317146483</v>
      </c>
      <c r="O2987" s="14">
        <v>5.920306963</v>
      </c>
      <c r="P2987" s="14" t="s">
        <v>14076</v>
      </c>
      <c r="Q2987" s="14" t="s">
        <v>14077</v>
      </c>
      <c r="T2987" s="14" t="s">
        <v>14078</v>
      </c>
      <c r="U2987" s="14" t="s">
        <v>14079</v>
      </c>
    </row>
    <row r="2988" spans="1:21">
      <c r="A2988" s="14" t="s">
        <v>14080</v>
      </c>
      <c r="B2988" s="14">
        <v>117.8579535</v>
      </c>
      <c r="C2988" s="14">
        <v>51.2798958</v>
      </c>
      <c r="D2988" s="14">
        <v>184.4360111</v>
      </c>
      <c r="E2988" s="14">
        <v>3.607270094</v>
      </c>
      <c r="F2988" s="14">
        <v>1.850907449</v>
      </c>
      <c r="G2988" s="51" t="s">
        <v>14081</v>
      </c>
      <c r="H2988" s="51" t="s">
        <v>14082</v>
      </c>
      <c r="I2988" s="14" t="s">
        <v>164</v>
      </c>
      <c r="J2988" s="14">
        <v>8.300482457</v>
      </c>
      <c r="K2988" s="14">
        <v>9.253036592</v>
      </c>
      <c r="L2988" s="14">
        <v>7.34758947</v>
      </c>
      <c r="M2988" s="14">
        <v>2.214555004</v>
      </c>
      <c r="N2988" s="14">
        <v>2.271126934</v>
      </c>
      <c r="O2988" s="14">
        <v>1.120698359</v>
      </c>
      <c r="P2988" s="14" t="s">
        <v>14083</v>
      </c>
      <c r="Q2988" s="14" t="s">
        <v>14084</v>
      </c>
      <c r="T2988" s="14" t="s">
        <v>14085</v>
      </c>
      <c r="U2988" s="14" t="s">
        <v>14086</v>
      </c>
    </row>
    <row r="2989" spans="1:15">
      <c r="A2989" s="14" t="s">
        <v>14087</v>
      </c>
      <c r="B2989" s="14">
        <v>755.3173162</v>
      </c>
      <c r="C2989" s="14">
        <v>474.255296</v>
      </c>
      <c r="D2989" s="14">
        <v>1036.379336</v>
      </c>
      <c r="E2989" s="14">
        <v>2.184347039</v>
      </c>
      <c r="F2989" s="14">
        <v>1.127202083</v>
      </c>
      <c r="G2989" s="14">
        <v>0.000116722</v>
      </c>
      <c r="H2989" s="14">
        <v>0.000544287</v>
      </c>
      <c r="I2989" s="14" t="s">
        <v>164</v>
      </c>
      <c r="J2989" s="14">
        <v>4.69076966</v>
      </c>
      <c r="K2989" s="14">
        <v>3.476287267</v>
      </c>
      <c r="L2989" s="14">
        <v>4.880223465</v>
      </c>
      <c r="M2989" s="14">
        <v>1.36384487</v>
      </c>
      <c r="N2989" s="14">
        <v>1.189187724</v>
      </c>
      <c r="O2989" s="14">
        <v>2.439382286</v>
      </c>
    </row>
    <row r="2990" spans="1:15">
      <c r="A2990" s="14" t="s">
        <v>14088</v>
      </c>
      <c r="B2990" s="14">
        <v>1015.866132</v>
      </c>
      <c r="C2990" s="14">
        <v>494.940945</v>
      </c>
      <c r="D2990" s="14">
        <v>1536.79132</v>
      </c>
      <c r="E2990" s="14">
        <v>3.107067825</v>
      </c>
      <c r="F2990" s="14">
        <v>1.635553735</v>
      </c>
      <c r="G2990" s="51" t="s">
        <v>5334</v>
      </c>
      <c r="H2990" s="51" t="s">
        <v>14089</v>
      </c>
      <c r="I2990" s="14" t="s">
        <v>164</v>
      </c>
      <c r="J2990" s="14">
        <v>11.88618602</v>
      </c>
      <c r="K2990" s="14">
        <v>12.85783533</v>
      </c>
      <c r="L2990" s="14">
        <v>12.84408398</v>
      </c>
      <c r="M2990" s="14">
        <v>4.048558462</v>
      </c>
      <c r="N2990" s="14">
        <v>3.300831704</v>
      </c>
      <c r="O2990" s="14">
        <v>2.494239592</v>
      </c>
    </row>
    <row r="2991" spans="1:21">
      <c r="A2991" s="14" t="s">
        <v>14090</v>
      </c>
      <c r="B2991" s="14">
        <v>5865.360459</v>
      </c>
      <c r="C2991" s="14">
        <v>10191.65293</v>
      </c>
      <c r="D2991" s="14">
        <v>1539.067988</v>
      </c>
      <c r="E2991" s="14">
        <v>0.151013789</v>
      </c>
      <c r="F2991" s="14">
        <v>-2.727247807</v>
      </c>
      <c r="G2991" s="51" t="s">
        <v>14091</v>
      </c>
      <c r="H2991" s="51" t="s">
        <v>1569</v>
      </c>
      <c r="I2991" s="14" t="s">
        <v>147</v>
      </c>
      <c r="J2991" s="14">
        <v>13.35423982</v>
      </c>
      <c r="K2991" s="14">
        <v>22.23007595</v>
      </c>
      <c r="L2991" s="14">
        <v>17.58375699</v>
      </c>
      <c r="M2991" s="14">
        <v>107.0901772</v>
      </c>
      <c r="N2991" s="14">
        <v>128.7860952</v>
      </c>
      <c r="O2991" s="14">
        <v>48.3269319</v>
      </c>
      <c r="P2991" s="14" t="s">
        <v>14092</v>
      </c>
      <c r="Q2991" s="14" t="s">
        <v>14093</v>
      </c>
      <c r="T2991" s="14" t="s">
        <v>14094</v>
      </c>
      <c r="U2991" s="14" t="s">
        <v>14095</v>
      </c>
    </row>
    <row r="2992" spans="1:15">
      <c r="A2992" s="14" t="s">
        <v>14096</v>
      </c>
      <c r="B2992" s="14">
        <v>1291.799833</v>
      </c>
      <c r="C2992" s="14">
        <v>1736.244129</v>
      </c>
      <c r="D2992" s="14">
        <v>847.3555376</v>
      </c>
      <c r="E2992" s="14">
        <v>0.48808738</v>
      </c>
      <c r="F2992" s="14">
        <v>-1.034788646</v>
      </c>
      <c r="G2992" s="14">
        <v>0.00255321</v>
      </c>
      <c r="H2992" s="14">
        <v>0.008271339</v>
      </c>
      <c r="I2992" s="14" t="s">
        <v>147</v>
      </c>
      <c r="J2992" s="14">
        <v>8.164070867</v>
      </c>
      <c r="K2992" s="14">
        <v>16.14828486</v>
      </c>
      <c r="L2992" s="14">
        <v>14.13496444</v>
      </c>
      <c r="M2992" s="14">
        <v>24.21086508</v>
      </c>
      <c r="N2992" s="14">
        <v>23.84225887</v>
      </c>
      <c r="O2992" s="14">
        <v>16.03828393</v>
      </c>
    </row>
    <row r="2993" spans="1:21">
      <c r="A2993" s="14" t="s">
        <v>14097</v>
      </c>
      <c r="B2993" s="14">
        <v>2596.819049</v>
      </c>
      <c r="C2993" s="14">
        <v>1520.142718</v>
      </c>
      <c r="D2993" s="14">
        <v>3673.49538</v>
      </c>
      <c r="E2993" s="14">
        <v>2.417022126</v>
      </c>
      <c r="F2993" s="14">
        <v>1.27323068</v>
      </c>
      <c r="G2993" s="51" t="s">
        <v>14098</v>
      </c>
      <c r="H2993" s="51" t="s">
        <v>14099</v>
      </c>
      <c r="I2993" s="14" t="s">
        <v>164</v>
      </c>
      <c r="J2993" s="14">
        <v>18.64549834</v>
      </c>
      <c r="K2993" s="14">
        <v>20.49291495</v>
      </c>
      <c r="L2993" s="14">
        <v>18.82084439</v>
      </c>
      <c r="M2993" s="14">
        <v>6.99113685</v>
      </c>
      <c r="N2993" s="14">
        <v>7.39584803</v>
      </c>
      <c r="O2993" s="14">
        <v>5.173630851</v>
      </c>
      <c r="P2993" s="14" t="s">
        <v>14100</v>
      </c>
      <c r="Q2993" s="14" t="s">
        <v>14101</v>
      </c>
      <c r="T2993" s="14" t="s">
        <v>14102</v>
      </c>
      <c r="U2993" s="14" t="s">
        <v>14103</v>
      </c>
    </row>
    <row r="2994" spans="1:21">
      <c r="A2994" s="14" t="s">
        <v>14104</v>
      </c>
      <c r="B2994" s="14">
        <v>5053.453639</v>
      </c>
      <c r="C2994" s="14">
        <v>7498.631174</v>
      </c>
      <c r="D2994" s="14">
        <v>2608.276104</v>
      </c>
      <c r="E2994" s="14">
        <v>0.347838932</v>
      </c>
      <c r="F2994" s="14">
        <v>-1.523508679</v>
      </c>
      <c r="G2994" s="51" t="s">
        <v>14105</v>
      </c>
      <c r="H2994" s="14">
        <v>0.00013913</v>
      </c>
      <c r="I2994" s="14" t="s">
        <v>147</v>
      </c>
      <c r="J2994" s="14">
        <v>34.55294897</v>
      </c>
      <c r="K2994" s="14">
        <v>33.75157391</v>
      </c>
      <c r="L2994" s="14">
        <v>31.15887696</v>
      </c>
      <c r="M2994" s="14">
        <v>76.36023422</v>
      </c>
      <c r="N2994" s="14">
        <v>110.5237762</v>
      </c>
      <c r="O2994" s="14">
        <v>44.73084115</v>
      </c>
      <c r="P2994" s="14" t="s">
        <v>14106</v>
      </c>
      <c r="Q2994" s="14" t="s">
        <v>14107</v>
      </c>
      <c r="R2994" s="14" t="s">
        <v>11587</v>
      </c>
      <c r="S2994" s="14" t="s">
        <v>11588</v>
      </c>
      <c r="T2994" s="14" t="s">
        <v>14108</v>
      </c>
      <c r="U2994" s="14" t="s">
        <v>14109</v>
      </c>
    </row>
    <row r="2995" spans="1:21">
      <c r="A2995" s="14" t="s">
        <v>14110</v>
      </c>
      <c r="B2995" s="14">
        <v>7.794666835</v>
      </c>
      <c r="C2995" s="14">
        <v>0</v>
      </c>
      <c r="D2995" s="14">
        <v>15.58933367</v>
      </c>
      <c r="E2995" s="14">
        <v>84.02496733</v>
      </c>
      <c r="F2995" s="14">
        <v>6.392746171</v>
      </c>
      <c r="G2995" s="14">
        <v>0.00028272</v>
      </c>
      <c r="H2995" s="14">
        <v>0.001197074</v>
      </c>
      <c r="I2995" s="14" t="s">
        <v>164</v>
      </c>
      <c r="J2995" s="14">
        <v>0.131002111</v>
      </c>
      <c r="K2995" s="14">
        <v>0.347624417</v>
      </c>
      <c r="L2995" s="14">
        <v>0.080267924</v>
      </c>
      <c r="M2995" s="14">
        <v>0</v>
      </c>
      <c r="N2995" s="14">
        <v>0</v>
      </c>
      <c r="O2995" s="14">
        <v>0</v>
      </c>
      <c r="P2995" s="14" t="s">
        <v>11995</v>
      </c>
      <c r="Q2995" s="14" t="s">
        <v>11996</v>
      </c>
      <c r="R2995" s="14" t="s">
        <v>341</v>
      </c>
      <c r="S2995" s="14" t="s">
        <v>342</v>
      </c>
      <c r="T2995" s="14" t="s">
        <v>11997</v>
      </c>
      <c r="U2995" s="14" t="s">
        <v>11998</v>
      </c>
    </row>
    <row r="2996" spans="1:21">
      <c r="A2996" s="14" t="s">
        <v>14111</v>
      </c>
      <c r="B2996" s="14">
        <v>4340.942073</v>
      </c>
      <c r="C2996" s="14">
        <v>2724.600109</v>
      </c>
      <c r="D2996" s="14">
        <v>5957.284037</v>
      </c>
      <c r="E2996" s="14">
        <v>2.186663934</v>
      </c>
      <c r="F2996" s="14">
        <v>1.128731511</v>
      </c>
      <c r="G2996" s="14">
        <v>0.001494992</v>
      </c>
      <c r="H2996" s="14">
        <v>0.005205295</v>
      </c>
      <c r="I2996" s="14" t="s">
        <v>164</v>
      </c>
      <c r="J2996" s="14">
        <v>508.3172902</v>
      </c>
      <c r="K2996" s="14">
        <v>475.8560155</v>
      </c>
      <c r="L2996" s="14">
        <v>504.2835724</v>
      </c>
      <c r="M2996" s="14">
        <v>222.7847106</v>
      </c>
      <c r="N2996" s="14">
        <v>224.3647083</v>
      </c>
      <c r="O2996" s="14">
        <v>102.4598475</v>
      </c>
      <c r="P2996" s="14" t="s">
        <v>14112</v>
      </c>
      <c r="Q2996" s="14" t="s">
        <v>14113</v>
      </c>
      <c r="R2996" s="14" t="s">
        <v>14114</v>
      </c>
      <c r="S2996" s="14" t="s">
        <v>14115</v>
      </c>
      <c r="T2996" s="14" t="s">
        <v>282</v>
      </c>
      <c r="U2996" s="14" t="s">
        <v>283</v>
      </c>
    </row>
    <row r="2997" spans="1:21">
      <c r="A2997" s="14" t="s">
        <v>14116</v>
      </c>
      <c r="B2997" s="14">
        <v>4989.90811</v>
      </c>
      <c r="C2997" s="14">
        <v>2493.418708</v>
      </c>
      <c r="D2997" s="14">
        <v>7486.397511</v>
      </c>
      <c r="E2997" s="14">
        <v>3.002773394</v>
      </c>
      <c r="F2997" s="14">
        <v>1.586295605</v>
      </c>
      <c r="G2997" s="51" t="s">
        <v>14117</v>
      </c>
      <c r="H2997" s="51" t="s">
        <v>14118</v>
      </c>
      <c r="I2997" s="14" t="s">
        <v>164</v>
      </c>
      <c r="J2997" s="14">
        <v>70.15033382</v>
      </c>
      <c r="K2997" s="14">
        <v>66.60332752</v>
      </c>
      <c r="L2997" s="14">
        <v>76.17360342</v>
      </c>
      <c r="M2997" s="14">
        <v>22.32191382</v>
      </c>
      <c r="N2997" s="14">
        <v>23.01751658</v>
      </c>
      <c r="O2997" s="14">
        <v>12.05879784</v>
      </c>
      <c r="P2997" s="14" t="s">
        <v>14119</v>
      </c>
      <c r="Q2997" s="14" t="s">
        <v>14120</v>
      </c>
      <c r="R2997" s="14" t="s">
        <v>14114</v>
      </c>
      <c r="S2997" s="14" t="s">
        <v>14115</v>
      </c>
      <c r="T2997" s="14" t="s">
        <v>1864</v>
      </c>
      <c r="U2997" s="14" t="s">
        <v>1865</v>
      </c>
    </row>
    <row r="2998" spans="1:21">
      <c r="A2998" s="14" t="s">
        <v>14121</v>
      </c>
      <c r="B2998" s="14">
        <v>13.13671609</v>
      </c>
      <c r="C2998" s="14">
        <v>1.016963627</v>
      </c>
      <c r="D2998" s="14">
        <v>25.25646855</v>
      </c>
      <c r="E2998" s="14">
        <v>24.98897592</v>
      </c>
      <c r="F2998" s="14">
        <v>4.643219874</v>
      </c>
      <c r="G2998" s="14">
        <v>0.00026568</v>
      </c>
      <c r="H2998" s="14">
        <v>0.001129758</v>
      </c>
      <c r="I2998" s="14" t="s">
        <v>164</v>
      </c>
      <c r="J2998" s="14">
        <v>1.662774066</v>
      </c>
      <c r="K2998" s="14">
        <v>0.929795425</v>
      </c>
      <c r="L2998" s="14">
        <v>2.134668099</v>
      </c>
      <c r="M2998" s="14">
        <v>0</v>
      </c>
      <c r="N2998" s="14">
        <v>0.151652669</v>
      </c>
      <c r="O2998" s="14">
        <v>0</v>
      </c>
      <c r="P2998" s="14" t="s">
        <v>14122</v>
      </c>
      <c r="Q2998" s="14" t="s">
        <v>14123</v>
      </c>
      <c r="T2998" s="14" t="s">
        <v>14124</v>
      </c>
      <c r="U2998" s="14" t="s">
        <v>14125</v>
      </c>
    </row>
    <row r="2999" spans="1:21">
      <c r="A2999" s="14" t="s">
        <v>14126</v>
      </c>
      <c r="B2999" s="14">
        <v>857.7010896</v>
      </c>
      <c r="C2999" s="14">
        <v>366.3617738</v>
      </c>
      <c r="D2999" s="14">
        <v>1349.040405</v>
      </c>
      <c r="E2999" s="14">
        <v>3.679581292</v>
      </c>
      <c r="F2999" s="14">
        <v>1.879541608</v>
      </c>
      <c r="G2999" s="51" t="s">
        <v>14127</v>
      </c>
      <c r="H2999" s="51" t="s">
        <v>1520</v>
      </c>
      <c r="I2999" s="14" t="s">
        <v>164</v>
      </c>
      <c r="J2999" s="14">
        <v>11.63183061</v>
      </c>
      <c r="K2999" s="14">
        <v>10.85725647</v>
      </c>
      <c r="L2999" s="14">
        <v>12.76882209</v>
      </c>
      <c r="M2999" s="14">
        <v>1.955014936</v>
      </c>
      <c r="N2999" s="14">
        <v>1.903915748</v>
      </c>
      <c r="O2999" s="14">
        <v>4.186404637</v>
      </c>
      <c r="P2999" s="14" t="s">
        <v>14128</v>
      </c>
      <c r="Q2999" s="14" t="s">
        <v>14129</v>
      </c>
      <c r="T2999" s="14" t="s">
        <v>4481</v>
      </c>
      <c r="U2999" s="14" t="s">
        <v>4482</v>
      </c>
    </row>
    <row r="3000" spans="1:15">
      <c r="A3000" s="14" t="s">
        <v>14130</v>
      </c>
      <c r="B3000" s="14">
        <v>380.7588387</v>
      </c>
      <c r="C3000" s="14">
        <v>732.4457767</v>
      </c>
      <c r="D3000" s="14">
        <v>29.07190076</v>
      </c>
      <c r="E3000" s="14">
        <v>0.039663317</v>
      </c>
      <c r="F3000" s="14">
        <v>-4.656050861</v>
      </c>
      <c r="G3000" s="51" t="s">
        <v>14131</v>
      </c>
      <c r="H3000" s="51" t="s">
        <v>14132</v>
      </c>
      <c r="I3000" s="14" t="s">
        <v>147</v>
      </c>
      <c r="J3000" s="14">
        <v>0.686224218</v>
      </c>
      <c r="K3000" s="14">
        <v>1.19545126</v>
      </c>
      <c r="L3000" s="14">
        <v>0.432016163</v>
      </c>
      <c r="M3000" s="14">
        <v>22.08511341</v>
      </c>
      <c r="N3000" s="14">
        <v>21.85964907</v>
      </c>
      <c r="O3000" s="14">
        <v>2.607064584</v>
      </c>
    </row>
    <row r="3001" spans="1:21">
      <c r="A3001" s="14" t="s">
        <v>14133</v>
      </c>
      <c r="B3001" s="14">
        <v>5.238531199</v>
      </c>
      <c r="C3001" s="14">
        <v>0.618177692</v>
      </c>
      <c r="D3001" s="14">
        <v>9.858884707</v>
      </c>
      <c r="E3001" s="14">
        <v>15.13468661</v>
      </c>
      <c r="F3001" s="14">
        <v>3.919786897</v>
      </c>
      <c r="G3001" s="14">
        <v>0.011039233</v>
      </c>
      <c r="H3001" s="14">
        <v>0.02938901</v>
      </c>
      <c r="I3001" s="14" t="s">
        <v>164</v>
      </c>
      <c r="J3001" s="14">
        <v>0.906496765</v>
      </c>
      <c r="K3001" s="14">
        <v>0.586553188</v>
      </c>
      <c r="L3001" s="14">
        <v>0.43640995</v>
      </c>
      <c r="M3001" s="14">
        <v>0</v>
      </c>
      <c r="N3001" s="14">
        <v>0</v>
      </c>
      <c r="O3001" s="14">
        <v>0.108404</v>
      </c>
      <c r="P3001" s="14" t="s">
        <v>14134</v>
      </c>
      <c r="Q3001" s="14" t="s">
        <v>14135</v>
      </c>
      <c r="T3001" s="14" t="s">
        <v>14136</v>
      </c>
      <c r="U3001" s="14" t="s">
        <v>14137</v>
      </c>
    </row>
    <row r="3002" spans="1:21">
      <c r="A3002" s="14" t="s">
        <v>14138</v>
      </c>
      <c r="B3002" s="14">
        <v>1168.639661</v>
      </c>
      <c r="C3002" s="14">
        <v>710.4908692</v>
      </c>
      <c r="D3002" s="14">
        <v>1626.788453</v>
      </c>
      <c r="E3002" s="14">
        <v>2.288773859</v>
      </c>
      <c r="F3002" s="14">
        <v>1.194574925</v>
      </c>
      <c r="G3002" s="51" t="s">
        <v>13361</v>
      </c>
      <c r="H3002" s="51" t="s">
        <v>13362</v>
      </c>
      <c r="I3002" s="14" t="s">
        <v>164</v>
      </c>
      <c r="J3002" s="14">
        <v>14.27845478</v>
      </c>
      <c r="K3002" s="14">
        <v>10.38908048</v>
      </c>
      <c r="L3002" s="14">
        <v>13.51688063</v>
      </c>
      <c r="M3002" s="14">
        <v>3.517895227</v>
      </c>
      <c r="N3002" s="14">
        <v>4.004240644</v>
      </c>
      <c r="O3002" s="14">
        <v>6.391080653</v>
      </c>
      <c r="P3002" s="14" t="s">
        <v>14139</v>
      </c>
      <c r="Q3002" s="14" t="s">
        <v>14140</v>
      </c>
      <c r="T3002" s="14" t="s">
        <v>14141</v>
      </c>
      <c r="U3002" s="14" t="s">
        <v>14142</v>
      </c>
    </row>
    <row r="3003" spans="1:21">
      <c r="A3003" s="14" t="s">
        <v>14143</v>
      </c>
      <c r="B3003" s="14">
        <v>467.9539593</v>
      </c>
      <c r="C3003" s="14">
        <v>146.1250629</v>
      </c>
      <c r="D3003" s="14">
        <v>789.7828556</v>
      </c>
      <c r="E3003" s="14">
        <v>5.400595635</v>
      </c>
      <c r="F3003" s="14">
        <v>2.433118532</v>
      </c>
      <c r="G3003" s="51" t="s">
        <v>14144</v>
      </c>
      <c r="H3003" s="51" t="s">
        <v>14145</v>
      </c>
      <c r="I3003" s="14" t="s">
        <v>164</v>
      </c>
      <c r="J3003" s="14">
        <v>30.79834556</v>
      </c>
      <c r="K3003" s="14">
        <v>14.62451508</v>
      </c>
      <c r="L3003" s="14">
        <v>21.71398218</v>
      </c>
      <c r="M3003" s="14">
        <v>1.847922948</v>
      </c>
      <c r="N3003" s="14">
        <v>4.190402709</v>
      </c>
      <c r="O3003" s="14">
        <v>4.296880016</v>
      </c>
      <c r="Q3003" s="14" t="s">
        <v>14146</v>
      </c>
      <c r="R3003" s="14" t="s">
        <v>5641</v>
      </c>
      <c r="S3003" s="14" t="s">
        <v>5642</v>
      </c>
      <c r="T3003" s="14" t="s">
        <v>8325</v>
      </c>
      <c r="U3003" s="14" t="s">
        <v>8326</v>
      </c>
    </row>
    <row r="3004" spans="1:21">
      <c r="A3004" s="14" t="s">
        <v>14147</v>
      </c>
      <c r="B3004" s="14">
        <v>35.92985908</v>
      </c>
      <c r="C3004" s="14">
        <v>70.54279327</v>
      </c>
      <c r="D3004" s="14">
        <v>1.316924887</v>
      </c>
      <c r="E3004" s="14">
        <v>0.01853305</v>
      </c>
      <c r="F3004" s="14">
        <v>-5.753755857</v>
      </c>
      <c r="G3004" s="51" t="s">
        <v>14148</v>
      </c>
      <c r="H3004" s="51" t="s">
        <v>14149</v>
      </c>
      <c r="I3004" s="14" t="s">
        <v>147</v>
      </c>
      <c r="J3004" s="14">
        <v>0.008172486</v>
      </c>
      <c r="K3004" s="14">
        <v>0.016451703</v>
      </c>
      <c r="L3004" s="14">
        <v>0.007868874</v>
      </c>
      <c r="M3004" s="14">
        <v>0.475478847</v>
      </c>
      <c r="N3004" s="14">
        <v>0.389082343</v>
      </c>
      <c r="O3004" s="14">
        <v>0.581500667</v>
      </c>
      <c r="P3004" s="14" t="s">
        <v>14150</v>
      </c>
      <c r="Q3004" s="14" t="s">
        <v>14151</v>
      </c>
      <c r="T3004" s="14" t="s">
        <v>14152</v>
      </c>
      <c r="U3004" s="14" t="s">
        <v>14153</v>
      </c>
    </row>
    <row r="3005" spans="1:21">
      <c r="A3005" s="14" t="s">
        <v>14154</v>
      </c>
      <c r="B3005" s="14">
        <v>31.21299014</v>
      </c>
      <c r="C3005" s="14">
        <v>45.21929313</v>
      </c>
      <c r="D3005" s="14">
        <v>17.20668714</v>
      </c>
      <c r="E3005" s="14">
        <v>0.381746814</v>
      </c>
      <c r="F3005" s="14">
        <v>-1.389311977</v>
      </c>
      <c r="G3005" s="14">
        <v>0.007549567</v>
      </c>
      <c r="H3005" s="14">
        <v>0.021168022</v>
      </c>
      <c r="I3005" s="14" t="s">
        <v>147</v>
      </c>
      <c r="J3005" s="14">
        <v>0.985347595</v>
      </c>
      <c r="K3005" s="14">
        <v>0.867809063</v>
      </c>
      <c r="L3005" s="14">
        <v>1.36381573</v>
      </c>
      <c r="M3005" s="14">
        <v>2.371101133</v>
      </c>
      <c r="N3005" s="14">
        <v>2.93195161</v>
      </c>
      <c r="O3005" s="14">
        <v>1.546563736</v>
      </c>
      <c r="P3005" s="14" t="s">
        <v>14155</v>
      </c>
      <c r="Q3005" s="14" t="s">
        <v>14156</v>
      </c>
      <c r="R3005" s="14" t="s">
        <v>14157</v>
      </c>
      <c r="S3005" s="14" t="s">
        <v>14158</v>
      </c>
      <c r="T3005" s="14" t="s">
        <v>14159</v>
      </c>
      <c r="U3005" s="14" t="s">
        <v>14160</v>
      </c>
    </row>
    <row r="3006" spans="1:21">
      <c r="A3006" s="14" t="s">
        <v>14161</v>
      </c>
      <c r="B3006" s="14">
        <v>71.79784693</v>
      </c>
      <c r="C3006" s="14">
        <v>20.39752083</v>
      </c>
      <c r="D3006" s="14">
        <v>123.198173</v>
      </c>
      <c r="E3006" s="14">
        <v>6.012849972</v>
      </c>
      <c r="F3006" s="14">
        <v>2.588048962</v>
      </c>
      <c r="G3006" s="14">
        <v>0.002429274</v>
      </c>
      <c r="H3006" s="14">
        <v>0.00793045</v>
      </c>
      <c r="I3006" s="14" t="s">
        <v>164</v>
      </c>
      <c r="J3006" s="14">
        <v>2.796852743</v>
      </c>
      <c r="K3006" s="14">
        <v>0.741616535</v>
      </c>
      <c r="L3006" s="14">
        <v>2.084863037</v>
      </c>
      <c r="M3006" s="14">
        <v>0.077192658</v>
      </c>
      <c r="N3006" s="14">
        <v>0.123428651</v>
      </c>
      <c r="O3006" s="14">
        <v>0.604192018</v>
      </c>
      <c r="P3006" s="14" t="s">
        <v>11157</v>
      </c>
      <c r="Q3006" s="14" t="s">
        <v>11158</v>
      </c>
      <c r="T3006" s="14" t="s">
        <v>11159</v>
      </c>
      <c r="U3006" s="14" t="s">
        <v>11160</v>
      </c>
    </row>
    <row r="3007" spans="1:15">
      <c r="A3007" s="14" t="s">
        <v>14162</v>
      </c>
      <c r="B3007" s="14">
        <v>1942.106755</v>
      </c>
      <c r="C3007" s="14">
        <v>2806.188287</v>
      </c>
      <c r="D3007" s="14">
        <v>1078.025224</v>
      </c>
      <c r="E3007" s="14">
        <v>0.384071688</v>
      </c>
      <c r="F3007" s="14">
        <v>-1.380552476</v>
      </c>
      <c r="G3007" s="51" t="s">
        <v>14163</v>
      </c>
      <c r="H3007" s="51" t="s">
        <v>14164</v>
      </c>
      <c r="I3007" s="14" t="s">
        <v>147</v>
      </c>
      <c r="J3007" s="14">
        <v>13.10614493</v>
      </c>
      <c r="K3007" s="14">
        <v>14.17836516</v>
      </c>
      <c r="L3007" s="14">
        <v>12.19976801</v>
      </c>
      <c r="M3007" s="14">
        <v>26.88973643</v>
      </c>
      <c r="N3007" s="14">
        <v>26.72133281</v>
      </c>
      <c r="O3007" s="14">
        <v>31.2824595</v>
      </c>
    </row>
    <row r="3008" spans="1:21">
      <c r="A3008" s="14" t="s">
        <v>14165</v>
      </c>
      <c r="B3008" s="14">
        <v>6.984111077</v>
      </c>
      <c r="C3008" s="14">
        <v>1.009972965</v>
      </c>
      <c r="D3008" s="14">
        <v>12.95824919</v>
      </c>
      <c r="E3008" s="14">
        <v>12.87061933</v>
      </c>
      <c r="F3008" s="14">
        <v>3.686009573</v>
      </c>
      <c r="G3008" s="14">
        <v>0.005598045</v>
      </c>
      <c r="H3008" s="14">
        <v>0.016347209</v>
      </c>
      <c r="I3008" s="14" t="s">
        <v>164</v>
      </c>
      <c r="J3008" s="14">
        <v>0.16918743</v>
      </c>
      <c r="K3008" s="14">
        <v>0.02554383</v>
      </c>
      <c r="L3008" s="14">
        <v>0.138466719</v>
      </c>
      <c r="M3008" s="14">
        <v>0.007237793</v>
      </c>
      <c r="N3008" s="14">
        <v>0.006943804</v>
      </c>
      <c r="O3008" s="14">
        <v>0.007081336</v>
      </c>
      <c r="P3008" s="14" t="s">
        <v>9184</v>
      </c>
      <c r="Q3008" s="14" t="s">
        <v>9185</v>
      </c>
      <c r="T3008" s="14" t="s">
        <v>9186</v>
      </c>
      <c r="U3008" s="14" t="s">
        <v>9187</v>
      </c>
    </row>
    <row r="3009" spans="1:21">
      <c r="A3009" s="14" t="s">
        <v>14166</v>
      </c>
      <c r="B3009" s="14">
        <v>25032.80631</v>
      </c>
      <c r="C3009" s="14">
        <v>33397.66647</v>
      </c>
      <c r="D3009" s="14">
        <v>16667.94616</v>
      </c>
      <c r="E3009" s="14">
        <v>0.499077611</v>
      </c>
      <c r="F3009" s="14">
        <v>-1.002663911</v>
      </c>
      <c r="G3009" s="14">
        <v>0.00339727</v>
      </c>
      <c r="H3009" s="14">
        <v>0.010592607</v>
      </c>
      <c r="I3009" s="14" t="s">
        <v>147</v>
      </c>
      <c r="J3009" s="14">
        <v>115.2560706</v>
      </c>
      <c r="K3009" s="14">
        <v>189.7509715</v>
      </c>
      <c r="L3009" s="14">
        <v>139.1927772</v>
      </c>
      <c r="M3009" s="14">
        <v>283.9894809</v>
      </c>
      <c r="N3009" s="14">
        <v>281.6878438</v>
      </c>
      <c r="O3009" s="14">
        <v>156.3941685</v>
      </c>
      <c r="Q3009" s="14" t="s">
        <v>14167</v>
      </c>
      <c r="R3009" s="14" t="s">
        <v>798</v>
      </c>
      <c r="S3009" s="14" t="s">
        <v>799</v>
      </c>
      <c r="T3009" s="14" t="s">
        <v>12308</v>
      </c>
      <c r="U3009" s="14" t="s">
        <v>12309</v>
      </c>
    </row>
    <row r="3010" spans="1:15">
      <c r="A3010" s="14" t="s">
        <v>14168</v>
      </c>
      <c r="B3010" s="14">
        <v>315.5154992</v>
      </c>
      <c r="C3010" s="14">
        <v>159.8294338</v>
      </c>
      <c r="D3010" s="14">
        <v>471.2015647</v>
      </c>
      <c r="E3010" s="14">
        <v>2.944507116</v>
      </c>
      <c r="F3010" s="14">
        <v>1.55802616</v>
      </c>
      <c r="G3010" s="14">
        <v>0.001336932</v>
      </c>
      <c r="H3010" s="14">
        <v>0.004724214</v>
      </c>
      <c r="I3010" s="14" t="s">
        <v>164</v>
      </c>
      <c r="J3010" s="14">
        <v>10.07110441</v>
      </c>
      <c r="K3010" s="14">
        <v>12.51378804</v>
      </c>
      <c r="L3010" s="14">
        <v>10.43258845</v>
      </c>
      <c r="M3010" s="14">
        <v>1.683739318</v>
      </c>
      <c r="N3010" s="14">
        <v>1.881405298</v>
      </c>
      <c r="O3010" s="14">
        <v>5.988573865</v>
      </c>
    </row>
    <row r="3011" spans="1:21">
      <c r="A3011" s="14" t="s">
        <v>14169</v>
      </c>
      <c r="B3011" s="14">
        <v>20.97677242</v>
      </c>
      <c r="C3011" s="14">
        <v>1.236355384</v>
      </c>
      <c r="D3011" s="14">
        <v>40.71718946</v>
      </c>
      <c r="E3011" s="14">
        <v>31.27069007</v>
      </c>
      <c r="F3011" s="14">
        <v>4.966739151</v>
      </c>
      <c r="G3011" s="51" t="s">
        <v>14170</v>
      </c>
      <c r="H3011" s="51" t="s">
        <v>14171</v>
      </c>
      <c r="I3011" s="14" t="s">
        <v>164</v>
      </c>
      <c r="J3011" s="14">
        <v>1.011987962</v>
      </c>
      <c r="K3011" s="14">
        <v>1.332010299</v>
      </c>
      <c r="L3011" s="14">
        <v>0.849469983</v>
      </c>
      <c r="M3011" s="14">
        <v>0</v>
      </c>
      <c r="N3011" s="14">
        <v>0</v>
      </c>
      <c r="O3011" s="14">
        <v>0.086885603</v>
      </c>
      <c r="P3011" s="14" t="s">
        <v>14172</v>
      </c>
      <c r="Q3011" s="14" t="s">
        <v>14173</v>
      </c>
      <c r="T3011" s="14" t="s">
        <v>14174</v>
      </c>
      <c r="U3011" s="14" t="s">
        <v>14175</v>
      </c>
    </row>
    <row r="3012" spans="1:17">
      <c r="A3012" s="14" t="s">
        <v>14176</v>
      </c>
      <c r="B3012" s="14">
        <v>477.6644405</v>
      </c>
      <c r="C3012" s="14">
        <v>885.6401737</v>
      </c>
      <c r="D3012" s="14">
        <v>69.68870734</v>
      </c>
      <c r="E3012" s="14">
        <v>0.078660999</v>
      </c>
      <c r="F3012" s="14">
        <v>-3.668207684</v>
      </c>
      <c r="G3012" s="51" t="s">
        <v>7616</v>
      </c>
      <c r="H3012" s="51" t="s">
        <v>14177</v>
      </c>
      <c r="I3012" s="14" t="s">
        <v>147</v>
      </c>
      <c r="J3012" s="14">
        <v>1.20320288</v>
      </c>
      <c r="K3012" s="14">
        <v>0.92145842</v>
      </c>
      <c r="L3012" s="14">
        <v>0.629621313</v>
      </c>
      <c r="M3012" s="14">
        <v>12.77865736</v>
      </c>
      <c r="N3012" s="14">
        <v>10.78888151</v>
      </c>
      <c r="O3012" s="14">
        <v>4.663776439</v>
      </c>
      <c r="P3012" s="14" t="s">
        <v>14178</v>
      </c>
      <c r="Q3012" s="14" t="s">
        <v>14179</v>
      </c>
    </row>
    <row r="3013" spans="1:21">
      <c r="A3013" s="14" t="s">
        <v>14180</v>
      </c>
      <c r="B3013" s="14">
        <v>1830.530697</v>
      </c>
      <c r="C3013" s="14">
        <v>1096.231452</v>
      </c>
      <c r="D3013" s="14">
        <v>2564.829942</v>
      </c>
      <c r="E3013" s="14">
        <v>2.340163531</v>
      </c>
      <c r="F3013" s="14">
        <v>1.226609349</v>
      </c>
      <c r="G3013" s="51" t="s">
        <v>14181</v>
      </c>
      <c r="H3013" s="51" t="s">
        <v>14182</v>
      </c>
      <c r="I3013" s="14" t="s">
        <v>164</v>
      </c>
      <c r="J3013" s="14">
        <v>32.74236318</v>
      </c>
      <c r="K3013" s="14">
        <v>29.0314591</v>
      </c>
      <c r="L3013" s="14">
        <v>25.95423845</v>
      </c>
      <c r="M3013" s="14">
        <v>10.47268567</v>
      </c>
      <c r="N3013" s="14">
        <v>11.56877317</v>
      </c>
      <c r="O3013" s="14">
        <v>8.619002224</v>
      </c>
      <c r="P3013" s="14" t="s">
        <v>14183</v>
      </c>
      <c r="Q3013" s="14" t="s">
        <v>14184</v>
      </c>
      <c r="T3013" s="14" t="s">
        <v>14185</v>
      </c>
      <c r="U3013" s="14" t="s">
        <v>14186</v>
      </c>
    </row>
    <row r="3014" spans="1:21">
      <c r="A3014" s="14" t="s">
        <v>14187</v>
      </c>
      <c r="B3014" s="14">
        <v>46.37282479</v>
      </c>
      <c r="C3014" s="14">
        <v>69.07622106</v>
      </c>
      <c r="D3014" s="14">
        <v>23.66942851</v>
      </c>
      <c r="E3014" s="14">
        <v>0.342474703</v>
      </c>
      <c r="F3014" s="14">
        <v>-1.545930668</v>
      </c>
      <c r="G3014" s="14">
        <v>0.012782532</v>
      </c>
      <c r="H3014" s="14">
        <v>0.033259603</v>
      </c>
      <c r="I3014" s="14" t="s">
        <v>147</v>
      </c>
      <c r="J3014" s="14">
        <v>0.413168597</v>
      </c>
      <c r="K3014" s="14">
        <v>0.215634499</v>
      </c>
      <c r="L3014" s="14">
        <v>0.471489365</v>
      </c>
      <c r="M3014" s="14">
        <v>0.576081998</v>
      </c>
      <c r="N3014" s="14">
        <v>0.514999402</v>
      </c>
      <c r="O3014" s="14">
        <v>1.626838165</v>
      </c>
      <c r="P3014" s="14" t="s">
        <v>11903</v>
      </c>
      <c r="Q3014" s="14" t="s">
        <v>11904</v>
      </c>
      <c r="R3014" s="14" t="s">
        <v>798</v>
      </c>
      <c r="S3014" s="14" t="s">
        <v>799</v>
      </c>
      <c r="T3014" s="14" t="s">
        <v>11905</v>
      </c>
      <c r="U3014" s="14" t="s">
        <v>11906</v>
      </c>
    </row>
    <row r="3015" spans="1:15">
      <c r="A3015" s="14" t="s">
        <v>14188</v>
      </c>
      <c r="B3015" s="14">
        <v>34.24825795</v>
      </c>
      <c r="C3015" s="14">
        <v>67.82855726</v>
      </c>
      <c r="D3015" s="14">
        <v>0.667958632</v>
      </c>
      <c r="E3015" s="14">
        <v>0.009663261</v>
      </c>
      <c r="F3015" s="14">
        <v>-6.693274198</v>
      </c>
      <c r="G3015" s="51" t="s">
        <v>14189</v>
      </c>
      <c r="H3015" s="51" t="s">
        <v>14190</v>
      </c>
      <c r="I3015" s="14" t="s">
        <v>147</v>
      </c>
      <c r="J3015" s="14">
        <v>0.092376337</v>
      </c>
      <c r="K3015" s="14">
        <v>0.092979542</v>
      </c>
      <c r="L3015" s="14">
        <v>0</v>
      </c>
      <c r="M3015" s="14">
        <v>5.058349084</v>
      </c>
      <c r="N3015" s="14">
        <v>6.672717457</v>
      </c>
      <c r="O3015" s="14">
        <v>3.711752967</v>
      </c>
    </row>
    <row r="3016" spans="1:21">
      <c r="A3016" s="14" t="s">
        <v>14191</v>
      </c>
      <c r="B3016" s="14">
        <v>3684.723208</v>
      </c>
      <c r="C3016" s="14">
        <v>5256.845853</v>
      </c>
      <c r="D3016" s="14">
        <v>2112.600564</v>
      </c>
      <c r="E3016" s="14">
        <v>0.401900566</v>
      </c>
      <c r="F3016" s="14">
        <v>-1.315089487</v>
      </c>
      <c r="G3016" s="51" t="s">
        <v>7956</v>
      </c>
      <c r="H3016" s="51" t="s">
        <v>7957</v>
      </c>
      <c r="I3016" s="14" t="s">
        <v>147</v>
      </c>
      <c r="J3016" s="14">
        <v>56.65203678</v>
      </c>
      <c r="K3016" s="14">
        <v>70.75290626</v>
      </c>
      <c r="L3016" s="14">
        <v>68.77456678</v>
      </c>
      <c r="M3016" s="14">
        <v>141.8726331</v>
      </c>
      <c r="N3016" s="14">
        <v>146.8296449</v>
      </c>
      <c r="O3016" s="14">
        <v>109.705088</v>
      </c>
      <c r="P3016" s="14" t="s">
        <v>14192</v>
      </c>
      <c r="Q3016" s="14" t="s">
        <v>14193</v>
      </c>
      <c r="R3016" s="14" t="s">
        <v>754</v>
      </c>
      <c r="S3016" s="14" t="s">
        <v>755</v>
      </c>
      <c r="T3016" s="14" t="s">
        <v>14194</v>
      </c>
      <c r="U3016" s="14" t="s">
        <v>14195</v>
      </c>
    </row>
    <row r="3017" spans="1:21">
      <c r="A3017" s="14" t="s">
        <v>14196</v>
      </c>
      <c r="B3017" s="14">
        <v>57.65636314</v>
      </c>
      <c r="C3017" s="14">
        <v>20.84324663</v>
      </c>
      <c r="D3017" s="14">
        <v>94.46947966</v>
      </c>
      <c r="E3017" s="14">
        <v>4.541220868</v>
      </c>
      <c r="F3017" s="14">
        <v>2.183080206</v>
      </c>
      <c r="G3017" s="14">
        <v>0.011895277</v>
      </c>
      <c r="H3017" s="14">
        <v>0.031314882</v>
      </c>
      <c r="I3017" s="14" t="s">
        <v>164</v>
      </c>
      <c r="J3017" s="14">
        <v>2.241356892</v>
      </c>
      <c r="K3017" s="14">
        <v>0.297301358</v>
      </c>
      <c r="L3017" s="14">
        <v>2.459217951</v>
      </c>
      <c r="M3017" s="14">
        <v>0.47570681</v>
      </c>
      <c r="N3017" s="14">
        <v>0.142620065</v>
      </c>
      <c r="O3017" s="14">
        <v>0.276345244</v>
      </c>
      <c r="P3017" s="14" t="s">
        <v>8253</v>
      </c>
      <c r="Q3017" s="14" t="s">
        <v>8254</v>
      </c>
      <c r="R3017" s="14" t="s">
        <v>556</v>
      </c>
      <c r="S3017" s="14" t="s">
        <v>557</v>
      </c>
      <c r="T3017" s="14" t="s">
        <v>558</v>
      </c>
      <c r="U3017" s="14" t="s">
        <v>559</v>
      </c>
    </row>
    <row r="3018" spans="1:21">
      <c r="A3018" s="14" t="s">
        <v>14197</v>
      </c>
      <c r="B3018" s="14">
        <v>1029.376828</v>
      </c>
      <c r="C3018" s="14">
        <v>1522.542558</v>
      </c>
      <c r="D3018" s="14">
        <v>536.2110975</v>
      </c>
      <c r="E3018" s="14">
        <v>0.352190969</v>
      </c>
      <c r="F3018" s="14">
        <v>-1.50557018</v>
      </c>
      <c r="G3018" s="51" t="s">
        <v>1806</v>
      </c>
      <c r="H3018" s="51" t="s">
        <v>1807</v>
      </c>
      <c r="I3018" s="14" t="s">
        <v>147</v>
      </c>
      <c r="J3018" s="14">
        <v>8.213029876</v>
      </c>
      <c r="K3018" s="14">
        <v>6.285596426</v>
      </c>
      <c r="L3018" s="14">
        <v>5.2056516</v>
      </c>
      <c r="M3018" s="14">
        <v>18.13928749</v>
      </c>
      <c r="N3018" s="14">
        <v>15.33812838</v>
      </c>
      <c r="O3018" s="14">
        <v>12.16367971</v>
      </c>
      <c r="P3018" s="14" t="s">
        <v>14198</v>
      </c>
      <c r="Q3018" s="14" t="s">
        <v>14199</v>
      </c>
      <c r="T3018" s="14" t="s">
        <v>14200</v>
      </c>
      <c r="U3018" s="14" t="s">
        <v>14201</v>
      </c>
    </row>
    <row r="3019" spans="1:21">
      <c r="A3019" s="14" t="s">
        <v>14202</v>
      </c>
      <c r="B3019" s="14">
        <v>777.1833774</v>
      </c>
      <c r="C3019" s="14">
        <v>272.8381666</v>
      </c>
      <c r="D3019" s="14">
        <v>1281.528588</v>
      </c>
      <c r="E3019" s="14">
        <v>4.693957167</v>
      </c>
      <c r="F3019" s="14">
        <v>2.230804677</v>
      </c>
      <c r="G3019" s="51" t="s">
        <v>1223</v>
      </c>
      <c r="H3019" s="51" t="s">
        <v>1820</v>
      </c>
      <c r="I3019" s="14" t="s">
        <v>164</v>
      </c>
      <c r="J3019" s="14">
        <v>21.54996367</v>
      </c>
      <c r="K3019" s="14">
        <v>12.06552714</v>
      </c>
      <c r="L3019" s="14">
        <v>19.02786386</v>
      </c>
      <c r="M3019" s="14">
        <v>1.738343939</v>
      </c>
      <c r="N3019" s="14">
        <v>1.73444402</v>
      </c>
      <c r="O3019" s="14">
        <v>6.077405884</v>
      </c>
      <c r="Q3019" s="14" t="s">
        <v>14203</v>
      </c>
      <c r="T3019" s="14" t="s">
        <v>14204</v>
      </c>
      <c r="U3019" s="14" t="s">
        <v>14205</v>
      </c>
    </row>
    <row r="3020" spans="1:21">
      <c r="A3020" s="14" t="s">
        <v>14206</v>
      </c>
      <c r="B3020" s="14">
        <v>325.7078377</v>
      </c>
      <c r="C3020" s="14">
        <v>211.4564897</v>
      </c>
      <c r="D3020" s="14">
        <v>439.9591857</v>
      </c>
      <c r="E3020" s="14">
        <v>2.078628242</v>
      </c>
      <c r="F3020" s="14">
        <v>1.055631758</v>
      </c>
      <c r="G3020" s="14">
        <v>0.003094281</v>
      </c>
      <c r="H3020" s="14">
        <v>0.009758608</v>
      </c>
      <c r="I3020" s="14" t="s">
        <v>164</v>
      </c>
      <c r="J3020" s="14">
        <v>8.376650367</v>
      </c>
      <c r="K3020" s="14">
        <v>6.13845523</v>
      </c>
      <c r="L3020" s="14">
        <v>9.429844513</v>
      </c>
      <c r="M3020" s="14">
        <v>1.979754344</v>
      </c>
      <c r="N3020" s="14">
        <v>2.753305747</v>
      </c>
      <c r="O3020" s="14">
        <v>4.924979664</v>
      </c>
      <c r="P3020" s="14" t="s">
        <v>14207</v>
      </c>
      <c r="Q3020" s="14" t="s">
        <v>14208</v>
      </c>
      <c r="T3020" s="14" t="s">
        <v>14209</v>
      </c>
      <c r="U3020" s="14" t="s">
        <v>14210</v>
      </c>
    </row>
    <row r="3021" spans="1:21">
      <c r="A3021" s="14" t="s">
        <v>14211</v>
      </c>
      <c r="B3021" s="14">
        <v>88.76307474</v>
      </c>
      <c r="C3021" s="14">
        <v>24.13648601</v>
      </c>
      <c r="D3021" s="14">
        <v>153.3896635</v>
      </c>
      <c r="E3021" s="14">
        <v>6.323194863</v>
      </c>
      <c r="F3021" s="14">
        <v>2.66065368</v>
      </c>
      <c r="G3021" s="14">
        <v>0.000586528</v>
      </c>
      <c r="H3021" s="14">
        <v>0.002287178</v>
      </c>
      <c r="I3021" s="14" t="s">
        <v>164</v>
      </c>
      <c r="J3021" s="14">
        <v>6.233525181</v>
      </c>
      <c r="K3021" s="14">
        <v>5.74507742</v>
      </c>
      <c r="L3021" s="14">
        <v>5.459601675</v>
      </c>
      <c r="M3021" s="14">
        <v>0.19277245</v>
      </c>
      <c r="N3021" s="14">
        <v>0.339060846</v>
      </c>
      <c r="O3021" s="14">
        <v>1.854619114</v>
      </c>
      <c r="P3021" s="14" t="s">
        <v>3180</v>
      </c>
      <c r="Q3021" s="14" t="s">
        <v>3181</v>
      </c>
      <c r="T3021" s="14" t="s">
        <v>3182</v>
      </c>
      <c r="U3021" s="14" t="s">
        <v>3183</v>
      </c>
    </row>
    <row r="3022" spans="1:21">
      <c r="A3022" s="14" t="s">
        <v>14212</v>
      </c>
      <c r="B3022" s="14">
        <v>6.497304703</v>
      </c>
      <c r="C3022" s="14">
        <v>0.927266538</v>
      </c>
      <c r="D3022" s="14">
        <v>12.06734287</v>
      </c>
      <c r="E3022" s="14">
        <v>12.53191407</v>
      </c>
      <c r="F3022" s="14">
        <v>3.647534878</v>
      </c>
      <c r="G3022" s="14">
        <v>0.020169462</v>
      </c>
      <c r="H3022" s="14">
        <v>0.048901406</v>
      </c>
      <c r="I3022" s="14" t="s">
        <v>164</v>
      </c>
      <c r="J3022" s="14">
        <v>0.36999868</v>
      </c>
      <c r="K3022" s="14">
        <v>0.093103681</v>
      </c>
      <c r="L3022" s="14">
        <v>0.213751812</v>
      </c>
      <c r="M3022" s="14">
        <v>0</v>
      </c>
      <c r="N3022" s="14">
        <v>0</v>
      </c>
      <c r="O3022" s="14">
        <v>0.046458857</v>
      </c>
      <c r="P3022" s="14" t="s">
        <v>14213</v>
      </c>
      <c r="Q3022" s="14" t="s">
        <v>14214</v>
      </c>
      <c r="T3022" s="14" t="s">
        <v>2191</v>
      </c>
      <c r="U3022" s="14" t="s">
        <v>2192</v>
      </c>
    </row>
    <row r="3023" spans="1:15">
      <c r="A3023" s="14" t="s">
        <v>14215</v>
      </c>
      <c r="B3023" s="14">
        <v>207.0293055</v>
      </c>
      <c r="C3023" s="14">
        <v>88.76037784</v>
      </c>
      <c r="D3023" s="14">
        <v>325.2982332</v>
      </c>
      <c r="E3023" s="14">
        <v>3.665079233</v>
      </c>
      <c r="F3023" s="14">
        <v>1.873844387</v>
      </c>
      <c r="G3023" s="51" t="s">
        <v>14216</v>
      </c>
      <c r="H3023" s="51" t="s">
        <v>14217</v>
      </c>
      <c r="I3023" s="14" t="s">
        <v>164</v>
      </c>
      <c r="J3023" s="14">
        <v>3.163653889</v>
      </c>
      <c r="K3023" s="14">
        <v>2.072471307</v>
      </c>
      <c r="L3023" s="14">
        <v>3.488575895</v>
      </c>
      <c r="M3023" s="14">
        <v>0.544385464</v>
      </c>
      <c r="N3023" s="14">
        <v>0.739887067</v>
      </c>
      <c r="O3023" s="14">
        <v>0.673169483</v>
      </c>
    </row>
    <row r="3024" spans="1:15">
      <c r="A3024" s="14" t="s">
        <v>14218</v>
      </c>
      <c r="B3024" s="14">
        <v>103.4173722</v>
      </c>
      <c r="C3024" s="14">
        <v>65.89951829</v>
      </c>
      <c r="D3024" s="14">
        <v>140.935226</v>
      </c>
      <c r="E3024" s="14">
        <v>2.134005435</v>
      </c>
      <c r="F3024" s="14">
        <v>1.093563851</v>
      </c>
      <c r="G3024" s="14">
        <v>0.012968786</v>
      </c>
      <c r="H3024" s="14">
        <v>0.033672695</v>
      </c>
      <c r="I3024" s="14" t="s">
        <v>164</v>
      </c>
      <c r="J3024" s="14">
        <v>1.293573088</v>
      </c>
      <c r="K3024" s="14">
        <v>0.750576208</v>
      </c>
      <c r="L3024" s="14">
        <v>1.208883293</v>
      </c>
      <c r="M3024" s="14">
        <v>0.273438351</v>
      </c>
      <c r="N3024" s="14">
        <v>0.324791549</v>
      </c>
      <c r="O3024" s="14">
        <v>0.681558154</v>
      </c>
    </row>
    <row r="3025" spans="1:21">
      <c r="A3025" s="14" t="s">
        <v>14219</v>
      </c>
      <c r="B3025" s="14">
        <v>124.1847051</v>
      </c>
      <c r="C3025" s="14">
        <v>178.7209379</v>
      </c>
      <c r="D3025" s="14">
        <v>69.64847226</v>
      </c>
      <c r="E3025" s="14">
        <v>0.389942268</v>
      </c>
      <c r="F3025" s="14">
        <v>-1.35866755</v>
      </c>
      <c r="G3025" s="51" t="s">
        <v>14220</v>
      </c>
      <c r="H3025" s="51" t="s">
        <v>14221</v>
      </c>
      <c r="I3025" s="14" t="s">
        <v>147</v>
      </c>
      <c r="J3025" s="14">
        <v>0.194532447</v>
      </c>
      <c r="K3025" s="14">
        <v>0.256790451</v>
      </c>
      <c r="L3025" s="14">
        <v>0.221081851</v>
      </c>
      <c r="M3025" s="14">
        <v>0.488408634</v>
      </c>
      <c r="N3025" s="14">
        <v>0.531395142</v>
      </c>
      <c r="O3025" s="14">
        <v>0.389755418</v>
      </c>
      <c r="P3025" s="14" t="s">
        <v>8054</v>
      </c>
      <c r="Q3025" s="14" t="s">
        <v>8055</v>
      </c>
      <c r="T3025" s="14" t="s">
        <v>399</v>
      </c>
      <c r="U3025" s="14" t="s">
        <v>400</v>
      </c>
    </row>
    <row r="3026" spans="1:21">
      <c r="A3026" s="14" t="s">
        <v>14222</v>
      </c>
      <c r="B3026" s="14">
        <v>170.4584928</v>
      </c>
      <c r="C3026" s="14">
        <v>285.9118444</v>
      </c>
      <c r="D3026" s="14">
        <v>55.00514119</v>
      </c>
      <c r="E3026" s="14">
        <v>0.192448934</v>
      </c>
      <c r="F3026" s="14">
        <v>-2.377452414</v>
      </c>
      <c r="G3026" s="14">
        <v>0.007816528</v>
      </c>
      <c r="H3026" s="14">
        <v>0.02180329</v>
      </c>
      <c r="I3026" s="14" t="s">
        <v>147</v>
      </c>
      <c r="J3026" s="14">
        <v>0.525756486</v>
      </c>
      <c r="K3026" s="14">
        <v>0.849488581</v>
      </c>
      <c r="L3026" s="14">
        <v>0.932518515</v>
      </c>
      <c r="M3026" s="14">
        <v>4.474669138</v>
      </c>
      <c r="N3026" s="14">
        <v>4.747190402</v>
      </c>
      <c r="O3026" s="14">
        <v>0.277964526</v>
      </c>
      <c r="P3026" s="14" t="s">
        <v>8229</v>
      </c>
      <c r="Q3026" s="14" t="s">
        <v>8230</v>
      </c>
      <c r="T3026" s="14" t="s">
        <v>8231</v>
      </c>
      <c r="U3026" s="14" t="s">
        <v>8232</v>
      </c>
    </row>
    <row r="3027" spans="1:21">
      <c r="A3027" s="14" t="s">
        <v>14223</v>
      </c>
      <c r="B3027" s="14">
        <v>6.345735743</v>
      </c>
      <c r="C3027" s="14">
        <v>0</v>
      </c>
      <c r="D3027" s="14">
        <v>12.69147149</v>
      </c>
      <c r="E3027" s="14">
        <v>68.47831006</v>
      </c>
      <c r="F3027" s="14">
        <v>6.097575194</v>
      </c>
      <c r="G3027" s="14">
        <v>0.000141882</v>
      </c>
      <c r="H3027" s="14">
        <v>0.000647338</v>
      </c>
      <c r="I3027" s="14" t="s">
        <v>164</v>
      </c>
      <c r="J3027" s="14">
        <v>0.335913953</v>
      </c>
      <c r="K3027" s="14">
        <v>0.439539655</v>
      </c>
      <c r="L3027" s="14">
        <v>0.517495297</v>
      </c>
      <c r="M3027" s="14">
        <v>0</v>
      </c>
      <c r="N3027" s="14">
        <v>0</v>
      </c>
      <c r="O3027" s="14">
        <v>0</v>
      </c>
      <c r="P3027" s="14" t="s">
        <v>14224</v>
      </c>
      <c r="Q3027" s="14" t="s">
        <v>14225</v>
      </c>
      <c r="T3027" s="14" t="s">
        <v>14226</v>
      </c>
      <c r="U3027" s="14" t="s">
        <v>14227</v>
      </c>
    </row>
    <row r="3028" spans="1:21">
      <c r="A3028" s="14" t="s">
        <v>14228</v>
      </c>
      <c r="B3028" s="14">
        <v>2211.129429</v>
      </c>
      <c r="C3028" s="14">
        <v>3442.01815</v>
      </c>
      <c r="D3028" s="14">
        <v>980.2407077</v>
      </c>
      <c r="E3028" s="14">
        <v>0.284806425</v>
      </c>
      <c r="F3028" s="14">
        <v>-1.811946401</v>
      </c>
      <c r="G3028" s="51" t="s">
        <v>14229</v>
      </c>
      <c r="H3028" s="51" t="s">
        <v>14230</v>
      </c>
      <c r="I3028" s="14" t="s">
        <v>147</v>
      </c>
      <c r="J3028" s="14">
        <v>9.173925884</v>
      </c>
      <c r="K3028" s="14">
        <v>10.39818404</v>
      </c>
      <c r="L3028" s="14">
        <v>10.29560884</v>
      </c>
      <c r="M3028" s="14">
        <v>34.15074155</v>
      </c>
      <c r="N3028" s="14">
        <v>33.89478447</v>
      </c>
      <c r="O3028" s="14">
        <v>16.73993852</v>
      </c>
      <c r="P3028" s="14" t="s">
        <v>14231</v>
      </c>
      <c r="Q3028" s="14" t="s">
        <v>14232</v>
      </c>
      <c r="T3028" s="14" t="s">
        <v>14233</v>
      </c>
      <c r="U3028" s="14" t="s">
        <v>14234</v>
      </c>
    </row>
    <row r="3029" spans="1:21">
      <c r="A3029" s="14" t="s">
        <v>14235</v>
      </c>
      <c r="B3029" s="14">
        <v>2350.772592</v>
      </c>
      <c r="C3029" s="14">
        <v>1384.837565</v>
      </c>
      <c r="D3029" s="14">
        <v>3316.707619</v>
      </c>
      <c r="E3029" s="14">
        <v>2.395732005</v>
      </c>
      <c r="F3029" s="14">
        <v>1.260466532</v>
      </c>
      <c r="G3029" s="51" t="s">
        <v>14236</v>
      </c>
      <c r="H3029" s="51" t="s">
        <v>14237</v>
      </c>
      <c r="I3029" s="14" t="s">
        <v>164</v>
      </c>
      <c r="J3029" s="14">
        <v>185.0181233</v>
      </c>
      <c r="K3029" s="14">
        <v>164.5844774</v>
      </c>
      <c r="L3029" s="14">
        <v>183.9208769</v>
      </c>
      <c r="M3029" s="14">
        <v>61.91208514</v>
      </c>
      <c r="N3029" s="14">
        <v>63.75513087</v>
      </c>
      <c r="O3029" s="14">
        <v>56.88510293</v>
      </c>
      <c r="P3029" s="14" t="s">
        <v>14238</v>
      </c>
      <c r="Q3029" s="14" t="s">
        <v>14239</v>
      </c>
      <c r="T3029" s="14" t="s">
        <v>14240</v>
      </c>
      <c r="U3029" s="14" t="s">
        <v>14241</v>
      </c>
    </row>
    <row r="3030" spans="1:21">
      <c r="A3030" s="14" t="s">
        <v>14242</v>
      </c>
      <c r="B3030" s="14">
        <v>1259.280351</v>
      </c>
      <c r="C3030" s="14">
        <v>788.8946842</v>
      </c>
      <c r="D3030" s="14">
        <v>1729.666018</v>
      </c>
      <c r="E3030" s="14">
        <v>2.191371989</v>
      </c>
      <c r="F3030" s="14">
        <v>1.131834405</v>
      </c>
      <c r="G3030" s="51" t="s">
        <v>10281</v>
      </c>
      <c r="H3030" s="51" t="s">
        <v>14243</v>
      </c>
      <c r="I3030" s="14" t="s">
        <v>164</v>
      </c>
      <c r="J3030" s="14">
        <v>15.61180322</v>
      </c>
      <c r="K3030" s="14">
        <v>15.63522115</v>
      </c>
      <c r="L3030" s="14">
        <v>14.13875414</v>
      </c>
      <c r="M3030" s="14">
        <v>5.080401239</v>
      </c>
      <c r="N3030" s="14">
        <v>5.244042105</v>
      </c>
      <c r="O3030" s="14">
        <v>6.835453735</v>
      </c>
      <c r="P3030" s="14" t="s">
        <v>14244</v>
      </c>
      <c r="Q3030" s="14" t="s">
        <v>14245</v>
      </c>
      <c r="T3030" s="14" t="s">
        <v>11450</v>
      </c>
      <c r="U3030" s="14" t="s">
        <v>11451</v>
      </c>
    </row>
    <row r="3031" spans="1:21">
      <c r="A3031" s="14" t="s">
        <v>14246</v>
      </c>
      <c r="B3031" s="14">
        <v>357.3565239</v>
      </c>
      <c r="C3031" s="14">
        <v>169.7682832</v>
      </c>
      <c r="D3031" s="14">
        <v>544.9447646</v>
      </c>
      <c r="E3031" s="14">
        <v>3.212444401</v>
      </c>
      <c r="F3031" s="14">
        <v>1.683671485</v>
      </c>
      <c r="G3031" s="51" t="s">
        <v>14247</v>
      </c>
      <c r="H3031" s="51" t="s">
        <v>14248</v>
      </c>
      <c r="I3031" s="14" t="s">
        <v>164</v>
      </c>
      <c r="J3031" s="14">
        <v>3.871219893</v>
      </c>
      <c r="K3031" s="14">
        <v>4.246661795</v>
      </c>
      <c r="L3031" s="14">
        <v>4.098003995</v>
      </c>
      <c r="M3031" s="14">
        <v>0.943627321</v>
      </c>
      <c r="N3031" s="14">
        <v>1.306303042</v>
      </c>
      <c r="O3031" s="14">
        <v>0.861267465</v>
      </c>
      <c r="P3031" s="14" t="s">
        <v>14249</v>
      </c>
      <c r="Q3031" s="14" t="s">
        <v>14250</v>
      </c>
      <c r="T3031" s="14" t="s">
        <v>14251</v>
      </c>
      <c r="U3031" s="14" t="s">
        <v>14252</v>
      </c>
    </row>
    <row r="3032" spans="1:21">
      <c r="A3032" s="14" t="s">
        <v>14253</v>
      </c>
      <c r="B3032" s="14">
        <v>111.2130124</v>
      </c>
      <c r="C3032" s="14">
        <v>7.041083232</v>
      </c>
      <c r="D3032" s="14">
        <v>215.3849415</v>
      </c>
      <c r="E3032" s="14">
        <v>30.1599819</v>
      </c>
      <c r="F3032" s="14">
        <v>4.914563658</v>
      </c>
      <c r="G3032" s="51" t="s">
        <v>4535</v>
      </c>
      <c r="H3032" s="51" t="s">
        <v>14254</v>
      </c>
      <c r="I3032" s="14" t="s">
        <v>164</v>
      </c>
      <c r="J3032" s="14">
        <v>11.0944445</v>
      </c>
      <c r="K3032" s="14">
        <v>7.615912271</v>
      </c>
      <c r="L3032" s="14">
        <v>11.62088998</v>
      </c>
      <c r="M3032" s="14">
        <v>0.158867748</v>
      </c>
      <c r="N3032" s="14">
        <v>0.038103686</v>
      </c>
      <c r="O3032" s="14">
        <v>0.660592551</v>
      </c>
      <c r="P3032" s="14" t="s">
        <v>14255</v>
      </c>
      <c r="Q3032" s="14" t="s">
        <v>14256</v>
      </c>
      <c r="R3032" s="14" t="s">
        <v>754</v>
      </c>
      <c r="S3032" s="14" t="s">
        <v>755</v>
      </c>
      <c r="T3032" s="14" t="s">
        <v>473</v>
      </c>
      <c r="U3032" s="14" t="s">
        <v>474</v>
      </c>
    </row>
    <row r="3033" spans="1:15">
      <c r="A3033" s="14" t="s">
        <v>14257</v>
      </c>
      <c r="B3033" s="14">
        <v>709.0638539</v>
      </c>
      <c r="C3033" s="14">
        <v>1086.139466</v>
      </c>
      <c r="D3033" s="14">
        <v>331.9882421</v>
      </c>
      <c r="E3033" s="14">
        <v>0.305641011</v>
      </c>
      <c r="F3033" s="14">
        <v>-1.710089957</v>
      </c>
      <c r="G3033" s="51" t="s">
        <v>14258</v>
      </c>
      <c r="H3033" s="51" t="s">
        <v>14259</v>
      </c>
      <c r="I3033" s="14" t="s">
        <v>147</v>
      </c>
      <c r="J3033" s="14">
        <v>3.36167358</v>
      </c>
      <c r="K3033" s="14">
        <v>8.147634016</v>
      </c>
      <c r="L3033" s="14">
        <v>5.281918651</v>
      </c>
      <c r="M3033" s="14">
        <v>15.91227797</v>
      </c>
      <c r="N3033" s="14">
        <v>14.62070848</v>
      </c>
      <c r="O3033" s="14">
        <v>14.61628733</v>
      </c>
    </row>
    <row r="3034" spans="1:21">
      <c r="A3034" s="14" t="s">
        <v>14260</v>
      </c>
      <c r="B3034" s="14">
        <v>320.8330615</v>
      </c>
      <c r="C3034" s="14">
        <v>195.8626608</v>
      </c>
      <c r="D3034" s="14">
        <v>445.8034623</v>
      </c>
      <c r="E3034" s="14">
        <v>2.274465488</v>
      </c>
      <c r="F3034" s="14">
        <v>1.185527544</v>
      </c>
      <c r="G3034" s="14">
        <v>0.002787213</v>
      </c>
      <c r="H3034" s="14">
        <v>0.00892319</v>
      </c>
      <c r="I3034" s="14" t="s">
        <v>164</v>
      </c>
      <c r="J3034" s="14">
        <v>16.41949343</v>
      </c>
      <c r="K3034" s="14">
        <v>7.604974137</v>
      </c>
      <c r="L3034" s="14">
        <v>12.05635041</v>
      </c>
      <c r="M3034" s="14">
        <v>2.718314401</v>
      </c>
      <c r="N3034" s="14">
        <v>4.383025129</v>
      </c>
      <c r="O3034" s="14">
        <v>6.146026408</v>
      </c>
      <c r="P3034" s="14" t="s">
        <v>14261</v>
      </c>
      <c r="Q3034" s="14" t="s">
        <v>14262</v>
      </c>
      <c r="T3034" s="14" t="s">
        <v>14263</v>
      </c>
      <c r="U3034" s="14" t="s">
        <v>14264</v>
      </c>
    </row>
    <row r="3035" spans="1:21">
      <c r="A3035" s="14" t="s">
        <v>14265</v>
      </c>
      <c r="B3035" s="14">
        <v>1550.25291</v>
      </c>
      <c r="C3035" s="14">
        <v>2425.561246</v>
      </c>
      <c r="D3035" s="14">
        <v>674.9445738</v>
      </c>
      <c r="E3035" s="14">
        <v>0.278296627</v>
      </c>
      <c r="F3035" s="14">
        <v>-1.845304671</v>
      </c>
      <c r="G3035" s="51" t="s">
        <v>14266</v>
      </c>
      <c r="H3035" s="51" t="s">
        <v>2558</v>
      </c>
      <c r="I3035" s="14" t="s">
        <v>147</v>
      </c>
      <c r="J3035" s="14">
        <v>15.12513844</v>
      </c>
      <c r="K3035" s="14">
        <v>12.21104721</v>
      </c>
      <c r="L3035" s="14">
        <v>13.18898119</v>
      </c>
      <c r="M3035" s="14">
        <v>44.8440014</v>
      </c>
      <c r="N3035" s="14">
        <v>41.67194061</v>
      </c>
      <c r="O3035" s="14">
        <v>32.24220321</v>
      </c>
      <c r="P3035" s="14" t="s">
        <v>14267</v>
      </c>
      <c r="Q3035" s="14" t="s">
        <v>14268</v>
      </c>
      <c r="R3035" s="14" t="s">
        <v>3201</v>
      </c>
      <c r="S3035" s="14" t="s">
        <v>3202</v>
      </c>
      <c r="T3035" s="14" t="s">
        <v>3203</v>
      </c>
      <c r="U3035" s="14" t="s">
        <v>3204</v>
      </c>
    </row>
    <row r="3036" spans="1:21">
      <c r="A3036" s="14" t="s">
        <v>14269</v>
      </c>
      <c r="B3036" s="14">
        <v>10402.6087</v>
      </c>
      <c r="C3036" s="14">
        <v>14236.11135</v>
      </c>
      <c r="D3036" s="14">
        <v>6569.106058</v>
      </c>
      <c r="E3036" s="14">
        <v>0.461444498</v>
      </c>
      <c r="F3036" s="14">
        <v>-1.115770962</v>
      </c>
      <c r="G3036" s="51" t="s">
        <v>14270</v>
      </c>
      <c r="H3036" s="14">
        <v>0.000237252</v>
      </c>
      <c r="I3036" s="14" t="s">
        <v>147</v>
      </c>
      <c r="J3036" s="14">
        <v>158.4878344</v>
      </c>
      <c r="K3036" s="14">
        <v>191.4875982</v>
      </c>
      <c r="L3036" s="14">
        <v>146.1574554</v>
      </c>
      <c r="M3036" s="14">
        <v>338.8324881</v>
      </c>
      <c r="N3036" s="14">
        <v>323.5735133</v>
      </c>
      <c r="O3036" s="14">
        <v>212.5480162</v>
      </c>
      <c r="P3036" s="14" t="s">
        <v>14271</v>
      </c>
      <c r="Q3036" s="14" t="s">
        <v>14272</v>
      </c>
      <c r="R3036" s="14" t="s">
        <v>565</v>
      </c>
      <c r="S3036" s="14" t="s">
        <v>566</v>
      </c>
      <c r="T3036" s="14" t="s">
        <v>14273</v>
      </c>
      <c r="U3036" s="14" t="s">
        <v>14274</v>
      </c>
    </row>
    <row r="3037" spans="1:21">
      <c r="A3037" s="14" t="s">
        <v>14275</v>
      </c>
      <c r="B3037" s="14">
        <v>25.6839723</v>
      </c>
      <c r="C3037" s="14">
        <v>0.338987876</v>
      </c>
      <c r="D3037" s="14">
        <v>51.02895673</v>
      </c>
      <c r="E3037" s="14">
        <v>141.4078118</v>
      </c>
      <c r="F3037" s="14">
        <v>7.143718011</v>
      </c>
      <c r="G3037" s="51" t="s">
        <v>14276</v>
      </c>
      <c r="H3037" s="51" t="s">
        <v>2497</v>
      </c>
      <c r="I3037" s="14" t="s">
        <v>164</v>
      </c>
      <c r="J3037" s="14">
        <v>1.483492428</v>
      </c>
      <c r="K3037" s="14">
        <v>0.984863035</v>
      </c>
      <c r="L3037" s="14">
        <v>2.43128485</v>
      </c>
      <c r="M3037" s="14">
        <v>0</v>
      </c>
      <c r="N3037" s="14">
        <v>0.02590877</v>
      </c>
      <c r="O3037" s="14">
        <v>0</v>
      </c>
      <c r="P3037" s="14" t="s">
        <v>14277</v>
      </c>
      <c r="Q3037" s="14" t="s">
        <v>14278</v>
      </c>
      <c r="T3037" s="14" t="s">
        <v>14279</v>
      </c>
      <c r="U3037" s="14" t="s">
        <v>14280</v>
      </c>
    </row>
    <row r="3038" spans="1:21">
      <c r="A3038" s="14" t="s">
        <v>14281</v>
      </c>
      <c r="B3038" s="14">
        <v>2499.002694</v>
      </c>
      <c r="C3038" s="14">
        <v>1525.453626</v>
      </c>
      <c r="D3038" s="14">
        <v>3472.551762</v>
      </c>
      <c r="E3038" s="14">
        <v>2.275943014</v>
      </c>
      <c r="F3038" s="14">
        <v>1.186464435</v>
      </c>
      <c r="G3038" s="51" t="s">
        <v>14282</v>
      </c>
      <c r="H3038" s="51" t="s">
        <v>14283</v>
      </c>
      <c r="I3038" s="14" t="s">
        <v>164</v>
      </c>
      <c r="J3038" s="14">
        <v>30.95096471</v>
      </c>
      <c r="K3038" s="14">
        <v>35.35573309</v>
      </c>
      <c r="L3038" s="14">
        <v>33.25618903</v>
      </c>
      <c r="M3038" s="14">
        <v>10.71734472</v>
      </c>
      <c r="N3038" s="14">
        <v>11.91408655</v>
      </c>
      <c r="O3038" s="14">
        <v>13.51327897</v>
      </c>
      <c r="P3038" s="14" t="s">
        <v>14284</v>
      </c>
      <c r="Q3038" s="14" t="s">
        <v>14285</v>
      </c>
      <c r="T3038" s="14" t="s">
        <v>14286</v>
      </c>
      <c r="U3038" s="14" t="s">
        <v>14287</v>
      </c>
    </row>
    <row r="3039" spans="1:21">
      <c r="A3039" s="14" t="s">
        <v>14288</v>
      </c>
      <c r="B3039" s="14">
        <v>3.722455913</v>
      </c>
      <c r="C3039" s="14">
        <v>7.108636832</v>
      </c>
      <c r="D3039" s="14">
        <v>0.336274994</v>
      </c>
      <c r="E3039" s="14">
        <v>0.049455876</v>
      </c>
      <c r="F3039" s="14">
        <v>-4.337714239</v>
      </c>
      <c r="G3039" s="14">
        <v>0.014032336</v>
      </c>
      <c r="H3039" s="14">
        <v>0.036027387</v>
      </c>
      <c r="I3039" s="14" t="s">
        <v>147</v>
      </c>
      <c r="J3039" s="14">
        <v>0</v>
      </c>
      <c r="K3039" s="14">
        <v>0.009500634</v>
      </c>
      <c r="L3039" s="14">
        <v>0</v>
      </c>
      <c r="M3039" s="14">
        <v>0.080759575</v>
      </c>
      <c r="N3039" s="14">
        <v>0.023243767</v>
      </c>
      <c r="O3039" s="14">
        <v>0.063211052</v>
      </c>
      <c r="P3039" s="14" t="s">
        <v>7033</v>
      </c>
      <c r="Q3039" s="14" t="s">
        <v>7034</v>
      </c>
      <c r="T3039" s="14" t="s">
        <v>7035</v>
      </c>
      <c r="U3039" s="14" t="s">
        <v>7036</v>
      </c>
    </row>
    <row r="3040" spans="1:15">
      <c r="A3040" s="14" t="s">
        <v>14289</v>
      </c>
      <c r="B3040" s="14">
        <v>3.58814174</v>
      </c>
      <c r="C3040" s="14">
        <v>6.844599843</v>
      </c>
      <c r="D3040" s="14">
        <v>0.331683638</v>
      </c>
      <c r="E3040" s="14">
        <v>0.051160962</v>
      </c>
      <c r="F3040" s="14">
        <v>-4.288812786</v>
      </c>
      <c r="G3040" s="14">
        <v>0.017647169</v>
      </c>
      <c r="H3040" s="14">
        <v>0.043769008</v>
      </c>
      <c r="I3040" s="14" t="s">
        <v>147</v>
      </c>
      <c r="J3040" s="14">
        <v>0.019951693</v>
      </c>
      <c r="K3040" s="14">
        <v>0</v>
      </c>
      <c r="L3040" s="14">
        <v>0</v>
      </c>
      <c r="M3040" s="14">
        <v>0.085352813</v>
      </c>
      <c r="N3040" s="14">
        <v>0.049131534</v>
      </c>
      <c r="O3040" s="14">
        <v>0.217120179</v>
      </c>
    </row>
    <row r="3041" spans="1:21">
      <c r="A3041" s="14" t="s">
        <v>14290</v>
      </c>
      <c r="B3041" s="14">
        <v>35.99269617</v>
      </c>
      <c r="C3041" s="14">
        <v>0.700884119</v>
      </c>
      <c r="D3041" s="14">
        <v>71.28450823</v>
      </c>
      <c r="E3041" s="14">
        <v>104.2216894</v>
      </c>
      <c r="F3041" s="14">
        <v>6.703511735</v>
      </c>
      <c r="G3041" s="51" t="s">
        <v>12233</v>
      </c>
      <c r="H3041" s="14">
        <v>0.000153959</v>
      </c>
      <c r="I3041" s="14" t="s">
        <v>164</v>
      </c>
      <c r="J3041" s="14">
        <v>0.118431201</v>
      </c>
      <c r="K3041" s="14">
        <v>1.218535314</v>
      </c>
      <c r="L3041" s="14">
        <v>0.069685865</v>
      </c>
      <c r="M3041" s="14">
        <v>0.005629395</v>
      </c>
      <c r="N3041" s="14">
        <v>0.005400736</v>
      </c>
      <c r="O3041" s="14">
        <v>0</v>
      </c>
      <c r="P3041" s="14" t="s">
        <v>14291</v>
      </c>
      <c r="Q3041" s="14" t="s">
        <v>14292</v>
      </c>
      <c r="T3041" s="14" t="s">
        <v>14293</v>
      </c>
      <c r="U3041" s="14" t="s">
        <v>14294</v>
      </c>
    </row>
    <row r="3042" spans="1:21">
      <c r="A3042" s="14" t="s">
        <v>14295</v>
      </c>
      <c r="B3042" s="14">
        <v>565.8557602</v>
      </c>
      <c r="C3042" s="14">
        <v>849.3716417</v>
      </c>
      <c r="D3042" s="14">
        <v>282.3398788</v>
      </c>
      <c r="E3042" s="14">
        <v>0.332324203</v>
      </c>
      <c r="F3042" s="14">
        <v>-1.589336728</v>
      </c>
      <c r="G3042" s="14">
        <v>0.001135116</v>
      </c>
      <c r="H3042" s="14">
        <v>0.004097227</v>
      </c>
      <c r="I3042" s="14" t="s">
        <v>147</v>
      </c>
      <c r="J3042" s="14">
        <v>3.272717128</v>
      </c>
      <c r="K3042" s="14">
        <v>3.576437905</v>
      </c>
      <c r="L3042" s="14">
        <v>3.139879795</v>
      </c>
      <c r="M3042" s="14">
        <v>5.100217537</v>
      </c>
      <c r="N3042" s="14">
        <v>4.250240357</v>
      </c>
      <c r="O3042" s="14">
        <v>16.29077575</v>
      </c>
      <c r="P3042" s="14" t="s">
        <v>14296</v>
      </c>
      <c r="Q3042" s="14" t="s">
        <v>14297</v>
      </c>
      <c r="T3042" s="14" t="s">
        <v>14298</v>
      </c>
      <c r="U3042" s="14" t="s">
        <v>14299</v>
      </c>
    </row>
    <row r="3043" spans="1:21">
      <c r="A3043" s="14" t="s">
        <v>14300</v>
      </c>
      <c r="B3043" s="14">
        <v>55.20229306</v>
      </c>
      <c r="C3043" s="14">
        <v>90.2638781</v>
      </c>
      <c r="D3043" s="14">
        <v>20.14070801</v>
      </c>
      <c r="E3043" s="14">
        <v>0.223333043</v>
      </c>
      <c r="F3043" s="14">
        <v>-2.162731379</v>
      </c>
      <c r="G3043" s="14">
        <v>0.000112898</v>
      </c>
      <c r="H3043" s="14">
        <v>0.000528529</v>
      </c>
      <c r="I3043" s="14" t="s">
        <v>147</v>
      </c>
      <c r="J3043" s="14">
        <v>0.2405095</v>
      </c>
      <c r="K3043" s="14">
        <v>0.054663225</v>
      </c>
      <c r="L3043" s="14">
        <v>0.179283435</v>
      </c>
      <c r="M3043" s="14">
        <v>0.517765645</v>
      </c>
      <c r="N3043" s="14">
        <v>0.573155386</v>
      </c>
      <c r="O3043" s="14">
        <v>0.662441914</v>
      </c>
      <c r="P3043" s="14" t="s">
        <v>14301</v>
      </c>
      <c r="Q3043" s="14" t="s">
        <v>14302</v>
      </c>
      <c r="T3043" s="14" t="s">
        <v>14303</v>
      </c>
      <c r="U3043" s="14" t="s">
        <v>14304</v>
      </c>
    </row>
    <row r="3044" spans="1:21">
      <c r="A3044" s="14" t="s">
        <v>14305</v>
      </c>
      <c r="B3044" s="14">
        <v>8.189514772</v>
      </c>
      <c r="C3044" s="14">
        <v>1.78657285</v>
      </c>
      <c r="D3044" s="14">
        <v>14.59245669</v>
      </c>
      <c r="E3044" s="14">
        <v>8.374631805</v>
      </c>
      <c r="F3044" s="14">
        <v>3.066025763</v>
      </c>
      <c r="G3044" s="14">
        <v>0.01865027</v>
      </c>
      <c r="H3044" s="14">
        <v>0.045854695</v>
      </c>
      <c r="I3044" s="14" t="s">
        <v>164</v>
      </c>
      <c r="J3044" s="14">
        <v>0.232979412</v>
      </c>
      <c r="K3044" s="14">
        <v>0.070350221</v>
      </c>
      <c r="L3044" s="14">
        <v>0.213107891</v>
      </c>
      <c r="M3044" s="14">
        <v>0.03986719</v>
      </c>
      <c r="N3044" s="14">
        <v>0.009561959</v>
      </c>
      <c r="O3044" s="14">
        <v>0</v>
      </c>
      <c r="P3044" s="14" t="s">
        <v>7598</v>
      </c>
      <c r="Q3044" s="14" t="s">
        <v>7599</v>
      </c>
      <c r="T3044" s="14" t="s">
        <v>7600</v>
      </c>
      <c r="U3044" s="14" t="s">
        <v>7601</v>
      </c>
    </row>
    <row r="3045" spans="1:21">
      <c r="A3045" s="14" t="s">
        <v>14306</v>
      </c>
      <c r="B3045" s="14">
        <v>350.3640285</v>
      </c>
      <c r="C3045" s="14">
        <v>203.0349684</v>
      </c>
      <c r="D3045" s="14">
        <v>497.6930885</v>
      </c>
      <c r="E3045" s="14">
        <v>2.448220662</v>
      </c>
      <c r="F3045" s="14">
        <v>1.291733596</v>
      </c>
      <c r="G3045" s="51" t="s">
        <v>14307</v>
      </c>
      <c r="H3045" s="51" t="s">
        <v>7793</v>
      </c>
      <c r="I3045" s="14" t="s">
        <v>164</v>
      </c>
      <c r="J3045" s="14">
        <v>26.05012704</v>
      </c>
      <c r="K3045" s="14">
        <v>36.94387154</v>
      </c>
      <c r="L3045" s="14">
        <v>29.76676071</v>
      </c>
      <c r="M3045" s="14">
        <v>7.218685672</v>
      </c>
      <c r="N3045" s="14">
        <v>9.655219956</v>
      </c>
      <c r="O3045" s="14">
        <v>14.79545974</v>
      </c>
      <c r="P3045" s="14" t="s">
        <v>7591</v>
      </c>
      <c r="Q3045" s="14" t="s">
        <v>7592</v>
      </c>
      <c r="T3045" s="14" t="s">
        <v>7593</v>
      </c>
      <c r="U3045" s="14" t="s">
        <v>7594</v>
      </c>
    </row>
    <row r="3046" spans="1:21">
      <c r="A3046" s="14" t="s">
        <v>14308</v>
      </c>
      <c r="B3046" s="14">
        <v>2008.170801</v>
      </c>
      <c r="C3046" s="14">
        <v>3140.129479</v>
      </c>
      <c r="D3046" s="14">
        <v>876.2121236</v>
      </c>
      <c r="E3046" s="14">
        <v>0.279062676</v>
      </c>
      <c r="F3046" s="14">
        <v>-1.841338914</v>
      </c>
      <c r="G3046" s="51" t="s">
        <v>7231</v>
      </c>
      <c r="H3046" s="51" t="s">
        <v>14309</v>
      </c>
      <c r="I3046" s="14" t="s">
        <v>147</v>
      </c>
      <c r="J3046" s="14">
        <v>9.184082202</v>
      </c>
      <c r="K3046" s="14">
        <v>13.4887713</v>
      </c>
      <c r="L3046" s="14">
        <v>12.86472683</v>
      </c>
      <c r="M3046" s="14">
        <v>37.3419792</v>
      </c>
      <c r="N3046" s="14">
        <v>37.18787199</v>
      </c>
      <c r="O3046" s="14">
        <v>29.48557384</v>
      </c>
      <c r="P3046" s="14" t="s">
        <v>7584</v>
      </c>
      <c r="Q3046" s="14" t="s">
        <v>7585</v>
      </c>
      <c r="T3046" s="14" t="s">
        <v>7586</v>
      </c>
      <c r="U3046" s="14" t="s">
        <v>7587</v>
      </c>
    </row>
    <row r="3047" spans="1:15">
      <c r="A3047" s="14" t="s">
        <v>14310</v>
      </c>
      <c r="B3047" s="14">
        <v>1356.602899</v>
      </c>
      <c r="C3047" s="14">
        <v>230.0076012</v>
      </c>
      <c r="D3047" s="14">
        <v>2483.198198</v>
      </c>
      <c r="E3047" s="14">
        <v>10.78551624</v>
      </c>
      <c r="F3047" s="14">
        <v>3.431023326</v>
      </c>
      <c r="G3047" s="51" t="s">
        <v>14311</v>
      </c>
      <c r="H3047" s="51" t="s">
        <v>14312</v>
      </c>
      <c r="I3047" s="14" t="s">
        <v>164</v>
      </c>
      <c r="J3047" s="14">
        <v>94.10423973</v>
      </c>
      <c r="K3047" s="14">
        <v>60.47014847</v>
      </c>
      <c r="L3047" s="14">
        <v>95.75931683</v>
      </c>
      <c r="M3047" s="14">
        <v>4.207709445</v>
      </c>
      <c r="N3047" s="14">
        <v>6.164299155</v>
      </c>
      <c r="O3047" s="14">
        <v>8.984533934</v>
      </c>
    </row>
    <row r="3048" spans="1:21">
      <c r="A3048" s="14" t="s">
        <v>14313</v>
      </c>
      <c r="B3048" s="14">
        <v>523.9525646</v>
      </c>
      <c r="C3048" s="14">
        <v>222.6449776</v>
      </c>
      <c r="D3048" s="14">
        <v>825.2601517</v>
      </c>
      <c r="E3048" s="14">
        <v>3.700999738</v>
      </c>
      <c r="F3048" s="14">
        <v>1.887915034</v>
      </c>
      <c r="G3048" s="51" t="s">
        <v>14314</v>
      </c>
      <c r="H3048" s="51" t="s">
        <v>12654</v>
      </c>
      <c r="I3048" s="14" t="s">
        <v>164</v>
      </c>
      <c r="J3048" s="14">
        <v>33.76965151</v>
      </c>
      <c r="K3048" s="14">
        <v>38.46370695</v>
      </c>
      <c r="L3048" s="14">
        <v>36.66863047</v>
      </c>
      <c r="M3048" s="14">
        <v>5.965034297</v>
      </c>
      <c r="N3048" s="14">
        <v>7.761469168</v>
      </c>
      <c r="O3048" s="14">
        <v>10.76029014</v>
      </c>
      <c r="P3048" s="14" t="s">
        <v>7572</v>
      </c>
      <c r="Q3048" s="14" t="s">
        <v>7573</v>
      </c>
      <c r="T3048" s="14" t="s">
        <v>7574</v>
      </c>
      <c r="U3048" s="14" t="s">
        <v>7575</v>
      </c>
    </row>
    <row r="3049" spans="1:21">
      <c r="A3049" s="14" t="s">
        <v>14315</v>
      </c>
      <c r="B3049" s="14">
        <v>2669.823053</v>
      </c>
      <c r="C3049" s="14">
        <v>156.5723676</v>
      </c>
      <c r="D3049" s="14">
        <v>5183.073739</v>
      </c>
      <c r="E3049" s="14">
        <v>33.05991713</v>
      </c>
      <c r="F3049" s="14">
        <v>5.047011203</v>
      </c>
      <c r="G3049" s="51" t="s">
        <v>14316</v>
      </c>
      <c r="H3049" s="51" t="s">
        <v>3475</v>
      </c>
      <c r="I3049" s="14" t="s">
        <v>164</v>
      </c>
      <c r="J3049" s="14">
        <v>152.3173565</v>
      </c>
      <c r="K3049" s="14">
        <v>99.71404203</v>
      </c>
      <c r="L3049" s="14">
        <v>155.212316</v>
      </c>
      <c r="M3049" s="14">
        <v>1.684146599</v>
      </c>
      <c r="N3049" s="14">
        <v>2.104712282</v>
      </c>
      <c r="O3049" s="14">
        <v>6.699367212</v>
      </c>
      <c r="P3049" s="14" t="s">
        <v>5765</v>
      </c>
      <c r="Q3049" s="14" t="s">
        <v>5766</v>
      </c>
      <c r="T3049" s="14" t="s">
        <v>5767</v>
      </c>
      <c r="U3049" s="14" t="s">
        <v>5768</v>
      </c>
    </row>
    <row r="3050" spans="1:21">
      <c r="A3050" s="14" t="s">
        <v>14317</v>
      </c>
      <c r="B3050" s="14">
        <v>89.28190221</v>
      </c>
      <c r="C3050" s="14">
        <v>13.78665232</v>
      </c>
      <c r="D3050" s="14">
        <v>164.7771521</v>
      </c>
      <c r="E3050" s="14">
        <v>11.96380403</v>
      </c>
      <c r="F3050" s="14">
        <v>3.580604279</v>
      </c>
      <c r="G3050" s="51" t="s">
        <v>14318</v>
      </c>
      <c r="H3050" s="51" t="s">
        <v>14319</v>
      </c>
      <c r="I3050" s="14" t="s">
        <v>164</v>
      </c>
      <c r="J3050" s="14">
        <v>1.426175249</v>
      </c>
      <c r="K3050" s="14">
        <v>0.386477535</v>
      </c>
      <c r="L3050" s="14">
        <v>1.238220169</v>
      </c>
      <c r="M3050" s="14">
        <v>0.083434392</v>
      </c>
      <c r="N3050" s="14">
        <v>0.045025534</v>
      </c>
      <c r="O3050" s="14">
        <v>0.081630811</v>
      </c>
      <c r="P3050" s="14" t="s">
        <v>14320</v>
      </c>
      <c r="Q3050" s="14" t="s">
        <v>14321</v>
      </c>
      <c r="T3050" s="14" t="s">
        <v>14322</v>
      </c>
      <c r="U3050" s="14" t="s">
        <v>14323</v>
      </c>
    </row>
    <row r="3051" spans="1:21">
      <c r="A3051" s="14" t="s">
        <v>14324</v>
      </c>
      <c r="B3051" s="14">
        <v>3954.978389</v>
      </c>
      <c r="C3051" s="14">
        <v>2305.250806</v>
      </c>
      <c r="D3051" s="14">
        <v>5604.705971</v>
      </c>
      <c r="E3051" s="14">
        <v>2.430772044</v>
      </c>
      <c r="F3051" s="14">
        <v>1.281414605</v>
      </c>
      <c r="G3051" s="51" t="s">
        <v>14325</v>
      </c>
      <c r="H3051" s="51" t="s">
        <v>14326</v>
      </c>
      <c r="I3051" s="14" t="s">
        <v>164</v>
      </c>
      <c r="J3051" s="14">
        <v>34.064255</v>
      </c>
      <c r="K3051" s="14">
        <v>31.36607962</v>
      </c>
      <c r="L3051" s="14">
        <v>32.498811</v>
      </c>
      <c r="M3051" s="14">
        <v>9.900976006</v>
      </c>
      <c r="N3051" s="14">
        <v>10.15700383</v>
      </c>
      <c r="O3051" s="14">
        <v>13.31351859</v>
      </c>
      <c r="P3051" s="14" t="s">
        <v>14320</v>
      </c>
      <c r="Q3051" s="14" t="s">
        <v>14321</v>
      </c>
      <c r="T3051" s="14" t="s">
        <v>14322</v>
      </c>
      <c r="U3051" s="14" t="s">
        <v>14323</v>
      </c>
    </row>
    <row r="3052" spans="1:15">
      <c r="A3052" s="14" t="s">
        <v>14327</v>
      </c>
      <c r="B3052" s="14">
        <v>3152.187802</v>
      </c>
      <c r="C3052" s="14">
        <v>2020.293729</v>
      </c>
      <c r="D3052" s="14">
        <v>4284.081875</v>
      </c>
      <c r="E3052" s="14">
        <v>2.120444633</v>
      </c>
      <c r="F3052" s="14">
        <v>1.084366814</v>
      </c>
      <c r="G3052" s="51" t="s">
        <v>14328</v>
      </c>
      <c r="H3052" s="51" t="s">
        <v>14329</v>
      </c>
      <c r="I3052" s="14" t="s">
        <v>164</v>
      </c>
      <c r="J3052" s="14">
        <v>58.39993035</v>
      </c>
      <c r="K3052" s="14">
        <v>49.92588095</v>
      </c>
      <c r="L3052" s="14">
        <v>53.15103101</v>
      </c>
      <c r="M3052" s="14">
        <v>19.7077153</v>
      </c>
      <c r="N3052" s="14">
        <v>20.17382278</v>
      </c>
      <c r="O3052" s="14">
        <v>22.94845023</v>
      </c>
    </row>
    <row r="3053" spans="1:21">
      <c r="A3053" s="14" t="s">
        <v>14330</v>
      </c>
      <c r="B3053" s="14">
        <v>366.5336481</v>
      </c>
      <c r="C3053" s="14">
        <v>530.3818074</v>
      </c>
      <c r="D3053" s="14">
        <v>202.6854888</v>
      </c>
      <c r="E3053" s="14">
        <v>0.38210535</v>
      </c>
      <c r="F3053" s="14">
        <v>-1.387957639</v>
      </c>
      <c r="G3053" s="51" t="s">
        <v>14331</v>
      </c>
      <c r="H3053" s="51" t="s">
        <v>14332</v>
      </c>
      <c r="I3053" s="14" t="s">
        <v>147</v>
      </c>
      <c r="J3053" s="14">
        <v>1.344145482</v>
      </c>
      <c r="K3053" s="14">
        <v>1.870433944</v>
      </c>
      <c r="L3053" s="14">
        <v>1.287137536</v>
      </c>
      <c r="M3053" s="14">
        <v>3.230177531</v>
      </c>
      <c r="N3053" s="14">
        <v>3.623506004</v>
      </c>
      <c r="O3053" s="14">
        <v>2.797587463</v>
      </c>
      <c r="P3053" s="14" t="s">
        <v>595</v>
      </c>
      <c r="Q3053" s="14" t="s">
        <v>596</v>
      </c>
      <c r="T3053" s="14" t="s">
        <v>599</v>
      </c>
      <c r="U3053" s="14" t="s">
        <v>600</v>
      </c>
    </row>
    <row r="3054" spans="1:21">
      <c r="A3054" s="14" t="s">
        <v>14333</v>
      </c>
      <c r="B3054" s="14">
        <v>3113.442344</v>
      </c>
      <c r="C3054" s="14">
        <v>1174.797668</v>
      </c>
      <c r="D3054" s="14">
        <v>5052.087021</v>
      </c>
      <c r="E3054" s="14">
        <v>4.301285303</v>
      </c>
      <c r="F3054" s="14">
        <v>2.104767828</v>
      </c>
      <c r="G3054" s="51" t="s">
        <v>14334</v>
      </c>
      <c r="H3054" s="51" t="s">
        <v>14335</v>
      </c>
      <c r="I3054" s="14" t="s">
        <v>164</v>
      </c>
      <c r="J3054" s="14">
        <v>95.23531055</v>
      </c>
      <c r="K3054" s="14">
        <v>75.53344782</v>
      </c>
      <c r="L3054" s="14">
        <v>113.2080416</v>
      </c>
      <c r="M3054" s="14">
        <v>18.7659341</v>
      </c>
      <c r="N3054" s="14">
        <v>20.67990947</v>
      </c>
      <c r="O3054" s="14">
        <v>14.31295115</v>
      </c>
      <c r="P3054" s="14" t="s">
        <v>14336</v>
      </c>
      <c r="Q3054" s="14" t="s">
        <v>14337</v>
      </c>
      <c r="T3054" s="14" t="s">
        <v>14338</v>
      </c>
      <c r="U3054" s="14" t="s">
        <v>14339</v>
      </c>
    </row>
    <row r="3055" spans="1:21">
      <c r="A3055" s="14" t="s">
        <v>14340</v>
      </c>
      <c r="B3055" s="14">
        <v>454.4969415</v>
      </c>
      <c r="C3055" s="14">
        <v>167.1852999</v>
      </c>
      <c r="D3055" s="14">
        <v>741.808583</v>
      </c>
      <c r="E3055" s="14">
        <v>4.438738999</v>
      </c>
      <c r="F3055" s="14">
        <v>2.15014988</v>
      </c>
      <c r="G3055" s="51" t="s">
        <v>14341</v>
      </c>
      <c r="H3055" s="51" t="s">
        <v>14342</v>
      </c>
      <c r="I3055" s="14" t="s">
        <v>164</v>
      </c>
      <c r="J3055" s="14">
        <v>8.475052308</v>
      </c>
      <c r="K3055" s="14">
        <v>10.36207284</v>
      </c>
      <c r="L3055" s="14">
        <v>10.37546819</v>
      </c>
      <c r="M3055" s="14">
        <v>1.690466099</v>
      </c>
      <c r="N3055" s="14">
        <v>1.86720571</v>
      </c>
      <c r="O3055" s="14">
        <v>1.860664157</v>
      </c>
      <c r="P3055" s="14" t="s">
        <v>14343</v>
      </c>
      <c r="Q3055" s="14" t="s">
        <v>14344</v>
      </c>
      <c r="T3055" s="14" t="s">
        <v>14345</v>
      </c>
      <c r="U3055" s="14" t="s">
        <v>14346</v>
      </c>
    </row>
    <row r="3056" spans="1:21">
      <c r="A3056" s="14" t="s">
        <v>14347</v>
      </c>
      <c r="B3056" s="14">
        <v>102.4530814</v>
      </c>
      <c r="C3056" s="14">
        <v>50.07118318</v>
      </c>
      <c r="D3056" s="14">
        <v>154.8349796</v>
      </c>
      <c r="E3056" s="14">
        <v>3.084466283</v>
      </c>
      <c r="F3056" s="14">
        <v>1.625020876</v>
      </c>
      <c r="G3056" s="14">
        <v>0.010085651</v>
      </c>
      <c r="H3056" s="14">
        <v>0.027212314</v>
      </c>
      <c r="I3056" s="14" t="s">
        <v>164</v>
      </c>
      <c r="J3056" s="14">
        <v>0.964964084</v>
      </c>
      <c r="K3056" s="14">
        <v>2.280836194</v>
      </c>
      <c r="L3056" s="14">
        <v>1.837351259</v>
      </c>
      <c r="M3056" s="14">
        <v>0.18553217</v>
      </c>
      <c r="N3056" s="14">
        <v>0.329292768</v>
      </c>
      <c r="O3056" s="14">
        <v>0.88945567</v>
      </c>
      <c r="P3056" s="14" t="s">
        <v>14348</v>
      </c>
      <c r="Q3056" s="14" t="s">
        <v>14349</v>
      </c>
      <c r="T3056" s="14" t="s">
        <v>1510</v>
      </c>
      <c r="U3056" s="14" t="s">
        <v>1511</v>
      </c>
    </row>
    <row r="3057" spans="1:15">
      <c r="A3057" s="14" t="s">
        <v>14350</v>
      </c>
      <c r="B3057" s="14">
        <v>101.4915804</v>
      </c>
      <c r="C3057" s="14">
        <v>58.57342608</v>
      </c>
      <c r="D3057" s="14">
        <v>144.4097347</v>
      </c>
      <c r="E3057" s="14">
        <v>2.460679607</v>
      </c>
      <c r="F3057" s="14">
        <v>1.299056824</v>
      </c>
      <c r="G3057" s="14">
        <v>0.010135652</v>
      </c>
      <c r="H3057" s="14">
        <v>0.027330665</v>
      </c>
      <c r="I3057" s="14" t="s">
        <v>164</v>
      </c>
      <c r="J3057" s="14">
        <v>2.774479167</v>
      </c>
      <c r="K3057" s="14">
        <v>1.332100464</v>
      </c>
      <c r="L3057" s="14">
        <v>2.886346393</v>
      </c>
      <c r="M3057" s="14">
        <v>0.491137174</v>
      </c>
      <c r="N3057" s="14">
        <v>0.588984763</v>
      </c>
      <c r="O3057" s="14">
        <v>1.308083252</v>
      </c>
    </row>
    <row r="3058" spans="1:15">
      <c r="A3058" s="14" t="s">
        <v>14351</v>
      </c>
      <c r="B3058" s="14">
        <v>1766.236203</v>
      </c>
      <c r="C3058" s="14">
        <v>934.5180873</v>
      </c>
      <c r="D3058" s="14">
        <v>2597.954319</v>
      </c>
      <c r="E3058" s="14">
        <v>2.781050781</v>
      </c>
      <c r="F3058" s="14">
        <v>1.475630088</v>
      </c>
      <c r="G3058" s="51" t="s">
        <v>14352</v>
      </c>
      <c r="H3058" s="51" t="s">
        <v>1980</v>
      </c>
      <c r="I3058" s="14" t="s">
        <v>164</v>
      </c>
      <c r="J3058" s="14">
        <v>24.13154158</v>
      </c>
      <c r="K3058" s="14">
        <v>21.44823476</v>
      </c>
      <c r="L3058" s="14">
        <v>21.50267596</v>
      </c>
      <c r="M3058" s="14">
        <v>6.981980875</v>
      </c>
      <c r="N3058" s="14">
        <v>6.943359144</v>
      </c>
      <c r="O3058" s="14">
        <v>5.817458976</v>
      </c>
    </row>
    <row r="3059" spans="1:21">
      <c r="A3059" s="14" t="s">
        <v>14353</v>
      </c>
      <c r="B3059" s="14">
        <v>3535.053404</v>
      </c>
      <c r="C3059" s="14">
        <v>5484.136561</v>
      </c>
      <c r="D3059" s="14">
        <v>1585.970247</v>
      </c>
      <c r="E3059" s="14">
        <v>0.289197109</v>
      </c>
      <c r="F3059" s="14">
        <v>-1.789874964</v>
      </c>
      <c r="G3059" s="51" t="s">
        <v>14354</v>
      </c>
      <c r="H3059" s="51" t="s">
        <v>14355</v>
      </c>
      <c r="I3059" s="14" t="s">
        <v>147</v>
      </c>
      <c r="J3059" s="14">
        <v>12.99109011</v>
      </c>
      <c r="K3059" s="14">
        <v>22.11938151</v>
      </c>
      <c r="L3059" s="14">
        <v>16.14990803</v>
      </c>
      <c r="M3059" s="14">
        <v>55.85890141</v>
      </c>
      <c r="N3059" s="14">
        <v>57.55376656</v>
      </c>
      <c r="O3059" s="14">
        <v>30.31718041</v>
      </c>
      <c r="P3059" s="14" t="s">
        <v>14356</v>
      </c>
      <c r="Q3059" s="14" t="s">
        <v>14357</v>
      </c>
      <c r="R3059" s="14" t="s">
        <v>341</v>
      </c>
      <c r="S3059" s="14" t="s">
        <v>342</v>
      </c>
      <c r="T3059" s="14" t="s">
        <v>14358</v>
      </c>
      <c r="U3059" s="14" t="s">
        <v>14359</v>
      </c>
    </row>
    <row r="3060" spans="1:21">
      <c r="A3060" s="14" t="s">
        <v>14360</v>
      </c>
      <c r="B3060" s="14">
        <v>556.4074449</v>
      </c>
      <c r="C3060" s="14">
        <v>756.2155127</v>
      </c>
      <c r="D3060" s="14">
        <v>356.5993771</v>
      </c>
      <c r="E3060" s="14">
        <v>0.471471895</v>
      </c>
      <c r="F3060" s="14">
        <v>-1.084756321</v>
      </c>
      <c r="G3060" s="51" t="s">
        <v>11065</v>
      </c>
      <c r="H3060" s="51" t="s">
        <v>11066</v>
      </c>
      <c r="I3060" s="14" t="s">
        <v>147</v>
      </c>
      <c r="J3060" s="14">
        <v>7.154907246</v>
      </c>
      <c r="K3060" s="14">
        <v>5.293362411</v>
      </c>
      <c r="L3060" s="14">
        <v>5.349369045</v>
      </c>
      <c r="M3060" s="14">
        <v>9.732657834</v>
      </c>
      <c r="N3060" s="14">
        <v>10.3116598</v>
      </c>
      <c r="O3060" s="14">
        <v>11.08171339</v>
      </c>
      <c r="P3060" s="14" t="s">
        <v>14361</v>
      </c>
      <c r="Q3060" s="14" t="s">
        <v>14362</v>
      </c>
      <c r="T3060" s="14" t="s">
        <v>14363</v>
      </c>
      <c r="U3060" s="14" t="s">
        <v>14364</v>
      </c>
    </row>
    <row r="3061" spans="1:21">
      <c r="A3061" s="14" t="s">
        <v>14365</v>
      </c>
      <c r="B3061" s="14">
        <v>1764.968837</v>
      </c>
      <c r="C3061" s="14">
        <v>1150.737673</v>
      </c>
      <c r="D3061" s="14">
        <v>2379.200001</v>
      </c>
      <c r="E3061" s="14">
        <v>2.068033289</v>
      </c>
      <c r="F3061" s="14">
        <v>1.048259409</v>
      </c>
      <c r="G3061" s="51" t="s">
        <v>13213</v>
      </c>
      <c r="H3061" s="14">
        <v>0.000141115</v>
      </c>
      <c r="I3061" s="14" t="s">
        <v>164</v>
      </c>
      <c r="J3061" s="14">
        <v>19.19264956</v>
      </c>
      <c r="K3061" s="14">
        <v>19.03507585</v>
      </c>
      <c r="L3061" s="14">
        <v>19.64717342</v>
      </c>
      <c r="M3061" s="14">
        <v>8.086890854</v>
      </c>
      <c r="N3061" s="14">
        <v>9.056973392</v>
      </c>
      <c r="O3061" s="14">
        <v>5.633238529</v>
      </c>
      <c r="P3061" s="14" t="s">
        <v>14366</v>
      </c>
      <c r="Q3061" s="14" t="s">
        <v>14367</v>
      </c>
      <c r="T3061" s="14" t="s">
        <v>14368</v>
      </c>
      <c r="U3061" s="14" t="s">
        <v>14369</v>
      </c>
    </row>
    <row r="3062" spans="1:21">
      <c r="A3062" s="14" t="s">
        <v>14370</v>
      </c>
      <c r="B3062" s="14">
        <v>162.6192354</v>
      </c>
      <c r="C3062" s="14">
        <v>70.9877642</v>
      </c>
      <c r="D3062" s="14">
        <v>254.2507067</v>
      </c>
      <c r="E3062" s="14">
        <v>3.5866234</v>
      </c>
      <c r="F3062" s="14">
        <v>1.842626268</v>
      </c>
      <c r="G3062" s="14">
        <v>0.000412287</v>
      </c>
      <c r="H3062" s="14">
        <v>0.001676347</v>
      </c>
      <c r="I3062" s="14" t="s">
        <v>164</v>
      </c>
      <c r="J3062" s="14">
        <v>1.863052175</v>
      </c>
      <c r="K3062" s="14">
        <v>0.766558572</v>
      </c>
      <c r="L3062" s="14">
        <v>2.236238157</v>
      </c>
      <c r="M3062" s="14">
        <v>0.414659976</v>
      </c>
      <c r="N3062" s="14">
        <v>0.454648021</v>
      </c>
      <c r="O3062" s="14">
        <v>0.226557713</v>
      </c>
      <c r="P3062" s="14" t="s">
        <v>14371</v>
      </c>
      <c r="Q3062" s="14" t="s">
        <v>14372</v>
      </c>
      <c r="T3062" s="14" t="s">
        <v>14373</v>
      </c>
      <c r="U3062" s="14" t="s">
        <v>14374</v>
      </c>
    </row>
    <row r="3063" spans="1:21">
      <c r="A3063" s="14" t="s">
        <v>14375</v>
      </c>
      <c r="B3063" s="14">
        <v>1430.116508</v>
      </c>
      <c r="C3063" s="14">
        <v>414.3023903</v>
      </c>
      <c r="D3063" s="14">
        <v>2445.930625</v>
      </c>
      <c r="E3063" s="14">
        <v>5.900260659</v>
      </c>
      <c r="F3063" s="14">
        <v>2.560778691</v>
      </c>
      <c r="G3063" s="51" t="s">
        <v>8026</v>
      </c>
      <c r="H3063" s="51" t="s">
        <v>8027</v>
      </c>
      <c r="I3063" s="14" t="s">
        <v>164</v>
      </c>
      <c r="J3063" s="14">
        <v>15.22654321</v>
      </c>
      <c r="K3063" s="14">
        <v>20.98375831</v>
      </c>
      <c r="L3063" s="14">
        <v>18.63983969</v>
      </c>
      <c r="M3063" s="14">
        <v>1.641141618</v>
      </c>
      <c r="N3063" s="14">
        <v>1.769010963</v>
      </c>
      <c r="O3063" s="14">
        <v>4.451227001</v>
      </c>
      <c r="P3063" s="14" t="s">
        <v>14376</v>
      </c>
      <c r="Q3063" s="14" t="s">
        <v>14377</v>
      </c>
      <c r="R3063" s="14" t="s">
        <v>180</v>
      </c>
      <c r="S3063" s="14" t="s">
        <v>181</v>
      </c>
      <c r="T3063" s="14" t="s">
        <v>14378</v>
      </c>
      <c r="U3063" s="14" t="s">
        <v>14379</v>
      </c>
    </row>
    <row r="3064" spans="1:15">
      <c r="A3064" s="14" t="s">
        <v>14380</v>
      </c>
      <c r="B3064" s="14">
        <v>1418.053872</v>
      </c>
      <c r="C3064" s="14">
        <v>884.3112085</v>
      </c>
      <c r="D3064" s="14">
        <v>1951.796535</v>
      </c>
      <c r="E3064" s="14">
        <v>2.207496389</v>
      </c>
      <c r="F3064" s="14">
        <v>1.142411078</v>
      </c>
      <c r="G3064" s="14">
        <v>0.008942709</v>
      </c>
      <c r="H3064" s="14">
        <v>0.024541129</v>
      </c>
      <c r="I3064" s="14" t="s">
        <v>164</v>
      </c>
      <c r="J3064" s="14">
        <v>24.47709273</v>
      </c>
      <c r="K3064" s="14">
        <v>36.95538742</v>
      </c>
      <c r="L3064" s="14">
        <v>23.41543691</v>
      </c>
      <c r="M3064" s="14">
        <v>12.4276707</v>
      </c>
      <c r="N3064" s="14">
        <v>13.48111172</v>
      </c>
      <c r="O3064" s="14">
        <v>5.128459924</v>
      </c>
    </row>
    <row r="3065" spans="1:21">
      <c r="A3065" s="14" t="s">
        <v>14381</v>
      </c>
      <c r="B3065" s="14">
        <v>2622.483403</v>
      </c>
      <c r="C3065" s="14">
        <v>1710.600549</v>
      </c>
      <c r="D3065" s="14">
        <v>3534.366257</v>
      </c>
      <c r="E3065" s="14">
        <v>2.06615282</v>
      </c>
      <c r="F3065" s="14">
        <v>1.046946965</v>
      </c>
      <c r="G3065" s="51" t="s">
        <v>9811</v>
      </c>
      <c r="H3065" s="51" t="s">
        <v>14382</v>
      </c>
      <c r="I3065" s="14" t="s">
        <v>164</v>
      </c>
      <c r="J3065" s="14">
        <v>33.05917291</v>
      </c>
      <c r="K3065" s="14">
        <v>39.40244589</v>
      </c>
      <c r="L3065" s="14">
        <v>39.34135395</v>
      </c>
      <c r="M3065" s="14">
        <v>13.52617602</v>
      </c>
      <c r="N3065" s="14">
        <v>15.2995487</v>
      </c>
      <c r="O3065" s="14">
        <v>15.76865663</v>
      </c>
      <c r="P3065" s="14" t="s">
        <v>14383</v>
      </c>
      <c r="Q3065" s="14" t="s">
        <v>14384</v>
      </c>
      <c r="R3065" s="14" t="s">
        <v>10024</v>
      </c>
      <c r="S3065" s="14" t="s">
        <v>10025</v>
      </c>
      <c r="T3065" s="14" t="s">
        <v>10026</v>
      </c>
      <c r="U3065" s="14" t="s">
        <v>10027</v>
      </c>
    </row>
    <row r="3066" spans="1:21">
      <c r="A3066" s="14" t="s">
        <v>14385</v>
      </c>
      <c r="B3066" s="14">
        <v>237.2236695</v>
      </c>
      <c r="C3066" s="14">
        <v>377.8155699</v>
      </c>
      <c r="D3066" s="14">
        <v>96.63176917</v>
      </c>
      <c r="E3066" s="14">
        <v>0.255806498</v>
      </c>
      <c r="F3066" s="14">
        <v>-1.966875183</v>
      </c>
      <c r="G3066" s="14">
        <v>0.000680313</v>
      </c>
      <c r="H3066" s="14">
        <v>0.002610601</v>
      </c>
      <c r="I3066" s="14" t="s">
        <v>147</v>
      </c>
      <c r="J3066" s="14">
        <v>2.470062925</v>
      </c>
      <c r="K3066" s="14">
        <v>1.758526129</v>
      </c>
      <c r="L3066" s="14">
        <v>1.64353975</v>
      </c>
      <c r="M3066" s="14">
        <v>7.285122322</v>
      </c>
      <c r="N3066" s="14">
        <v>9.016740239</v>
      </c>
      <c r="O3066" s="14">
        <v>2.118119899</v>
      </c>
      <c r="P3066" s="14" t="s">
        <v>14386</v>
      </c>
      <c r="Q3066" s="14" t="s">
        <v>14387</v>
      </c>
      <c r="T3066" s="14" t="s">
        <v>14388</v>
      </c>
      <c r="U3066" s="14" t="s">
        <v>14389</v>
      </c>
    </row>
    <row r="3067" spans="1:21">
      <c r="A3067" s="14" t="s">
        <v>14390</v>
      </c>
      <c r="B3067" s="14">
        <v>573.2682336</v>
      </c>
      <c r="C3067" s="14">
        <v>322.3644097</v>
      </c>
      <c r="D3067" s="14">
        <v>824.1720575</v>
      </c>
      <c r="E3067" s="14">
        <v>2.554877544</v>
      </c>
      <c r="F3067" s="14">
        <v>1.353254144</v>
      </c>
      <c r="G3067" s="51" t="s">
        <v>4678</v>
      </c>
      <c r="H3067" s="51" t="s">
        <v>14391</v>
      </c>
      <c r="I3067" s="14" t="s">
        <v>164</v>
      </c>
      <c r="J3067" s="14">
        <v>12.48752987</v>
      </c>
      <c r="K3067" s="14">
        <v>8.516543696</v>
      </c>
      <c r="L3067" s="14">
        <v>9.924250436</v>
      </c>
      <c r="M3067" s="14">
        <v>2.63926769</v>
      </c>
      <c r="N3067" s="14">
        <v>2.460881494</v>
      </c>
      <c r="O3067" s="14">
        <v>5.039986426</v>
      </c>
      <c r="P3067" s="14" t="s">
        <v>14392</v>
      </c>
      <c r="Q3067" s="14" t="s">
        <v>14393</v>
      </c>
      <c r="T3067" s="14" t="s">
        <v>1429</v>
      </c>
      <c r="U3067" s="14" t="s">
        <v>1430</v>
      </c>
    </row>
    <row r="3068" spans="1:21">
      <c r="A3068" s="14" t="s">
        <v>14394</v>
      </c>
      <c r="B3068" s="14">
        <v>60.26642034</v>
      </c>
      <c r="C3068" s="14">
        <v>12.29559361</v>
      </c>
      <c r="D3068" s="14">
        <v>108.2372471</v>
      </c>
      <c r="E3068" s="14">
        <v>8.749263475</v>
      </c>
      <c r="F3068" s="14">
        <v>3.129161574</v>
      </c>
      <c r="G3068" s="14">
        <v>0.002558413</v>
      </c>
      <c r="H3068" s="14">
        <v>0.008286001</v>
      </c>
      <c r="I3068" s="14" t="s">
        <v>164</v>
      </c>
      <c r="J3068" s="14">
        <v>3.684957706</v>
      </c>
      <c r="K3068" s="14">
        <v>1.77829726</v>
      </c>
      <c r="L3068" s="14">
        <v>2.819006141</v>
      </c>
      <c r="M3068" s="14">
        <v>0.086378912</v>
      </c>
      <c r="N3068" s="14">
        <v>0.020717578</v>
      </c>
      <c r="O3068" s="14">
        <v>0.718349276</v>
      </c>
      <c r="P3068" s="14" t="s">
        <v>14395</v>
      </c>
      <c r="Q3068" s="14" t="s">
        <v>14396</v>
      </c>
      <c r="T3068" s="14" t="s">
        <v>934</v>
      </c>
      <c r="U3068" s="14" t="s">
        <v>935</v>
      </c>
    </row>
    <row r="3069" spans="1:21">
      <c r="A3069" s="14" t="s">
        <v>14397</v>
      </c>
      <c r="B3069" s="14">
        <v>11010.88969</v>
      </c>
      <c r="C3069" s="14">
        <v>18499.37458</v>
      </c>
      <c r="D3069" s="14">
        <v>3522.404806</v>
      </c>
      <c r="E3069" s="14">
        <v>0.190407717</v>
      </c>
      <c r="F3069" s="14">
        <v>-2.392836141</v>
      </c>
      <c r="G3069" s="51" t="s">
        <v>10344</v>
      </c>
      <c r="H3069" s="51" t="s">
        <v>14398</v>
      </c>
      <c r="I3069" s="14" t="s">
        <v>147</v>
      </c>
      <c r="J3069" s="14">
        <v>52.69161888</v>
      </c>
      <c r="K3069" s="14">
        <v>87.55409769</v>
      </c>
      <c r="L3069" s="14">
        <v>67.94006202</v>
      </c>
      <c r="M3069" s="14">
        <v>342.9992457</v>
      </c>
      <c r="N3069" s="14">
        <v>367.9581102</v>
      </c>
      <c r="O3069" s="14">
        <v>174.012943</v>
      </c>
      <c r="P3069" s="14" t="s">
        <v>14399</v>
      </c>
      <c r="Q3069" s="14" t="s">
        <v>14400</v>
      </c>
      <c r="T3069" s="14" t="s">
        <v>14401</v>
      </c>
      <c r="U3069" s="14" t="s">
        <v>14402</v>
      </c>
    </row>
    <row r="3070" spans="1:21">
      <c r="A3070" s="14" t="s">
        <v>14403</v>
      </c>
      <c r="B3070" s="14">
        <v>331.2384867</v>
      </c>
      <c r="C3070" s="14">
        <v>483.578777</v>
      </c>
      <c r="D3070" s="14">
        <v>178.8981964</v>
      </c>
      <c r="E3070" s="14">
        <v>0.37002975</v>
      </c>
      <c r="F3070" s="14">
        <v>-1.43428683</v>
      </c>
      <c r="G3070" s="14">
        <v>0.002188423</v>
      </c>
      <c r="H3070" s="14">
        <v>0.007249837</v>
      </c>
      <c r="I3070" s="14" t="s">
        <v>147</v>
      </c>
      <c r="J3070" s="14">
        <v>4.72643141</v>
      </c>
      <c r="K3070" s="14">
        <v>5.173232698</v>
      </c>
      <c r="L3070" s="14">
        <v>4.078350049</v>
      </c>
      <c r="M3070" s="14">
        <v>13.21452449</v>
      </c>
      <c r="N3070" s="14">
        <v>12.57176603</v>
      </c>
      <c r="O3070" s="14">
        <v>4.626719099</v>
      </c>
      <c r="P3070" s="14" t="s">
        <v>14404</v>
      </c>
      <c r="Q3070" s="14" t="s">
        <v>14405</v>
      </c>
      <c r="T3070" s="14" t="s">
        <v>14406</v>
      </c>
      <c r="U3070" s="14" t="s">
        <v>14407</v>
      </c>
    </row>
    <row r="3071" spans="1:21">
      <c r="A3071" s="14" t="s">
        <v>14408</v>
      </c>
      <c r="B3071" s="14">
        <v>11.42578468</v>
      </c>
      <c r="C3071" s="14">
        <v>2.019945931</v>
      </c>
      <c r="D3071" s="14">
        <v>20.83162342</v>
      </c>
      <c r="E3071" s="14">
        <v>10.34475742</v>
      </c>
      <c r="F3071" s="14">
        <v>3.370827909</v>
      </c>
      <c r="G3071" s="14">
        <v>0.000144251</v>
      </c>
      <c r="H3071" s="14">
        <v>0.000656331</v>
      </c>
      <c r="I3071" s="14" t="s">
        <v>164</v>
      </c>
      <c r="J3071" s="14">
        <v>0.621985312</v>
      </c>
      <c r="K3071" s="14">
        <v>0.301429938</v>
      </c>
      <c r="L3071" s="14">
        <v>0.532336184</v>
      </c>
      <c r="M3071" s="14">
        <v>0.039419803</v>
      </c>
      <c r="N3071" s="14">
        <v>0.037818621</v>
      </c>
      <c r="O3071" s="14">
        <v>0.038567674</v>
      </c>
      <c r="P3071" s="14" t="s">
        <v>14409</v>
      </c>
      <c r="Q3071" s="14" t="s">
        <v>14410</v>
      </c>
      <c r="T3071" s="14" t="s">
        <v>11838</v>
      </c>
      <c r="U3071" s="14" t="s">
        <v>11839</v>
      </c>
    </row>
    <row r="3072" spans="1:21">
      <c r="A3072" s="14" t="s">
        <v>14411</v>
      </c>
      <c r="B3072" s="14">
        <v>13.24072623</v>
      </c>
      <c r="C3072" s="14">
        <v>4.296173309</v>
      </c>
      <c r="D3072" s="14">
        <v>22.18527916</v>
      </c>
      <c r="E3072" s="14">
        <v>5.123995287</v>
      </c>
      <c r="F3072" s="14">
        <v>2.357269149</v>
      </c>
      <c r="G3072" s="14">
        <v>0.000445296</v>
      </c>
      <c r="H3072" s="14">
        <v>0.001795396</v>
      </c>
      <c r="I3072" s="14" t="s">
        <v>164</v>
      </c>
      <c r="J3072" s="14">
        <v>0.170856357</v>
      </c>
      <c r="K3072" s="14">
        <v>0.197767831</v>
      </c>
      <c r="L3072" s="14">
        <v>0.205636184</v>
      </c>
      <c r="M3072" s="14">
        <v>0.021927569</v>
      </c>
      <c r="N3072" s="14">
        <v>0.028049199</v>
      </c>
      <c r="O3072" s="14">
        <v>0.042907132</v>
      </c>
      <c r="P3072" s="14" t="s">
        <v>14412</v>
      </c>
      <c r="Q3072" s="14" t="s">
        <v>14413</v>
      </c>
      <c r="T3072" s="14" t="s">
        <v>14414</v>
      </c>
      <c r="U3072" s="14" t="s">
        <v>14415</v>
      </c>
    </row>
    <row r="3073" spans="1:21">
      <c r="A3073" s="14" t="s">
        <v>14416</v>
      </c>
      <c r="B3073" s="14">
        <v>695.5006607</v>
      </c>
      <c r="C3073" s="14">
        <v>301.0076335</v>
      </c>
      <c r="D3073" s="14">
        <v>1089.993688</v>
      </c>
      <c r="E3073" s="14">
        <v>3.623705669</v>
      </c>
      <c r="F3073" s="14">
        <v>1.857465779</v>
      </c>
      <c r="G3073" s="51" t="s">
        <v>14417</v>
      </c>
      <c r="H3073" s="51" t="s">
        <v>14418</v>
      </c>
      <c r="I3073" s="14" t="s">
        <v>164</v>
      </c>
      <c r="J3073" s="14">
        <v>19.01378417</v>
      </c>
      <c r="K3073" s="14">
        <v>13.99383809</v>
      </c>
      <c r="L3073" s="14">
        <v>18.32236842</v>
      </c>
      <c r="M3073" s="14">
        <v>4.08031417</v>
      </c>
      <c r="N3073" s="14">
        <v>4.666889884</v>
      </c>
      <c r="O3073" s="14">
        <v>2.769770817</v>
      </c>
      <c r="P3073" s="14" t="s">
        <v>14419</v>
      </c>
      <c r="Q3073" s="14" t="s">
        <v>14420</v>
      </c>
      <c r="T3073" s="14" t="s">
        <v>14421</v>
      </c>
      <c r="U3073" s="14" t="s">
        <v>14422</v>
      </c>
    </row>
    <row r="3074" spans="1:21">
      <c r="A3074" s="14" t="s">
        <v>14423</v>
      </c>
      <c r="B3074" s="14">
        <v>1027.855337</v>
      </c>
      <c r="C3074" s="14">
        <v>1653.541491</v>
      </c>
      <c r="D3074" s="14">
        <v>402.1691826</v>
      </c>
      <c r="E3074" s="14">
        <v>0.243224214</v>
      </c>
      <c r="F3074" s="14">
        <v>-2.039641231</v>
      </c>
      <c r="G3074" s="51" t="s">
        <v>9891</v>
      </c>
      <c r="H3074" s="51" t="s">
        <v>9892</v>
      </c>
      <c r="I3074" s="14" t="s">
        <v>147</v>
      </c>
      <c r="J3074" s="14">
        <v>8.090257621</v>
      </c>
      <c r="K3074" s="14">
        <v>13.27677057</v>
      </c>
      <c r="L3074" s="14">
        <v>9.192813661</v>
      </c>
      <c r="M3074" s="14">
        <v>40.28507274</v>
      </c>
      <c r="N3074" s="14">
        <v>43.18595057</v>
      </c>
      <c r="O3074" s="14">
        <v>18.06661264</v>
      </c>
      <c r="P3074" s="14" t="s">
        <v>14424</v>
      </c>
      <c r="Q3074" s="14" t="s">
        <v>14425</v>
      </c>
      <c r="T3074" s="14" t="s">
        <v>14426</v>
      </c>
      <c r="U3074" s="14" t="s">
        <v>14427</v>
      </c>
    </row>
    <row r="3075" spans="1:21">
      <c r="A3075" s="14" t="s">
        <v>14428</v>
      </c>
      <c r="B3075" s="14">
        <v>91.8284478</v>
      </c>
      <c r="C3075" s="14">
        <v>47.97470823</v>
      </c>
      <c r="D3075" s="14">
        <v>135.6821874</v>
      </c>
      <c r="E3075" s="14">
        <v>2.818178408</v>
      </c>
      <c r="F3075" s="14">
        <v>1.494762946</v>
      </c>
      <c r="G3075" s="51" t="s">
        <v>12836</v>
      </c>
      <c r="H3075" s="51" t="s">
        <v>14429</v>
      </c>
      <c r="I3075" s="14" t="s">
        <v>164</v>
      </c>
      <c r="J3075" s="14">
        <v>1.467018752</v>
      </c>
      <c r="K3075" s="14">
        <v>1.857283664</v>
      </c>
      <c r="L3075" s="14">
        <v>1.379412285</v>
      </c>
      <c r="M3075" s="14">
        <v>0.353017538</v>
      </c>
      <c r="N3075" s="14">
        <v>0.395124821</v>
      </c>
      <c r="O3075" s="14">
        <v>0.642802545</v>
      </c>
      <c r="P3075" s="14" t="s">
        <v>14430</v>
      </c>
      <c r="Q3075" s="14" t="s">
        <v>14431</v>
      </c>
      <c r="T3075" s="14" t="s">
        <v>14432</v>
      </c>
      <c r="U3075" s="14" t="s">
        <v>14433</v>
      </c>
    </row>
    <row r="3076" spans="1:21">
      <c r="A3076" s="14" t="s">
        <v>14434</v>
      </c>
      <c r="B3076" s="14">
        <v>6330.248888</v>
      </c>
      <c r="C3076" s="14">
        <v>3941.982864</v>
      </c>
      <c r="D3076" s="14">
        <v>8718.514912</v>
      </c>
      <c r="E3076" s="14">
        <v>2.211779658</v>
      </c>
      <c r="F3076" s="14">
        <v>1.145207669</v>
      </c>
      <c r="G3076" s="51" t="s">
        <v>14435</v>
      </c>
      <c r="H3076" s="51" t="s">
        <v>14436</v>
      </c>
      <c r="I3076" s="14" t="s">
        <v>164</v>
      </c>
      <c r="J3076" s="14">
        <v>82.04687538</v>
      </c>
      <c r="K3076" s="14">
        <v>56.71692526</v>
      </c>
      <c r="L3076" s="14">
        <v>96.16091759</v>
      </c>
      <c r="M3076" s="14">
        <v>26.80969571</v>
      </c>
      <c r="N3076" s="14">
        <v>31.97238534</v>
      </c>
      <c r="O3076" s="14">
        <v>28.29587463</v>
      </c>
      <c r="P3076" s="14" t="s">
        <v>14437</v>
      </c>
      <c r="Q3076" s="14" t="s">
        <v>14438</v>
      </c>
      <c r="T3076" s="14" t="s">
        <v>14439</v>
      </c>
      <c r="U3076" s="14" t="s">
        <v>14440</v>
      </c>
    </row>
    <row r="3077" spans="1:21">
      <c r="A3077" s="14" t="s">
        <v>14441</v>
      </c>
      <c r="B3077" s="14">
        <v>170.6999016</v>
      </c>
      <c r="C3077" s="14">
        <v>248.9447456</v>
      </c>
      <c r="D3077" s="14">
        <v>92.45505756</v>
      </c>
      <c r="E3077" s="14">
        <v>0.371287686</v>
      </c>
      <c r="F3077" s="14">
        <v>-1.429390628</v>
      </c>
      <c r="G3077" s="14">
        <v>0.008602078</v>
      </c>
      <c r="H3077" s="14">
        <v>0.023734326</v>
      </c>
      <c r="I3077" s="14" t="s">
        <v>147</v>
      </c>
      <c r="J3077" s="14">
        <v>0.489681301</v>
      </c>
      <c r="K3077" s="14">
        <v>0.693110891</v>
      </c>
      <c r="L3077" s="14">
        <v>0.965079793</v>
      </c>
      <c r="M3077" s="14">
        <v>0.995050724</v>
      </c>
      <c r="N3077" s="14">
        <v>0.872986791</v>
      </c>
      <c r="O3077" s="14">
        <v>3.042315466</v>
      </c>
      <c r="P3077" s="14" t="s">
        <v>14442</v>
      </c>
      <c r="Q3077" s="14" t="s">
        <v>14443</v>
      </c>
      <c r="T3077" s="14" t="s">
        <v>14444</v>
      </c>
      <c r="U3077" s="14" t="s">
        <v>14445</v>
      </c>
    </row>
    <row r="3078" spans="1:21">
      <c r="A3078" s="14" t="s">
        <v>14446</v>
      </c>
      <c r="B3078" s="14">
        <v>14147.05753</v>
      </c>
      <c r="C3078" s="14">
        <v>20997.58664</v>
      </c>
      <c r="D3078" s="14">
        <v>7296.528422</v>
      </c>
      <c r="E3078" s="14">
        <v>0.347495989</v>
      </c>
      <c r="F3078" s="14">
        <v>-1.524931767</v>
      </c>
      <c r="G3078" s="51" t="s">
        <v>14307</v>
      </c>
      <c r="H3078" s="51" t="s">
        <v>14447</v>
      </c>
      <c r="I3078" s="14" t="s">
        <v>147</v>
      </c>
      <c r="J3078" s="14">
        <v>32.88883118</v>
      </c>
      <c r="K3078" s="14">
        <v>46.91909629</v>
      </c>
      <c r="L3078" s="14">
        <v>35.48895772</v>
      </c>
      <c r="M3078" s="14">
        <v>107.4324205</v>
      </c>
      <c r="N3078" s="14">
        <v>107.008593</v>
      </c>
      <c r="O3078" s="14">
        <v>54.26235166</v>
      </c>
      <c r="P3078" s="14" t="s">
        <v>14448</v>
      </c>
      <c r="Q3078" s="14" t="s">
        <v>14449</v>
      </c>
      <c r="R3078" s="14" t="s">
        <v>9480</v>
      </c>
      <c r="S3078" s="14" t="s">
        <v>9481</v>
      </c>
      <c r="T3078" s="14" t="s">
        <v>14450</v>
      </c>
      <c r="U3078" s="14" t="s">
        <v>14451</v>
      </c>
    </row>
    <row r="3079" spans="1:15">
      <c r="A3079" s="14" t="s">
        <v>14452</v>
      </c>
      <c r="B3079" s="14">
        <v>1626.118261</v>
      </c>
      <c r="C3079" s="14">
        <v>2287.998126</v>
      </c>
      <c r="D3079" s="14">
        <v>964.2383953</v>
      </c>
      <c r="E3079" s="14">
        <v>0.421430118</v>
      </c>
      <c r="F3079" s="14">
        <v>-1.246634674</v>
      </c>
      <c r="G3079" s="51" t="s">
        <v>14453</v>
      </c>
      <c r="H3079" s="51" t="s">
        <v>904</v>
      </c>
      <c r="I3079" s="14" t="s">
        <v>147</v>
      </c>
      <c r="J3079" s="14">
        <v>11.70293626</v>
      </c>
      <c r="K3079" s="14">
        <v>16.77134918</v>
      </c>
      <c r="L3079" s="14">
        <v>13.85132623</v>
      </c>
      <c r="M3079" s="14">
        <v>27.39608217</v>
      </c>
      <c r="N3079" s="14">
        <v>27.46175106</v>
      </c>
      <c r="O3079" s="14">
        <v>27.76288277</v>
      </c>
    </row>
    <row r="3080" spans="1:21">
      <c r="A3080" s="14" t="s">
        <v>14454</v>
      </c>
      <c r="B3080" s="14">
        <v>1131.586693</v>
      </c>
      <c r="C3080" s="14">
        <v>1617.479447</v>
      </c>
      <c r="D3080" s="14">
        <v>645.6939395</v>
      </c>
      <c r="E3080" s="14">
        <v>0.399308458</v>
      </c>
      <c r="F3080" s="14">
        <v>-1.324424463</v>
      </c>
      <c r="G3080" s="51" t="s">
        <v>13583</v>
      </c>
      <c r="H3080" s="51" t="s">
        <v>14455</v>
      </c>
      <c r="I3080" s="14" t="s">
        <v>147</v>
      </c>
      <c r="J3080" s="14">
        <v>7.312273241</v>
      </c>
      <c r="K3080" s="14">
        <v>7.842443004</v>
      </c>
      <c r="L3080" s="14">
        <v>8.898394735</v>
      </c>
      <c r="M3080" s="14">
        <v>17.88577839</v>
      </c>
      <c r="N3080" s="14">
        <v>17.77463439</v>
      </c>
      <c r="O3080" s="14">
        <v>13.46642082</v>
      </c>
      <c r="P3080" s="14" t="s">
        <v>14456</v>
      </c>
      <c r="Q3080" s="14" t="s">
        <v>14457</v>
      </c>
      <c r="T3080" s="14" t="s">
        <v>14458</v>
      </c>
      <c r="U3080" s="14" t="s">
        <v>14459</v>
      </c>
    </row>
    <row r="3081" spans="1:21">
      <c r="A3081" s="14" t="s">
        <v>14460</v>
      </c>
      <c r="B3081" s="14">
        <v>3877.084515</v>
      </c>
      <c r="C3081" s="14">
        <v>5660.291338</v>
      </c>
      <c r="D3081" s="14">
        <v>2093.877692</v>
      </c>
      <c r="E3081" s="14">
        <v>0.369933127</v>
      </c>
      <c r="F3081" s="14">
        <v>-1.434663596</v>
      </c>
      <c r="G3081" s="51" t="s">
        <v>8568</v>
      </c>
      <c r="H3081" s="51" t="s">
        <v>14461</v>
      </c>
      <c r="I3081" s="14" t="s">
        <v>147</v>
      </c>
      <c r="J3081" s="14">
        <v>24.06023353</v>
      </c>
      <c r="K3081" s="14">
        <v>30.79241527</v>
      </c>
      <c r="L3081" s="14">
        <v>24.12664686</v>
      </c>
      <c r="M3081" s="14">
        <v>67.09053589</v>
      </c>
      <c r="N3081" s="14">
        <v>64.23237559</v>
      </c>
      <c r="O3081" s="14">
        <v>42.41049273</v>
      </c>
      <c r="P3081" s="14" t="s">
        <v>14462</v>
      </c>
      <c r="Q3081" s="14" t="s">
        <v>14463</v>
      </c>
      <c r="T3081" s="14" t="s">
        <v>14464</v>
      </c>
      <c r="U3081" s="14" t="s">
        <v>14465</v>
      </c>
    </row>
    <row r="3082" spans="1:15">
      <c r="A3082" s="14" t="s">
        <v>14466</v>
      </c>
      <c r="B3082" s="14">
        <v>1116.869136</v>
      </c>
      <c r="C3082" s="14">
        <v>1824.371717</v>
      </c>
      <c r="D3082" s="14">
        <v>409.366555</v>
      </c>
      <c r="E3082" s="14">
        <v>0.22443353</v>
      </c>
      <c r="F3082" s="14">
        <v>-2.155639864</v>
      </c>
      <c r="G3082" s="51" t="s">
        <v>14467</v>
      </c>
      <c r="H3082" s="51" t="s">
        <v>14468</v>
      </c>
      <c r="I3082" s="14" t="s">
        <v>147</v>
      </c>
      <c r="J3082" s="14">
        <v>12.70631039</v>
      </c>
      <c r="K3082" s="14">
        <v>16.09685359</v>
      </c>
      <c r="L3082" s="14">
        <v>16.48813139</v>
      </c>
      <c r="M3082" s="14">
        <v>52.54535054</v>
      </c>
      <c r="N3082" s="14">
        <v>56.40520236</v>
      </c>
      <c r="O3082" s="14">
        <v>57.12505183</v>
      </c>
    </row>
    <row r="3083" spans="1:21">
      <c r="A3083" s="14" t="s">
        <v>14469</v>
      </c>
      <c r="B3083" s="14">
        <v>1579.181507</v>
      </c>
      <c r="C3083" s="14">
        <v>950.2127469</v>
      </c>
      <c r="D3083" s="14">
        <v>2208.150267</v>
      </c>
      <c r="E3083" s="14">
        <v>2.323164618</v>
      </c>
      <c r="F3083" s="14">
        <v>1.216091386</v>
      </c>
      <c r="G3083" s="51" t="s">
        <v>13055</v>
      </c>
      <c r="H3083" s="51" t="s">
        <v>14470</v>
      </c>
      <c r="I3083" s="14" t="s">
        <v>164</v>
      </c>
      <c r="J3083" s="14">
        <v>92.13391293</v>
      </c>
      <c r="K3083" s="14">
        <v>76.39990305</v>
      </c>
      <c r="L3083" s="14">
        <v>87.56856703</v>
      </c>
      <c r="M3083" s="14">
        <v>27.24801302</v>
      </c>
      <c r="N3083" s="14">
        <v>27.96357925</v>
      </c>
      <c r="O3083" s="14">
        <v>36.01528258</v>
      </c>
      <c r="P3083" s="14" t="s">
        <v>14471</v>
      </c>
      <c r="Q3083" s="14" t="s">
        <v>14472</v>
      </c>
      <c r="T3083" s="14" t="s">
        <v>14473</v>
      </c>
      <c r="U3083" s="14" t="s">
        <v>14474</v>
      </c>
    </row>
    <row r="3084" spans="1:21">
      <c r="A3084" s="14" t="s">
        <v>14475</v>
      </c>
      <c r="B3084" s="14">
        <v>385.3444665</v>
      </c>
      <c r="C3084" s="14">
        <v>40.3170638</v>
      </c>
      <c r="D3084" s="14">
        <v>730.3718692</v>
      </c>
      <c r="E3084" s="14">
        <v>18.09896212</v>
      </c>
      <c r="F3084" s="14">
        <v>4.177835063</v>
      </c>
      <c r="G3084" s="14">
        <v>0.014478896</v>
      </c>
      <c r="H3084" s="14">
        <v>0.037019172</v>
      </c>
      <c r="I3084" s="14" t="s">
        <v>164</v>
      </c>
      <c r="J3084" s="14">
        <v>23.11753003</v>
      </c>
      <c r="K3084" s="14">
        <v>6.843671907</v>
      </c>
      <c r="L3084" s="14">
        <v>22.0781028</v>
      </c>
      <c r="M3084" s="14">
        <v>0.040120155</v>
      </c>
      <c r="N3084" s="14">
        <v>0.019245263</v>
      </c>
      <c r="O3084" s="14">
        <v>2.492558306</v>
      </c>
      <c r="P3084" s="14" t="s">
        <v>14476</v>
      </c>
      <c r="Q3084" s="14" t="s">
        <v>14477</v>
      </c>
      <c r="R3084" s="14" t="s">
        <v>556</v>
      </c>
      <c r="S3084" s="14" t="s">
        <v>557</v>
      </c>
      <c r="T3084" s="14" t="s">
        <v>14478</v>
      </c>
      <c r="U3084" s="14" t="s">
        <v>14479</v>
      </c>
    </row>
    <row r="3085" spans="1:21">
      <c r="A3085" s="14" t="s">
        <v>14480</v>
      </c>
      <c r="B3085" s="14">
        <v>785.4749772</v>
      </c>
      <c r="C3085" s="14">
        <v>434.2698629</v>
      </c>
      <c r="D3085" s="14">
        <v>1136.680091</v>
      </c>
      <c r="E3085" s="14">
        <v>2.616632682</v>
      </c>
      <c r="F3085" s="14">
        <v>1.387711416</v>
      </c>
      <c r="G3085" s="51" t="s">
        <v>14481</v>
      </c>
      <c r="H3085" s="51" t="s">
        <v>14482</v>
      </c>
      <c r="I3085" s="14" t="s">
        <v>164</v>
      </c>
      <c r="J3085" s="14">
        <v>12.6854829</v>
      </c>
      <c r="K3085" s="14">
        <v>13.34534718</v>
      </c>
      <c r="L3085" s="14">
        <v>16.00766185</v>
      </c>
      <c r="M3085" s="14">
        <v>3.683973151</v>
      </c>
      <c r="N3085" s="14">
        <v>4.625673413</v>
      </c>
      <c r="O3085" s="14">
        <v>4.952135202</v>
      </c>
      <c r="P3085" s="14" t="s">
        <v>14483</v>
      </c>
      <c r="Q3085" s="14" t="s">
        <v>14484</v>
      </c>
      <c r="T3085" s="14" t="s">
        <v>14485</v>
      </c>
      <c r="U3085" s="14" t="s">
        <v>14486</v>
      </c>
    </row>
    <row r="3086" spans="1:21">
      <c r="A3086" s="14" t="s">
        <v>14487</v>
      </c>
      <c r="B3086" s="14">
        <v>32.94244633</v>
      </c>
      <c r="C3086" s="14">
        <v>7.686052066</v>
      </c>
      <c r="D3086" s="14">
        <v>58.1988406</v>
      </c>
      <c r="E3086" s="14">
        <v>7.562611192</v>
      </c>
      <c r="F3086" s="14">
        <v>2.918884449</v>
      </c>
      <c r="G3086" s="51" t="s">
        <v>7108</v>
      </c>
      <c r="H3086" s="51" t="s">
        <v>14488</v>
      </c>
      <c r="I3086" s="14" t="s">
        <v>164</v>
      </c>
      <c r="J3086" s="14">
        <v>0.753160994</v>
      </c>
      <c r="K3086" s="14">
        <v>1.016515072</v>
      </c>
      <c r="L3086" s="14">
        <v>1.25258474</v>
      </c>
      <c r="M3086" s="14">
        <v>0.043936401</v>
      </c>
      <c r="N3086" s="14">
        <v>0.196708219</v>
      </c>
      <c r="O3086" s="14">
        <v>0.085973277</v>
      </c>
      <c r="P3086" s="14" t="s">
        <v>256</v>
      </c>
      <c r="Q3086" s="14" t="s">
        <v>257</v>
      </c>
      <c r="T3086" s="14" t="s">
        <v>258</v>
      </c>
      <c r="U3086" s="14" t="s">
        <v>259</v>
      </c>
    </row>
    <row r="3087" spans="1:21">
      <c r="A3087" s="14" t="s">
        <v>14489</v>
      </c>
      <c r="B3087" s="14">
        <v>2620.571178</v>
      </c>
      <c r="C3087" s="14">
        <v>737.6635453</v>
      </c>
      <c r="D3087" s="14">
        <v>4503.47881</v>
      </c>
      <c r="E3087" s="14">
        <v>6.103607655</v>
      </c>
      <c r="F3087" s="14">
        <v>2.609662227</v>
      </c>
      <c r="G3087" s="51" t="s">
        <v>8483</v>
      </c>
      <c r="H3087" s="51" t="s">
        <v>14490</v>
      </c>
      <c r="I3087" s="14" t="s">
        <v>164</v>
      </c>
      <c r="J3087" s="14">
        <v>116.6920065</v>
      </c>
      <c r="K3087" s="14">
        <v>62.15289862</v>
      </c>
      <c r="L3087" s="14">
        <v>85.059001</v>
      </c>
      <c r="M3087" s="14">
        <v>5.377584566</v>
      </c>
      <c r="N3087" s="14">
        <v>6.079864523</v>
      </c>
      <c r="O3087" s="14">
        <v>25.67533237</v>
      </c>
      <c r="P3087" s="14" t="s">
        <v>10615</v>
      </c>
      <c r="Q3087" s="14" t="s">
        <v>10616</v>
      </c>
      <c r="T3087" s="14" t="s">
        <v>10617</v>
      </c>
      <c r="U3087" s="14" t="s">
        <v>10618</v>
      </c>
    </row>
    <row r="3088" spans="1:15">
      <c r="A3088" s="14" t="s">
        <v>14491</v>
      </c>
      <c r="B3088" s="14">
        <v>82.26610928</v>
      </c>
      <c r="C3088" s="14">
        <v>20.82697067</v>
      </c>
      <c r="D3088" s="14">
        <v>143.7052479</v>
      </c>
      <c r="E3088" s="14">
        <v>6.859741469</v>
      </c>
      <c r="F3088" s="14">
        <v>2.778154205</v>
      </c>
      <c r="G3088" s="51" t="s">
        <v>14492</v>
      </c>
      <c r="H3088" s="51" t="s">
        <v>14493</v>
      </c>
      <c r="I3088" s="14" t="s">
        <v>164</v>
      </c>
      <c r="J3088" s="14">
        <v>10.80207167</v>
      </c>
      <c r="K3088" s="14">
        <v>7.723300704</v>
      </c>
      <c r="L3088" s="14">
        <v>13.98724057</v>
      </c>
      <c r="M3088" s="14">
        <v>0.828610611</v>
      </c>
      <c r="N3088" s="14">
        <v>0.733803239</v>
      </c>
      <c r="O3088" s="14">
        <v>2.432096198</v>
      </c>
    </row>
    <row r="3089" spans="1:15">
      <c r="A3089" s="14" t="s">
        <v>14494</v>
      </c>
      <c r="B3089" s="14">
        <v>473.2802353</v>
      </c>
      <c r="C3089" s="14">
        <v>668.9508429</v>
      </c>
      <c r="D3089" s="14">
        <v>277.6096277</v>
      </c>
      <c r="E3089" s="14">
        <v>0.414962167</v>
      </c>
      <c r="F3089" s="14">
        <v>-1.268948287</v>
      </c>
      <c r="G3089" s="14">
        <v>0.014984747</v>
      </c>
      <c r="H3089" s="14">
        <v>0.038077504</v>
      </c>
      <c r="I3089" s="14" t="s">
        <v>147</v>
      </c>
      <c r="J3089" s="14">
        <v>24.98360024</v>
      </c>
      <c r="K3089" s="14">
        <v>102.4888138</v>
      </c>
      <c r="L3089" s="14">
        <v>48.51518406</v>
      </c>
      <c r="M3089" s="14">
        <v>109.9328707</v>
      </c>
      <c r="N3089" s="14">
        <v>142.002045</v>
      </c>
      <c r="O3089" s="14">
        <v>95.60575823</v>
      </c>
    </row>
    <row r="3090" spans="1:15">
      <c r="A3090" s="14" t="s">
        <v>14495</v>
      </c>
      <c r="B3090" s="14">
        <v>407.4595972</v>
      </c>
      <c r="C3090" s="14">
        <v>716.8640695</v>
      </c>
      <c r="D3090" s="14">
        <v>98.05512489</v>
      </c>
      <c r="E3090" s="14">
        <v>0.136785599</v>
      </c>
      <c r="F3090" s="14">
        <v>-2.870011746</v>
      </c>
      <c r="G3090" s="51" t="s">
        <v>9493</v>
      </c>
      <c r="H3090" s="51" t="s">
        <v>14496</v>
      </c>
      <c r="I3090" s="14" t="s">
        <v>147</v>
      </c>
      <c r="J3090" s="14">
        <v>4.118690186</v>
      </c>
      <c r="K3090" s="14">
        <v>8.113501475</v>
      </c>
      <c r="L3090" s="14">
        <v>5.212034636</v>
      </c>
      <c r="M3090" s="14">
        <v>46.71723676</v>
      </c>
      <c r="N3090" s="14">
        <v>46.79982061</v>
      </c>
      <c r="O3090" s="14">
        <v>8.373115768</v>
      </c>
    </row>
    <row r="3091" spans="1:15">
      <c r="A3091" s="14" t="s">
        <v>14497</v>
      </c>
      <c r="B3091" s="14">
        <v>8.630289168</v>
      </c>
      <c r="C3091" s="14">
        <v>16.27992844</v>
      </c>
      <c r="D3091" s="14">
        <v>0.980649893</v>
      </c>
      <c r="E3091" s="14">
        <v>0.060384458</v>
      </c>
      <c r="F3091" s="14">
        <v>-4.04967893</v>
      </c>
      <c r="G3091" s="14">
        <v>0.001110259</v>
      </c>
      <c r="H3091" s="14">
        <v>0.004023309</v>
      </c>
      <c r="I3091" s="14" t="s">
        <v>147</v>
      </c>
      <c r="J3091" s="14">
        <v>0.098272699</v>
      </c>
      <c r="K3091" s="14">
        <v>0.098914407</v>
      </c>
      <c r="L3091" s="14">
        <v>0.094621813</v>
      </c>
      <c r="M3091" s="14">
        <v>1.933876811</v>
      </c>
      <c r="N3091" s="14">
        <v>1.451993644</v>
      </c>
      <c r="O3091" s="14">
        <v>0.493584171</v>
      </c>
    </row>
    <row r="3092" spans="1:21">
      <c r="A3092" s="14" t="s">
        <v>14498</v>
      </c>
      <c r="B3092" s="14">
        <v>6237.723818</v>
      </c>
      <c r="C3092" s="14">
        <v>8864.067239</v>
      </c>
      <c r="D3092" s="14">
        <v>3611.380396</v>
      </c>
      <c r="E3092" s="14">
        <v>0.407425895</v>
      </c>
      <c r="F3092" s="14">
        <v>-1.295390417</v>
      </c>
      <c r="G3092" s="51" t="s">
        <v>14499</v>
      </c>
      <c r="H3092" s="51" t="s">
        <v>14500</v>
      </c>
      <c r="I3092" s="14" t="s">
        <v>147</v>
      </c>
      <c r="J3092" s="14">
        <v>31.95112369</v>
      </c>
      <c r="K3092" s="14">
        <v>37.8539297</v>
      </c>
      <c r="L3092" s="14">
        <v>32.92665824</v>
      </c>
      <c r="M3092" s="14">
        <v>73.59338309</v>
      </c>
      <c r="N3092" s="14">
        <v>68.2822701</v>
      </c>
      <c r="O3092" s="14">
        <v>64.9226374</v>
      </c>
      <c r="P3092" s="14" t="s">
        <v>14501</v>
      </c>
      <c r="Q3092" s="14" t="s">
        <v>14502</v>
      </c>
      <c r="T3092" s="14" t="s">
        <v>14503</v>
      </c>
      <c r="U3092" s="14" t="s">
        <v>14504</v>
      </c>
    </row>
    <row r="3093" spans="1:17">
      <c r="A3093" s="14" t="s">
        <v>14505</v>
      </c>
      <c r="B3093" s="14">
        <v>3516.435878</v>
      </c>
      <c r="C3093" s="14">
        <v>4864.946416</v>
      </c>
      <c r="D3093" s="14">
        <v>2167.92534</v>
      </c>
      <c r="E3093" s="14">
        <v>0.445638688</v>
      </c>
      <c r="F3093" s="14">
        <v>-1.166053609</v>
      </c>
      <c r="G3093" s="51" t="s">
        <v>14506</v>
      </c>
      <c r="H3093" s="51" t="s">
        <v>14507</v>
      </c>
      <c r="I3093" s="14" t="s">
        <v>147</v>
      </c>
      <c r="J3093" s="14">
        <v>11.2180418</v>
      </c>
      <c r="K3093" s="14">
        <v>13.48544186</v>
      </c>
      <c r="L3093" s="14">
        <v>11.32469553</v>
      </c>
      <c r="M3093" s="14">
        <v>24.57545082</v>
      </c>
      <c r="N3093" s="14">
        <v>25.3440547</v>
      </c>
      <c r="O3093" s="14">
        <v>15.84867772</v>
      </c>
      <c r="P3093" s="14" t="s">
        <v>14508</v>
      </c>
      <c r="Q3093" s="14" t="s">
        <v>14509</v>
      </c>
    </row>
    <row r="3094" spans="1:21">
      <c r="A3094" s="14" t="s">
        <v>14510</v>
      </c>
      <c r="B3094" s="14">
        <v>5451.229278</v>
      </c>
      <c r="C3094" s="14">
        <v>7390.67433</v>
      </c>
      <c r="D3094" s="14">
        <v>3511.784226</v>
      </c>
      <c r="E3094" s="14">
        <v>0.475132555</v>
      </c>
      <c r="F3094" s="14">
        <v>-1.073598033</v>
      </c>
      <c r="G3094" s="51" t="s">
        <v>14189</v>
      </c>
      <c r="H3094" s="51" t="s">
        <v>14190</v>
      </c>
      <c r="I3094" s="14" t="s">
        <v>147</v>
      </c>
      <c r="J3094" s="14">
        <v>25.15488338</v>
      </c>
      <c r="K3094" s="14">
        <v>21.57981527</v>
      </c>
      <c r="L3094" s="14">
        <v>19.74001926</v>
      </c>
      <c r="M3094" s="14">
        <v>33.66952907</v>
      </c>
      <c r="N3094" s="14">
        <v>33.02064895</v>
      </c>
      <c r="O3094" s="14">
        <v>49.68479978</v>
      </c>
      <c r="P3094" s="14" t="s">
        <v>14511</v>
      </c>
      <c r="Q3094" s="14" t="s">
        <v>14512</v>
      </c>
      <c r="T3094" s="14" t="s">
        <v>14513</v>
      </c>
      <c r="U3094" s="14" t="s">
        <v>14514</v>
      </c>
    </row>
    <row r="3095" spans="1:21">
      <c r="A3095" s="14" t="s">
        <v>14515</v>
      </c>
      <c r="B3095" s="14">
        <v>1932.779178</v>
      </c>
      <c r="C3095" s="14">
        <v>2673.010879</v>
      </c>
      <c r="D3095" s="14">
        <v>1192.547477</v>
      </c>
      <c r="E3095" s="14">
        <v>0.446175179</v>
      </c>
      <c r="F3095" s="14">
        <v>-1.164317838</v>
      </c>
      <c r="G3095" s="14">
        <v>0.000128167</v>
      </c>
      <c r="H3095" s="14">
        <v>0.000591767</v>
      </c>
      <c r="I3095" s="14" t="s">
        <v>147</v>
      </c>
      <c r="J3095" s="14">
        <v>19.78712071</v>
      </c>
      <c r="K3095" s="14">
        <v>25.25302366</v>
      </c>
      <c r="L3095" s="14">
        <v>20.71863104</v>
      </c>
      <c r="M3095" s="14">
        <v>47.60909179</v>
      </c>
      <c r="N3095" s="14">
        <v>45.03216842</v>
      </c>
      <c r="O3095" s="14">
        <v>26.9962309</v>
      </c>
      <c r="P3095" s="14" t="s">
        <v>14516</v>
      </c>
      <c r="Q3095" s="14" t="s">
        <v>14517</v>
      </c>
      <c r="T3095" s="14" t="s">
        <v>4022</v>
      </c>
      <c r="U3095" s="14" t="s">
        <v>4023</v>
      </c>
    </row>
    <row r="3096" spans="1:21">
      <c r="A3096" s="14" t="s">
        <v>14518</v>
      </c>
      <c r="B3096" s="14">
        <v>1016.078713</v>
      </c>
      <c r="C3096" s="14">
        <v>499.9706995</v>
      </c>
      <c r="D3096" s="14">
        <v>1532.186727</v>
      </c>
      <c r="E3096" s="14">
        <v>3.067156126</v>
      </c>
      <c r="F3096" s="14">
        <v>1.616901605</v>
      </c>
      <c r="G3096" s="51" t="s">
        <v>14519</v>
      </c>
      <c r="H3096" s="51" t="s">
        <v>14520</v>
      </c>
      <c r="I3096" s="14" t="s">
        <v>164</v>
      </c>
      <c r="J3096" s="14">
        <v>11.07049753</v>
      </c>
      <c r="K3096" s="14">
        <v>11.08375181</v>
      </c>
      <c r="L3096" s="14">
        <v>11.88044448</v>
      </c>
      <c r="M3096" s="14">
        <v>3.431196613</v>
      </c>
      <c r="N3096" s="14">
        <v>2.930748017</v>
      </c>
      <c r="O3096" s="14">
        <v>2.718760853</v>
      </c>
      <c r="P3096" s="14" t="s">
        <v>1775</v>
      </c>
      <c r="Q3096" s="14" t="s">
        <v>1776</v>
      </c>
      <c r="T3096" s="14" t="s">
        <v>1777</v>
      </c>
      <c r="U3096" s="14" t="s">
        <v>1778</v>
      </c>
    </row>
    <row r="3097" spans="1:15">
      <c r="A3097" s="14" t="s">
        <v>14521</v>
      </c>
      <c r="B3097" s="14">
        <v>19.07657311</v>
      </c>
      <c r="C3097" s="14">
        <v>28.67373956</v>
      </c>
      <c r="D3097" s="14">
        <v>9.479406653</v>
      </c>
      <c r="E3097" s="14">
        <v>0.331361416</v>
      </c>
      <c r="F3097" s="14">
        <v>-1.593522469</v>
      </c>
      <c r="G3097" s="14">
        <v>0.010311375</v>
      </c>
      <c r="H3097" s="14">
        <v>0.027728942</v>
      </c>
      <c r="I3097" s="14" t="s">
        <v>147</v>
      </c>
      <c r="J3097" s="14">
        <v>0.830349097</v>
      </c>
      <c r="K3097" s="14">
        <v>1.149185356</v>
      </c>
      <c r="L3097" s="14">
        <v>0.999376451</v>
      </c>
      <c r="M3097" s="14">
        <v>3.552211436</v>
      </c>
      <c r="N3097" s="14">
        <v>1.703962578</v>
      </c>
      <c r="O3097" s="14">
        <v>2.085254476</v>
      </c>
    </row>
    <row r="3098" spans="1:21">
      <c r="A3098" s="14" t="s">
        <v>14522</v>
      </c>
      <c r="B3098" s="14">
        <v>21.6256453</v>
      </c>
      <c r="C3098" s="14">
        <v>2.736747756</v>
      </c>
      <c r="D3098" s="14">
        <v>40.51454285</v>
      </c>
      <c r="E3098" s="14">
        <v>14.90262036</v>
      </c>
      <c r="F3098" s="14">
        <v>3.89749412</v>
      </c>
      <c r="G3098" s="14">
        <v>0.001025863</v>
      </c>
      <c r="H3098" s="14">
        <v>0.003755385</v>
      </c>
      <c r="I3098" s="14" t="s">
        <v>164</v>
      </c>
      <c r="J3098" s="14">
        <v>1.567517249</v>
      </c>
      <c r="K3098" s="14">
        <v>0.222503619</v>
      </c>
      <c r="L3098" s="14">
        <v>0.677242417</v>
      </c>
      <c r="M3098" s="14">
        <v>0.08597176</v>
      </c>
      <c r="N3098" s="14">
        <v>0</v>
      </c>
      <c r="O3098" s="14">
        <v>0.050467997</v>
      </c>
      <c r="P3098" s="14" t="s">
        <v>14523</v>
      </c>
      <c r="Q3098" s="14" t="s">
        <v>14524</v>
      </c>
      <c r="R3098" s="14" t="s">
        <v>5747</v>
      </c>
      <c r="S3098" s="14" t="s">
        <v>5748</v>
      </c>
      <c r="T3098" s="14" t="s">
        <v>14525</v>
      </c>
      <c r="U3098" s="14" t="s">
        <v>14526</v>
      </c>
    </row>
    <row r="3099" spans="1:21">
      <c r="A3099" s="14" t="s">
        <v>14527</v>
      </c>
      <c r="B3099" s="14">
        <v>21.74588867</v>
      </c>
      <c r="C3099" s="14">
        <v>7.748958013</v>
      </c>
      <c r="D3099" s="14">
        <v>35.74281933</v>
      </c>
      <c r="E3099" s="14">
        <v>4.569614915</v>
      </c>
      <c r="F3099" s="14">
        <v>2.192072593</v>
      </c>
      <c r="G3099" s="14">
        <v>0.005228819</v>
      </c>
      <c r="H3099" s="14">
        <v>0.015395198</v>
      </c>
      <c r="I3099" s="14" t="s">
        <v>164</v>
      </c>
      <c r="J3099" s="14">
        <v>0.490060143</v>
      </c>
      <c r="K3099" s="14">
        <v>1.011183353</v>
      </c>
      <c r="L3099" s="14">
        <v>1.156042626</v>
      </c>
      <c r="M3099" s="14">
        <v>0.083858572</v>
      </c>
      <c r="N3099" s="14">
        <v>0.080452345</v>
      </c>
      <c r="O3099" s="14">
        <v>0.328183286</v>
      </c>
      <c r="P3099" s="14" t="s">
        <v>14528</v>
      </c>
      <c r="Q3099" s="14" t="s">
        <v>3376</v>
      </c>
      <c r="T3099" s="14" t="s">
        <v>8763</v>
      </c>
      <c r="U3099" s="14" t="s">
        <v>8764</v>
      </c>
    </row>
    <row r="3100" spans="1:21">
      <c r="A3100" s="14" t="s">
        <v>14529</v>
      </c>
      <c r="B3100" s="14">
        <v>44.62798165</v>
      </c>
      <c r="C3100" s="14">
        <v>19.12193274</v>
      </c>
      <c r="D3100" s="14">
        <v>70.13403056</v>
      </c>
      <c r="E3100" s="14">
        <v>3.65702099</v>
      </c>
      <c r="F3100" s="14">
        <v>1.870668907</v>
      </c>
      <c r="G3100" s="14">
        <v>0.002340072</v>
      </c>
      <c r="H3100" s="14">
        <v>0.007676558</v>
      </c>
      <c r="I3100" s="14" t="s">
        <v>164</v>
      </c>
      <c r="J3100" s="14">
        <v>3.045971466</v>
      </c>
      <c r="K3100" s="14">
        <v>0.903334122</v>
      </c>
      <c r="L3100" s="14">
        <v>1.833007445</v>
      </c>
      <c r="M3100" s="14">
        <v>0.302495728</v>
      </c>
      <c r="N3100" s="14">
        <v>0.379503736</v>
      </c>
      <c r="O3100" s="14">
        <v>0.637445308</v>
      </c>
      <c r="Q3100" s="14" t="s">
        <v>14530</v>
      </c>
      <c r="T3100" s="14" t="s">
        <v>2445</v>
      </c>
      <c r="U3100" s="14" t="s">
        <v>2446</v>
      </c>
    </row>
    <row r="3101" spans="1:21">
      <c r="A3101" s="14" t="s">
        <v>14531</v>
      </c>
      <c r="B3101" s="14">
        <v>1019.280062</v>
      </c>
      <c r="C3101" s="14">
        <v>1766.631473</v>
      </c>
      <c r="D3101" s="14">
        <v>271.9286514</v>
      </c>
      <c r="E3101" s="14">
        <v>0.153923854</v>
      </c>
      <c r="F3101" s="14">
        <v>-2.699711271</v>
      </c>
      <c r="G3101" s="14">
        <v>0.000546237</v>
      </c>
      <c r="H3101" s="14">
        <v>0.002145203</v>
      </c>
      <c r="I3101" s="14" t="s">
        <v>147</v>
      </c>
      <c r="J3101" s="14">
        <v>3.34207073</v>
      </c>
      <c r="K3101" s="14">
        <v>7.975074576</v>
      </c>
      <c r="L3101" s="14">
        <v>4.103740332</v>
      </c>
      <c r="M3101" s="14">
        <v>36.3376068</v>
      </c>
      <c r="N3101" s="14">
        <v>39.8550613</v>
      </c>
      <c r="O3101" s="14">
        <v>3.630652673</v>
      </c>
      <c r="P3101" s="14" t="s">
        <v>14532</v>
      </c>
      <c r="Q3101" s="14" t="s">
        <v>14533</v>
      </c>
      <c r="R3101" s="14" t="s">
        <v>907</v>
      </c>
      <c r="S3101" s="14" t="s">
        <v>908</v>
      </c>
      <c r="T3101" s="14" t="s">
        <v>2960</v>
      </c>
      <c r="U3101" s="14" t="s">
        <v>2961</v>
      </c>
    </row>
    <row r="3102" spans="1:21">
      <c r="A3102" s="14" t="s">
        <v>14534</v>
      </c>
      <c r="B3102" s="14">
        <v>3937.817779</v>
      </c>
      <c r="C3102" s="14">
        <v>5793.904359</v>
      </c>
      <c r="D3102" s="14">
        <v>2081.731198</v>
      </c>
      <c r="E3102" s="14">
        <v>0.35930841</v>
      </c>
      <c r="F3102" s="14">
        <v>-1.476705392</v>
      </c>
      <c r="G3102" s="14">
        <v>0.000297625</v>
      </c>
      <c r="H3102" s="14">
        <v>0.001253034</v>
      </c>
      <c r="I3102" s="14" t="s">
        <v>147</v>
      </c>
      <c r="J3102" s="14">
        <v>23.56656361</v>
      </c>
      <c r="K3102" s="14">
        <v>31.18725858</v>
      </c>
      <c r="L3102" s="14">
        <v>28.76240776</v>
      </c>
      <c r="M3102" s="14">
        <v>76.68676036</v>
      </c>
      <c r="N3102" s="14">
        <v>79.71551529</v>
      </c>
      <c r="O3102" s="14">
        <v>30.86104358</v>
      </c>
      <c r="P3102" s="14" t="s">
        <v>14535</v>
      </c>
      <c r="Q3102" s="14" t="s">
        <v>14536</v>
      </c>
      <c r="T3102" s="14" t="s">
        <v>8130</v>
      </c>
      <c r="U3102" s="14" t="s">
        <v>8131</v>
      </c>
    </row>
    <row r="3103" spans="1:21">
      <c r="A3103" s="14" t="s">
        <v>14537</v>
      </c>
      <c r="B3103" s="14">
        <v>138.2081774</v>
      </c>
      <c r="C3103" s="14">
        <v>201.5543949</v>
      </c>
      <c r="D3103" s="14">
        <v>74.86195998</v>
      </c>
      <c r="E3103" s="14">
        <v>0.371216476</v>
      </c>
      <c r="F3103" s="14">
        <v>-1.42966735</v>
      </c>
      <c r="G3103" s="14">
        <v>0.003496614</v>
      </c>
      <c r="H3103" s="14">
        <v>0.010871913</v>
      </c>
      <c r="I3103" s="14" t="s">
        <v>147</v>
      </c>
      <c r="J3103" s="14">
        <v>1.161999874</v>
      </c>
      <c r="K3103" s="14">
        <v>1.057435348</v>
      </c>
      <c r="L3103" s="14">
        <v>1.394707043</v>
      </c>
      <c r="M3103" s="14">
        <v>1.83859077</v>
      </c>
      <c r="N3103" s="14">
        <v>1.489523635</v>
      </c>
      <c r="O3103" s="14">
        <v>4.9168468</v>
      </c>
      <c r="P3103" s="14" t="s">
        <v>226</v>
      </c>
      <c r="Q3103" s="14" t="s">
        <v>227</v>
      </c>
      <c r="T3103" s="14" t="s">
        <v>228</v>
      </c>
      <c r="U3103" s="14" t="s">
        <v>229</v>
      </c>
    </row>
    <row r="3104" spans="1:21">
      <c r="A3104" s="14" t="s">
        <v>14538</v>
      </c>
      <c r="B3104" s="14">
        <v>767.9325164</v>
      </c>
      <c r="C3104" s="14">
        <v>1025.950545</v>
      </c>
      <c r="D3104" s="14">
        <v>509.9144875</v>
      </c>
      <c r="E3104" s="14">
        <v>0.497125661</v>
      </c>
      <c r="F3104" s="14">
        <v>-1.008317521</v>
      </c>
      <c r="G3104" s="14">
        <v>0.002060758</v>
      </c>
      <c r="H3104" s="14">
        <v>0.006885816</v>
      </c>
      <c r="I3104" s="14" t="s">
        <v>147</v>
      </c>
      <c r="J3104" s="14">
        <v>6.109546099</v>
      </c>
      <c r="K3104" s="14">
        <v>9.773510988</v>
      </c>
      <c r="L3104" s="14">
        <v>9.286621946</v>
      </c>
      <c r="M3104" s="14">
        <v>15.94673543</v>
      </c>
      <c r="N3104" s="14">
        <v>15.45947847</v>
      </c>
      <c r="O3104" s="14">
        <v>9.710347267</v>
      </c>
      <c r="P3104" s="14" t="s">
        <v>6910</v>
      </c>
      <c r="Q3104" s="14" t="s">
        <v>14539</v>
      </c>
      <c r="T3104" s="14" t="s">
        <v>14540</v>
      </c>
      <c r="U3104" s="14" t="s">
        <v>14541</v>
      </c>
    </row>
    <row r="3105" spans="1:21">
      <c r="A3105" s="14" t="s">
        <v>14542</v>
      </c>
      <c r="B3105" s="14">
        <v>42.70004633</v>
      </c>
      <c r="C3105" s="14">
        <v>19.89465986</v>
      </c>
      <c r="D3105" s="14">
        <v>65.50543281</v>
      </c>
      <c r="E3105" s="14">
        <v>3.283726914</v>
      </c>
      <c r="F3105" s="14">
        <v>1.715334153</v>
      </c>
      <c r="G3105" s="14">
        <v>0.002088699</v>
      </c>
      <c r="H3105" s="14">
        <v>0.0069622</v>
      </c>
      <c r="I3105" s="14" t="s">
        <v>164</v>
      </c>
      <c r="J3105" s="14">
        <v>3.464112638</v>
      </c>
      <c r="K3105" s="14">
        <v>2.816207296</v>
      </c>
      <c r="L3105" s="14">
        <v>2.522945068</v>
      </c>
      <c r="M3105" s="14">
        <v>0.303987325</v>
      </c>
      <c r="N3105" s="14">
        <v>1.130104027</v>
      </c>
      <c r="O3105" s="14">
        <v>0.780717271</v>
      </c>
      <c r="P3105" s="14" t="s">
        <v>14543</v>
      </c>
      <c r="Q3105" s="14" t="s">
        <v>14544</v>
      </c>
      <c r="T3105" s="14" t="s">
        <v>2960</v>
      </c>
      <c r="U3105" s="14" t="s">
        <v>2961</v>
      </c>
    </row>
    <row r="3106" spans="1:21">
      <c r="A3106" s="14" t="s">
        <v>14545</v>
      </c>
      <c r="B3106" s="14">
        <v>748.3133986</v>
      </c>
      <c r="C3106" s="14">
        <v>1249.958508</v>
      </c>
      <c r="D3106" s="14">
        <v>246.6682897</v>
      </c>
      <c r="E3106" s="14">
        <v>0.197298121</v>
      </c>
      <c r="F3106" s="14">
        <v>-2.341550877</v>
      </c>
      <c r="G3106" s="51" t="s">
        <v>14546</v>
      </c>
      <c r="H3106" s="51" t="s">
        <v>14547</v>
      </c>
      <c r="I3106" s="14" t="s">
        <v>147</v>
      </c>
      <c r="J3106" s="14">
        <v>3.242893886</v>
      </c>
      <c r="K3106" s="14">
        <v>1.970383454</v>
      </c>
      <c r="L3106" s="14">
        <v>2.170461677</v>
      </c>
      <c r="M3106" s="14">
        <v>7.748585937</v>
      </c>
      <c r="N3106" s="14">
        <v>6.92256834</v>
      </c>
      <c r="O3106" s="14">
        <v>16.85053746</v>
      </c>
      <c r="P3106" s="14" t="s">
        <v>14548</v>
      </c>
      <c r="Q3106" s="14" t="s">
        <v>14549</v>
      </c>
      <c r="R3106" s="14" t="s">
        <v>14550</v>
      </c>
      <c r="S3106" s="14" t="s">
        <v>14551</v>
      </c>
      <c r="T3106" s="14" t="s">
        <v>14552</v>
      </c>
      <c r="U3106" s="14" t="s">
        <v>14553</v>
      </c>
    </row>
    <row r="3107" spans="1:21">
      <c r="A3107" s="14" t="s">
        <v>14554</v>
      </c>
      <c r="B3107" s="14">
        <v>3596.61677</v>
      </c>
      <c r="C3107" s="14">
        <v>4966.322797</v>
      </c>
      <c r="D3107" s="14">
        <v>2226.910742</v>
      </c>
      <c r="E3107" s="14">
        <v>0.448412363</v>
      </c>
      <c r="F3107" s="14">
        <v>-1.157102041</v>
      </c>
      <c r="G3107" s="51" t="s">
        <v>14555</v>
      </c>
      <c r="H3107" s="51" t="s">
        <v>14556</v>
      </c>
      <c r="I3107" s="14" t="s">
        <v>147</v>
      </c>
      <c r="J3107" s="14">
        <v>10.75864159</v>
      </c>
      <c r="K3107" s="14">
        <v>13.18750916</v>
      </c>
      <c r="L3107" s="14">
        <v>10.76061553</v>
      </c>
      <c r="M3107" s="14">
        <v>22.7195641</v>
      </c>
      <c r="N3107" s="14">
        <v>21.31479538</v>
      </c>
      <c r="O3107" s="14">
        <v>19.40461822</v>
      </c>
      <c r="P3107" s="14" t="s">
        <v>14557</v>
      </c>
      <c r="Q3107" s="14" t="s">
        <v>14558</v>
      </c>
      <c r="T3107" s="14" t="s">
        <v>14226</v>
      </c>
      <c r="U3107" s="14" t="s">
        <v>14227</v>
      </c>
    </row>
    <row r="3108" spans="1:21">
      <c r="A3108" s="14" t="s">
        <v>14559</v>
      </c>
      <c r="B3108" s="14">
        <v>853.3047447</v>
      </c>
      <c r="C3108" s="14">
        <v>1214.252916</v>
      </c>
      <c r="D3108" s="14">
        <v>492.3565735</v>
      </c>
      <c r="E3108" s="14">
        <v>0.405565606</v>
      </c>
      <c r="F3108" s="14">
        <v>-1.301992784</v>
      </c>
      <c r="G3108" s="51" t="s">
        <v>14560</v>
      </c>
      <c r="H3108" s="51" t="s">
        <v>14561</v>
      </c>
      <c r="I3108" s="14" t="s">
        <v>147</v>
      </c>
      <c r="J3108" s="14">
        <v>4.303013611</v>
      </c>
      <c r="K3108" s="14">
        <v>5.054529522</v>
      </c>
      <c r="L3108" s="14">
        <v>4.556570925</v>
      </c>
      <c r="M3108" s="14">
        <v>10.47788712</v>
      </c>
      <c r="N3108" s="14">
        <v>9.056254057</v>
      </c>
      <c r="O3108" s="14">
        <v>8.563660431</v>
      </c>
      <c r="P3108" s="14" t="s">
        <v>14562</v>
      </c>
      <c r="Q3108" s="14" t="s">
        <v>14563</v>
      </c>
      <c r="T3108" s="14" t="s">
        <v>14564</v>
      </c>
      <c r="U3108" s="14" t="s">
        <v>14565</v>
      </c>
    </row>
    <row r="3109" spans="1:21">
      <c r="A3109" s="14" t="s">
        <v>14566</v>
      </c>
      <c r="B3109" s="14">
        <v>189.7819706</v>
      </c>
      <c r="C3109" s="14">
        <v>26.17735555</v>
      </c>
      <c r="D3109" s="14">
        <v>353.3865856</v>
      </c>
      <c r="E3109" s="14">
        <v>13.56019654</v>
      </c>
      <c r="F3109" s="14">
        <v>3.761306184</v>
      </c>
      <c r="G3109" s="51" t="s">
        <v>14567</v>
      </c>
      <c r="H3109" s="51" t="s">
        <v>14568</v>
      </c>
      <c r="I3109" s="14" t="s">
        <v>164</v>
      </c>
      <c r="J3109" s="14">
        <v>3.482044515</v>
      </c>
      <c r="K3109" s="14">
        <v>3.990463187</v>
      </c>
      <c r="L3109" s="14">
        <v>6.529573007</v>
      </c>
      <c r="M3109" s="14">
        <v>0.357059935</v>
      </c>
      <c r="N3109" s="14">
        <v>0.246212569</v>
      </c>
      <c r="O3109" s="14">
        <v>0.240172251</v>
      </c>
      <c r="P3109" s="14" t="s">
        <v>14569</v>
      </c>
      <c r="Q3109" s="14" t="s">
        <v>14570</v>
      </c>
      <c r="T3109" s="14" t="s">
        <v>4551</v>
      </c>
      <c r="U3109" s="14" t="s">
        <v>4552</v>
      </c>
    </row>
    <row r="3110" spans="1:21">
      <c r="A3110" s="14" t="s">
        <v>14571</v>
      </c>
      <c r="B3110" s="14">
        <v>29.45203486</v>
      </c>
      <c r="C3110" s="14">
        <v>6.610461884</v>
      </c>
      <c r="D3110" s="14">
        <v>52.29360783</v>
      </c>
      <c r="E3110" s="14">
        <v>7.826131912</v>
      </c>
      <c r="F3110" s="14">
        <v>2.968299428</v>
      </c>
      <c r="G3110" s="14">
        <v>0.005637432</v>
      </c>
      <c r="H3110" s="14">
        <v>0.01644605</v>
      </c>
      <c r="I3110" s="14" t="s">
        <v>164</v>
      </c>
      <c r="J3110" s="14">
        <v>0.850556287</v>
      </c>
      <c r="K3110" s="14">
        <v>0.536666164</v>
      </c>
      <c r="L3110" s="14">
        <v>0.623385668</v>
      </c>
      <c r="M3110" s="14">
        <v>0</v>
      </c>
      <c r="N3110" s="14">
        <v>0.041681906</v>
      </c>
      <c r="O3110" s="14">
        <v>0.180656781</v>
      </c>
      <c r="P3110" s="14" t="s">
        <v>14572</v>
      </c>
      <c r="Q3110" s="14" t="s">
        <v>14573</v>
      </c>
      <c r="T3110" s="14" t="s">
        <v>14574</v>
      </c>
      <c r="U3110" s="14" t="s">
        <v>14575</v>
      </c>
    </row>
    <row r="3111" spans="1:21">
      <c r="A3111" s="14" t="s">
        <v>14576</v>
      </c>
      <c r="B3111" s="14">
        <v>5252.699221</v>
      </c>
      <c r="C3111" s="14">
        <v>7204.454913</v>
      </c>
      <c r="D3111" s="14">
        <v>3300.943529</v>
      </c>
      <c r="E3111" s="14">
        <v>0.458179094</v>
      </c>
      <c r="F3111" s="14">
        <v>-1.126016464</v>
      </c>
      <c r="G3111" s="51" t="s">
        <v>14577</v>
      </c>
      <c r="H3111" s="51" t="s">
        <v>14578</v>
      </c>
      <c r="I3111" s="14" t="s">
        <v>147</v>
      </c>
      <c r="J3111" s="14">
        <v>46.4430835</v>
      </c>
      <c r="K3111" s="14">
        <v>36.1532807</v>
      </c>
      <c r="L3111" s="14">
        <v>38.75689561</v>
      </c>
      <c r="M3111" s="14">
        <v>71.50692642</v>
      </c>
      <c r="N3111" s="14">
        <v>68.33337761</v>
      </c>
      <c r="O3111" s="14">
        <v>78.50690818</v>
      </c>
      <c r="P3111" s="14" t="s">
        <v>14579</v>
      </c>
      <c r="Q3111" s="14" t="s">
        <v>14580</v>
      </c>
      <c r="R3111" s="14" t="s">
        <v>5283</v>
      </c>
      <c r="S3111" s="14" t="s">
        <v>5284</v>
      </c>
      <c r="T3111" s="14" t="s">
        <v>14581</v>
      </c>
      <c r="U3111" s="14" t="s">
        <v>14582</v>
      </c>
    </row>
    <row r="3112" spans="1:21">
      <c r="A3112" s="14" t="s">
        <v>14583</v>
      </c>
      <c r="B3112" s="14">
        <v>463.1852451</v>
      </c>
      <c r="C3112" s="14">
        <v>224.4721081</v>
      </c>
      <c r="D3112" s="14">
        <v>701.8983821</v>
      </c>
      <c r="E3112" s="14">
        <v>3.124972087</v>
      </c>
      <c r="F3112" s="14">
        <v>1.643843303</v>
      </c>
      <c r="G3112" s="14">
        <v>0.019526902</v>
      </c>
      <c r="H3112" s="14">
        <v>0.047628741</v>
      </c>
      <c r="I3112" s="14" t="s">
        <v>164</v>
      </c>
      <c r="J3112" s="14">
        <v>9.109184566</v>
      </c>
      <c r="K3112" s="14">
        <v>5.430091471</v>
      </c>
      <c r="L3112" s="14">
        <v>8.245145224</v>
      </c>
      <c r="M3112" s="14">
        <v>0.787619534</v>
      </c>
      <c r="N3112" s="14">
        <v>0.685336513</v>
      </c>
      <c r="O3112" s="14">
        <v>4.83861192</v>
      </c>
      <c r="P3112" s="14" t="s">
        <v>14584</v>
      </c>
      <c r="Q3112" s="14" t="s">
        <v>14585</v>
      </c>
      <c r="T3112" s="14" t="s">
        <v>14586</v>
      </c>
      <c r="U3112" s="14" t="s">
        <v>14587</v>
      </c>
    </row>
    <row r="3113" spans="1:21">
      <c r="A3113" s="14" t="s">
        <v>14588</v>
      </c>
      <c r="B3113" s="14">
        <v>4253.910311</v>
      </c>
      <c r="C3113" s="14">
        <v>6558.150573</v>
      </c>
      <c r="D3113" s="14">
        <v>1949.670049</v>
      </c>
      <c r="E3113" s="14">
        <v>0.297291894</v>
      </c>
      <c r="F3113" s="14">
        <v>-1.750047968</v>
      </c>
      <c r="G3113" s="51" t="s">
        <v>11325</v>
      </c>
      <c r="H3113" s="14">
        <v>0.000174953</v>
      </c>
      <c r="I3113" s="14" t="s">
        <v>147</v>
      </c>
      <c r="J3113" s="14">
        <v>2.464879077</v>
      </c>
      <c r="K3113" s="14">
        <v>5.892573321</v>
      </c>
      <c r="L3113" s="14">
        <v>3.783016358</v>
      </c>
      <c r="M3113" s="14">
        <v>12.98837684</v>
      </c>
      <c r="N3113" s="14">
        <v>13.24847997</v>
      </c>
      <c r="O3113" s="14">
        <v>6.877830257</v>
      </c>
      <c r="P3113" s="14" t="s">
        <v>14589</v>
      </c>
      <c r="Q3113" s="14" t="s">
        <v>14590</v>
      </c>
      <c r="T3113" s="14" t="s">
        <v>14591</v>
      </c>
      <c r="U3113" s="14" t="s">
        <v>14592</v>
      </c>
    </row>
    <row r="3114" spans="1:21">
      <c r="A3114" s="14" t="s">
        <v>14593</v>
      </c>
      <c r="B3114" s="14">
        <v>340.260561</v>
      </c>
      <c r="C3114" s="14">
        <v>212.3929447</v>
      </c>
      <c r="D3114" s="14">
        <v>468.1281773</v>
      </c>
      <c r="E3114" s="14">
        <v>2.204221056</v>
      </c>
      <c r="F3114" s="14">
        <v>1.140268916</v>
      </c>
      <c r="G3114" s="51" t="s">
        <v>14594</v>
      </c>
      <c r="H3114" s="51" t="s">
        <v>14595</v>
      </c>
      <c r="I3114" s="14" t="s">
        <v>164</v>
      </c>
      <c r="J3114" s="14">
        <v>4.300440002</v>
      </c>
      <c r="K3114" s="14">
        <v>4.186447311</v>
      </c>
      <c r="L3114" s="14">
        <v>4.865521091</v>
      </c>
      <c r="M3114" s="14">
        <v>1.63440927</v>
      </c>
      <c r="N3114" s="14">
        <v>1.475330723</v>
      </c>
      <c r="O3114" s="14">
        <v>1.890536316</v>
      </c>
      <c r="P3114" s="14" t="s">
        <v>14596</v>
      </c>
      <c r="Q3114" s="14" t="s">
        <v>14597</v>
      </c>
      <c r="T3114" s="14" t="s">
        <v>14598</v>
      </c>
      <c r="U3114" s="14" t="s">
        <v>14599</v>
      </c>
    </row>
    <row r="3115" spans="1:21">
      <c r="A3115" s="14" t="s">
        <v>14600</v>
      </c>
      <c r="B3115" s="14">
        <v>12.70442185</v>
      </c>
      <c r="C3115" s="14">
        <v>2.872261581</v>
      </c>
      <c r="D3115" s="14">
        <v>22.53658213</v>
      </c>
      <c r="E3115" s="14">
        <v>8.004647474</v>
      </c>
      <c r="F3115" s="14">
        <v>3.000837868</v>
      </c>
      <c r="G3115" s="14">
        <v>0.012962173</v>
      </c>
      <c r="H3115" s="14">
        <v>0.033663099</v>
      </c>
      <c r="I3115" s="14" t="s">
        <v>164</v>
      </c>
      <c r="J3115" s="14">
        <v>1.336157732</v>
      </c>
      <c r="K3115" s="14">
        <v>0.946398914</v>
      </c>
      <c r="L3115" s="14">
        <v>1.095923354</v>
      </c>
      <c r="M3115" s="14">
        <v>0.296387642</v>
      </c>
      <c r="N3115" s="14">
        <v>0.040621251</v>
      </c>
      <c r="O3115" s="14">
        <v>0</v>
      </c>
      <c r="P3115" s="14" t="s">
        <v>14601</v>
      </c>
      <c r="Q3115" s="14" t="s">
        <v>14602</v>
      </c>
      <c r="T3115" s="14" t="s">
        <v>14603</v>
      </c>
      <c r="U3115" s="14" t="s">
        <v>14604</v>
      </c>
    </row>
    <row r="3116" spans="1:21">
      <c r="A3116" s="14" t="s">
        <v>14605</v>
      </c>
      <c r="B3116" s="14">
        <v>14933.98682</v>
      </c>
      <c r="C3116" s="14">
        <v>22094.50842</v>
      </c>
      <c r="D3116" s="14">
        <v>7773.465213</v>
      </c>
      <c r="E3116" s="14">
        <v>0.35182065</v>
      </c>
      <c r="F3116" s="14">
        <v>-1.50708793</v>
      </c>
      <c r="G3116" s="51" t="s">
        <v>14606</v>
      </c>
      <c r="H3116" s="51" t="s">
        <v>13459</v>
      </c>
      <c r="I3116" s="14" t="s">
        <v>147</v>
      </c>
      <c r="J3116" s="14">
        <v>215.8937055</v>
      </c>
      <c r="K3116" s="14">
        <v>204.9237508</v>
      </c>
      <c r="L3116" s="14">
        <v>195.0731872</v>
      </c>
      <c r="M3116" s="14">
        <v>413.4761532</v>
      </c>
      <c r="N3116" s="14">
        <v>382.9766918</v>
      </c>
      <c r="O3116" s="14">
        <v>663.9052004</v>
      </c>
      <c r="P3116" s="14" t="s">
        <v>14607</v>
      </c>
      <c r="Q3116" s="14" t="s">
        <v>14608</v>
      </c>
      <c r="T3116" s="14" t="s">
        <v>14609</v>
      </c>
      <c r="U3116" s="14" t="s">
        <v>14610</v>
      </c>
    </row>
    <row r="3117" spans="1:21">
      <c r="A3117" s="14" t="s">
        <v>14611</v>
      </c>
      <c r="B3117" s="14">
        <v>972.816704</v>
      </c>
      <c r="C3117" s="14">
        <v>415.6543356</v>
      </c>
      <c r="D3117" s="14">
        <v>1529.979072</v>
      </c>
      <c r="E3117" s="14">
        <v>3.680229564</v>
      </c>
      <c r="F3117" s="14">
        <v>1.879795761</v>
      </c>
      <c r="G3117" s="51" t="s">
        <v>14612</v>
      </c>
      <c r="H3117" s="51" t="s">
        <v>1071</v>
      </c>
      <c r="I3117" s="14" t="s">
        <v>164</v>
      </c>
      <c r="J3117" s="14">
        <v>38.52350649</v>
      </c>
      <c r="K3117" s="14">
        <v>23.14413379</v>
      </c>
      <c r="L3117" s="14">
        <v>37.89779374</v>
      </c>
      <c r="M3117" s="14">
        <v>5.48730061</v>
      </c>
      <c r="N3117" s="14">
        <v>8.680119897</v>
      </c>
      <c r="O3117" s="14">
        <v>8.151779445</v>
      </c>
      <c r="P3117" s="14" t="s">
        <v>14613</v>
      </c>
      <c r="Q3117" s="14" t="s">
        <v>14614</v>
      </c>
      <c r="T3117" s="14" t="s">
        <v>14615</v>
      </c>
      <c r="U3117" s="14" t="s">
        <v>14616</v>
      </c>
    </row>
    <row r="3118" spans="1:21">
      <c r="A3118" s="14" t="s">
        <v>14617</v>
      </c>
      <c r="B3118" s="14">
        <v>82.30848653</v>
      </c>
      <c r="C3118" s="14">
        <v>0.723792487</v>
      </c>
      <c r="D3118" s="14">
        <v>163.8931806</v>
      </c>
      <c r="E3118" s="14">
        <v>243.7093691</v>
      </c>
      <c r="F3118" s="14">
        <v>7.929017904</v>
      </c>
      <c r="G3118" s="51" t="s">
        <v>14618</v>
      </c>
      <c r="H3118" s="51" t="s">
        <v>13077</v>
      </c>
      <c r="I3118" s="14" t="s">
        <v>164</v>
      </c>
      <c r="J3118" s="14">
        <v>3.22941666</v>
      </c>
      <c r="K3118" s="14">
        <v>2.929233553</v>
      </c>
      <c r="L3118" s="14">
        <v>3.163676467</v>
      </c>
      <c r="M3118" s="14">
        <v>0.032128742</v>
      </c>
      <c r="N3118" s="14">
        <v>0</v>
      </c>
      <c r="O3118" s="14">
        <v>0</v>
      </c>
      <c r="P3118" s="14" t="s">
        <v>14619</v>
      </c>
      <c r="Q3118" s="14" t="s">
        <v>14620</v>
      </c>
      <c r="T3118" s="14" t="s">
        <v>14621</v>
      </c>
      <c r="U3118" s="14" t="s">
        <v>14622</v>
      </c>
    </row>
    <row r="3119" spans="1:15">
      <c r="A3119" s="14" t="s">
        <v>14623</v>
      </c>
      <c r="B3119" s="14">
        <v>127.2971405</v>
      </c>
      <c r="C3119" s="14">
        <v>70.32070025</v>
      </c>
      <c r="D3119" s="14">
        <v>184.2735807</v>
      </c>
      <c r="E3119" s="14">
        <v>2.617032423</v>
      </c>
      <c r="F3119" s="14">
        <v>1.387931798</v>
      </c>
      <c r="G3119" s="51" t="s">
        <v>14624</v>
      </c>
      <c r="H3119" s="14">
        <v>0.000138951</v>
      </c>
      <c r="I3119" s="14" t="s">
        <v>164</v>
      </c>
      <c r="J3119" s="14">
        <v>4.193592443</v>
      </c>
      <c r="K3119" s="14">
        <v>7.290776821</v>
      </c>
      <c r="L3119" s="14">
        <v>4.856652288</v>
      </c>
      <c r="M3119" s="14">
        <v>1.430187985</v>
      </c>
      <c r="N3119" s="14">
        <v>1.685029661</v>
      </c>
      <c r="O3119" s="14">
        <v>2.062084981</v>
      </c>
    </row>
    <row r="3120" spans="1:21">
      <c r="A3120" s="14" t="s">
        <v>14625</v>
      </c>
      <c r="B3120" s="14">
        <v>11609.95572</v>
      </c>
      <c r="C3120" s="14">
        <v>15721.16039</v>
      </c>
      <c r="D3120" s="14">
        <v>7498.751052</v>
      </c>
      <c r="E3120" s="14">
        <v>0.476987483</v>
      </c>
      <c r="F3120" s="14">
        <v>-1.067976686</v>
      </c>
      <c r="G3120" s="51" t="s">
        <v>7277</v>
      </c>
      <c r="H3120" s="51" t="s">
        <v>6643</v>
      </c>
      <c r="I3120" s="14" t="s">
        <v>147</v>
      </c>
      <c r="J3120" s="14">
        <v>47.15698835</v>
      </c>
      <c r="K3120" s="14">
        <v>53.43715495</v>
      </c>
      <c r="L3120" s="14">
        <v>43.39481577</v>
      </c>
      <c r="M3120" s="14">
        <v>87.2697699</v>
      </c>
      <c r="N3120" s="14">
        <v>85.66795748</v>
      </c>
      <c r="O3120" s="14">
        <v>74.40823764</v>
      </c>
      <c r="P3120" s="14" t="s">
        <v>14626</v>
      </c>
      <c r="Q3120" s="14" t="s">
        <v>14627</v>
      </c>
      <c r="R3120" s="14" t="s">
        <v>771</v>
      </c>
      <c r="S3120" s="14" t="s">
        <v>772</v>
      </c>
      <c r="T3120" s="14" t="s">
        <v>14628</v>
      </c>
      <c r="U3120" s="14" t="s">
        <v>14629</v>
      </c>
    </row>
    <row r="3121" spans="1:21">
      <c r="A3121" s="14" t="s">
        <v>14630</v>
      </c>
      <c r="B3121" s="14">
        <v>2144.437787</v>
      </c>
      <c r="C3121" s="14">
        <v>2882.159788</v>
      </c>
      <c r="D3121" s="14">
        <v>1406.715786</v>
      </c>
      <c r="E3121" s="14">
        <v>0.488109675</v>
      </c>
      <c r="F3121" s="14">
        <v>-1.034722748</v>
      </c>
      <c r="G3121" s="51" t="s">
        <v>14631</v>
      </c>
      <c r="H3121" s="51" t="s">
        <v>14632</v>
      </c>
      <c r="I3121" s="14" t="s">
        <v>147</v>
      </c>
      <c r="J3121" s="14">
        <v>12.80800746</v>
      </c>
      <c r="K3121" s="14">
        <v>14.66947178</v>
      </c>
      <c r="L3121" s="14">
        <v>12.74143663</v>
      </c>
      <c r="M3121" s="14">
        <v>23.68676694</v>
      </c>
      <c r="N3121" s="14">
        <v>23.39916955</v>
      </c>
      <c r="O3121" s="14">
        <v>20.42318062</v>
      </c>
      <c r="P3121" s="14" t="s">
        <v>14633</v>
      </c>
      <c r="Q3121" s="14" t="s">
        <v>14634</v>
      </c>
      <c r="T3121" s="14" t="s">
        <v>14635</v>
      </c>
      <c r="U3121" s="14" t="s">
        <v>14636</v>
      </c>
    </row>
    <row r="3122" spans="1:21">
      <c r="A3122" s="14" t="s">
        <v>14637</v>
      </c>
      <c r="B3122" s="14">
        <v>2463.772956</v>
      </c>
      <c r="C3122" s="14">
        <v>3375.423605</v>
      </c>
      <c r="D3122" s="14">
        <v>1552.122307</v>
      </c>
      <c r="E3122" s="14">
        <v>0.459804705</v>
      </c>
      <c r="F3122" s="14">
        <v>-1.120906867</v>
      </c>
      <c r="G3122" s="14">
        <v>0.000651412</v>
      </c>
      <c r="H3122" s="14">
        <v>0.002509429</v>
      </c>
      <c r="I3122" s="14" t="s">
        <v>147</v>
      </c>
      <c r="J3122" s="14">
        <v>6.26288959</v>
      </c>
      <c r="K3122" s="14">
        <v>12.11629966</v>
      </c>
      <c r="L3122" s="14">
        <v>5.693833383</v>
      </c>
      <c r="M3122" s="14">
        <v>14.87103288</v>
      </c>
      <c r="N3122" s="14">
        <v>13.19158927</v>
      </c>
      <c r="O3122" s="14">
        <v>15.1774845</v>
      </c>
      <c r="P3122" s="14" t="s">
        <v>10455</v>
      </c>
      <c r="Q3122" s="14" t="s">
        <v>10456</v>
      </c>
      <c r="R3122" s="14" t="s">
        <v>3743</v>
      </c>
      <c r="S3122" s="14" t="s">
        <v>3744</v>
      </c>
      <c r="T3122" s="14" t="s">
        <v>9116</v>
      </c>
      <c r="U3122" s="14" t="s">
        <v>9117</v>
      </c>
    </row>
    <row r="3123" spans="1:21">
      <c r="A3123" s="14" t="s">
        <v>14638</v>
      </c>
      <c r="B3123" s="14">
        <v>144.1068915</v>
      </c>
      <c r="C3123" s="14">
        <v>66.83264235</v>
      </c>
      <c r="D3123" s="14">
        <v>221.3811406</v>
      </c>
      <c r="E3123" s="14">
        <v>3.305994528</v>
      </c>
      <c r="F3123" s="14">
        <v>1.725084337</v>
      </c>
      <c r="G3123" s="14">
        <v>0.016834729</v>
      </c>
      <c r="H3123" s="14">
        <v>0.042040801</v>
      </c>
      <c r="I3123" s="14" t="s">
        <v>164</v>
      </c>
      <c r="J3123" s="14">
        <v>2.666131919</v>
      </c>
      <c r="K3123" s="14">
        <v>2.940135014</v>
      </c>
      <c r="L3123" s="14">
        <v>1.493204017</v>
      </c>
      <c r="M3123" s="14">
        <v>0.24538034</v>
      </c>
      <c r="N3123" s="14">
        <v>0.235413304</v>
      </c>
      <c r="O3123" s="14">
        <v>1.378214138</v>
      </c>
      <c r="P3123" s="14" t="s">
        <v>5109</v>
      </c>
      <c r="Q3123" s="14" t="s">
        <v>5110</v>
      </c>
      <c r="T3123" s="14" t="s">
        <v>5111</v>
      </c>
      <c r="U3123" s="14" t="s">
        <v>5112</v>
      </c>
    </row>
    <row r="3124" spans="1:21">
      <c r="A3124" s="14" t="s">
        <v>14639</v>
      </c>
      <c r="B3124" s="14">
        <v>370.4149395</v>
      </c>
      <c r="C3124" s="14">
        <v>181.1534463</v>
      </c>
      <c r="D3124" s="14">
        <v>559.6764327</v>
      </c>
      <c r="E3124" s="14">
        <v>3.086989291</v>
      </c>
      <c r="F3124" s="14">
        <v>1.626200478</v>
      </c>
      <c r="G3124" s="14">
        <v>0.005967999</v>
      </c>
      <c r="H3124" s="14">
        <v>0.017283039</v>
      </c>
      <c r="I3124" s="14" t="s">
        <v>164</v>
      </c>
      <c r="J3124" s="14">
        <v>12.05383741</v>
      </c>
      <c r="K3124" s="14">
        <v>6.964302129</v>
      </c>
      <c r="L3124" s="14">
        <v>11.90407062</v>
      </c>
      <c r="M3124" s="14">
        <v>1.464412001</v>
      </c>
      <c r="N3124" s="14">
        <v>1.240522822</v>
      </c>
      <c r="O3124" s="14">
        <v>5.868203401</v>
      </c>
      <c r="P3124" s="14" t="s">
        <v>14640</v>
      </c>
      <c r="Q3124" s="14" t="s">
        <v>14641</v>
      </c>
      <c r="T3124" s="14" t="s">
        <v>2191</v>
      </c>
      <c r="U3124" s="14" t="s">
        <v>2192</v>
      </c>
    </row>
    <row r="3125" spans="1:21">
      <c r="A3125" s="14" t="s">
        <v>14642</v>
      </c>
      <c r="B3125" s="14">
        <v>27.35384329</v>
      </c>
      <c r="C3125" s="14">
        <v>1.944230165</v>
      </c>
      <c r="D3125" s="14">
        <v>52.76345641</v>
      </c>
      <c r="E3125" s="14">
        <v>26.54484836</v>
      </c>
      <c r="F3125" s="14">
        <v>4.730359995</v>
      </c>
      <c r="G3125" s="51" t="s">
        <v>14643</v>
      </c>
      <c r="H3125" s="51" t="s">
        <v>14644</v>
      </c>
      <c r="I3125" s="14" t="s">
        <v>164</v>
      </c>
      <c r="J3125" s="14">
        <v>1.428127324</v>
      </c>
      <c r="K3125" s="14">
        <v>0.709628602</v>
      </c>
      <c r="L3125" s="14">
        <v>0.748456688</v>
      </c>
      <c r="M3125" s="14">
        <v>0</v>
      </c>
      <c r="N3125" s="14">
        <v>0.044516439</v>
      </c>
      <c r="O3125" s="14">
        <v>0.045398153</v>
      </c>
      <c r="P3125" s="14" t="s">
        <v>10429</v>
      </c>
      <c r="Q3125" s="14" t="s">
        <v>10430</v>
      </c>
      <c r="T3125" s="14" t="s">
        <v>10431</v>
      </c>
      <c r="U3125" s="14" t="s">
        <v>10432</v>
      </c>
    </row>
    <row r="3126" spans="1:21">
      <c r="A3126" s="14" t="s">
        <v>14645</v>
      </c>
      <c r="B3126" s="14">
        <v>3.558330486</v>
      </c>
      <c r="C3126" s="14">
        <v>0.309088846</v>
      </c>
      <c r="D3126" s="14">
        <v>6.807572126</v>
      </c>
      <c r="E3126" s="14">
        <v>18.86905457</v>
      </c>
      <c r="F3126" s="14">
        <v>4.237950234</v>
      </c>
      <c r="G3126" s="14">
        <v>0.013690696</v>
      </c>
      <c r="H3126" s="14">
        <v>0.035313117</v>
      </c>
      <c r="I3126" s="14" t="s">
        <v>164</v>
      </c>
      <c r="J3126" s="14">
        <v>0.059501666</v>
      </c>
      <c r="K3126" s="14">
        <v>0.104807858</v>
      </c>
      <c r="L3126" s="14">
        <v>0.143227865</v>
      </c>
      <c r="M3126" s="14">
        <v>0</v>
      </c>
      <c r="N3126" s="14">
        <v>0</v>
      </c>
      <c r="O3126" s="14">
        <v>0.012452204</v>
      </c>
      <c r="P3126" s="14" t="s">
        <v>14646</v>
      </c>
      <c r="Q3126" s="14" t="s">
        <v>14647</v>
      </c>
      <c r="R3126" s="14" t="s">
        <v>341</v>
      </c>
      <c r="S3126" s="14" t="s">
        <v>342</v>
      </c>
      <c r="T3126" s="14" t="s">
        <v>14648</v>
      </c>
      <c r="U3126" s="14" t="s">
        <v>14649</v>
      </c>
    </row>
    <row r="3127" spans="1:21">
      <c r="A3127" s="14" t="s">
        <v>14650</v>
      </c>
      <c r="B3127" s="14">
        <v>350.2047269</v>
      </c>
      <c r="C3127" s="14">
        <v>467.601662</v>
      </c>
      <c r="D3127" s="14">
        <v>232.8077918</v>
      </c>
      <c r="E3127" s="14">
        <v>0.497842532</v>
      </c>
      <c r="F3127" s="14">
        <v>-1.006238605</v>
      </c>
      <c r="G3127" s="51" t="s">
        <v>14651</v>
      </c>
      <c r="H3127" s="51" t="s">
        <v>14652</v>
      </c>
      <c r="I3127" s="14" t="s">
        <v>147</v>
      </c>
      <c r="J3127" s="14">
        <v>5.522678677</v>
      </c>
      <c r="K3127" s="14">
        <v>5.658898544</v>
      </c>
      <c r="L3127" s="14">
        <v>6.371428571</v>
      </c>
      <c r="M3127" s="14">
        <v>8.662820119</v>
      </c>
      <c r="N3127" s="14">
        <v>9.352368395</v>
      </c>
      <c r="O3127" s="14">
        <v>11.12026528</v>
      </c>
      <c r="P3127" s="14" t="s">
        <v>14653</v>
      </c>
      <c r="Q3127" s="14" t="s">
        <v>14654</v>
      </c>
      <c r="T3127" s="14" t="s">
        <v>14655</v>
      </c>
      <c r="U3127" s="14" t="s">
        <v>14656</v>
      </c>
    </row>
    <row r="3128" spans="1:21">
      <c r="A3128" s="14" t="s">
        <v>14657</v>
      </c>
      <c r="B3128" s="14">
        <v>1468.46605</v>
      </c>
      <c r="C3128" s="14">
        <v>2214.89966</v>
      </c>
      <c r="D3128" s="14">
        <v>722.0324395</v>
      </c>
      <c r="E3128" s="14">
        <v>0.326006707</v>
      </c>
      <c r="F3128" s="14">
        <v>-1.61702645</v>
      </c>
      <c r="G3128" s="51" t="s">
        <v>14658</v>
      </c>
      <c r="H3128" s="51" t="s">
        <v>14659</v>
      </c>
      <c r="I3128" s="14" t="s">
        <v>147</v>
      </c>
      <c r="J3128" s="14">
        <v>21.46872845</v>
      </c>
      <c r="K3128" s="14">
        <v>30.85979245</v>
      </c>
      <c r="L3128" s="14">
        <v>24.31900365</v>
      </c>
      <c r="M3128" s="14">
        <v>72.87384242</v>
      </c>
      <c r="N3128" s="14">
        <v>79.50247223</v>
      </c>
      <c r="O3128" s="14">
        <v>38.02784883</v>
      </c>
      <c r="P3128" s="14" t="s">
        <v>10395</v>
      </c>
      <c r="Q3128" s="14" t="s">
        <v>10396</v>
      </c>
      <c r="T3128" s="14" t="s">
        <v>10397</v>
      </c>
      <c r="U3128" s="14" t="s">
        <v>10398</v>
      </c>
    </row>
    <row r="3129" spans="1:21">
      <c r="A3129" s="14" t="s">
        <v>14660</v>
      </c>
      <c r="B3129" s="14">
        <v>701.7636163</v>
      </c>
      <c r="C3129" s="14">
        <v>981.5663423</v>
      </c>
      <c r="D3129" s="14">
        <v>421.9608904</v>
      </c>
      <c r="E3129" s="14">
        <v>0.430044527</v>
      </c>
      <c r="F3129" s="14">
        <v>-1.217442051</v>
      </c>
      <c r="G3129" s="51" t="s">
        <v>14661</v>
      </c>
      <c r="H3129" s="51" t="s">
        <v>14662</v>
      </c>
      <c r="I3129" s="14" t="s">
        <v>147</v>
      </c>
      <c r="J3129" s="14">
        <v>11.25674126</v>
      </c>
      <c r="K3129" s="14">
        <v>10.8069093</v>
      </c>
      <c r="L3129" s="14">
        <v>11.16395371</v>
      </c>
      <c r="M3129" s="14">
        <v>21.64241466</v>
      </c>
      <c r="N3129" s="14">
        <v>21.93699965</v>
      </c>
      <c r="O3129" s="14">
        <v>19.78179788</v>
      </c>
      <c r="P3129" s="14" t="s">
        <v>14663</v>
      </c>
      <c r="Q3129" s="14" t="s">
        <v>14664</v>
      </c>
      <c r="T3129" s="14" t="s">
        <v>14665</v>
      </c>
      <c r="U3129" s="14" t="s">
        <v>14666</v>
      </c>
    </row>
    <row r="3130" spans="1:21">
      <c r="A3130" s="14" t="s">
        <v>14667</v>
      </c>
      <c r="B3130" s="14">
        <v>5151.289652</v>
      </c>
      <c r="C3130" s="14">
        <v>7144.171663</v>
      </c>
      <c r="D3130" s="14">
        <v>3158.40764</v>
      </c>
      <c r="E3130" s="14">
        <v>0.442107655</v>
      </c>
      <c r="F3130" s="14">
        <v>-1.177530381</v>
      </c>
      <c r="G3130" s="51" t="s">
        <v>14668</v>
      </c>
      <c r="H3130" s="51" t="s">
        <v>8933</v>
      </c>
      <c r="I3130" s="14" t="s">
        <v>147</v>
      </c>
      <c r="J3130" s="14">
        <v>34.47944783</v>
      </c>
      <c r="K3130" s="14">
        <v>43.7694968</v>
      </c>
      <c r="L3130" s="14">
        <v>36.23124009</v>
      </c>
      <c r="M3130" s="14">
        <v>79.04353562</v>
      </c>
      <c r="N3130" s="14">
        <v>73.04101129</v>
      </c>
      <c r="O3130" s="14">
        <v>59.47987886</v>
      </c>
      <c r="P3130" s="14" t="s">
        <v>14669</v>
      </c>
      <c r="Q3130" s="14" t="s">
        <v>14670</v>
      </c>
      <c r="T3130" s="14" t="s">
        <v>14671</v>
      </c>
      <c r="U3130" s="14" t="s">
        <v>14672</v>
      </c>
    </row>
    <row r="3131" spans="1:21">
      <c r="A3131" s="14" t="s">
        <v>14673</v>
      </c>
      <c r="B3131" s="14">
        <v>1446.167327</v>
      </c>
      <c r="C3131" s="14">
        <v>2009.158111</v>
      </c>
      <c r="D3131" s="14">
        <v>883.1765432</v>
      </c>
      <c r="E3131" s="14">
        <v>0.439609765</v>
      </c>
      <c r="F3131" s="14">
        <v>-1.18570466</v>
      </c>
      <c r="G3131" s="14">
        <v>0.00229643</v>
      </c>
      <c r="H3131" s="14">
        <v>0.007555654</v>
      </c>
      <c r="I3131" s="14" t="s">
        <v>147</v>
      </c>
      <c r="J3131" s="14">
        <v>8.840510221</v>
      </c>
      <c r="K3131" s="14">
        <v>15.3164151</v>
      </c>
      <c r="L3131" s="14">
        <v>12.03162344</v>
      </c>
      <c r="M3131" s="14">
        <v>27.7188325</v>
      </c>
      <c r="N3131" s="14">
        <v>25.78169466</v>
      </c>
      <c r="O3131" s="14">
        <v>13.07817209</v>
      </c>
      <c r="P3131" s="14" t="s">
        <v>4462</v>
      </c>
      <c r="Q3131" s="14" t="s">
        <v>4463</v>
      </c>
      <c r="T3131" s="14" t="s">
        <v>4464</v>
      </c>
      <c r="U3131" s="14" t="s">
        <v>4465</v>
      </c>
    </row>
    <row r="3132" spans="1:15">
      <c r="A3132" s="14" t="s">
        <v>14674</v>
      </c>
      <c r="B3132" s="14">
        <v>159.5730919</v>
      </c>
      <c r="C3132" s="14">
        <v>9.182561664</v>
      </c>
      <c r="D3132" s="14">
        <v>309.9636221</v>
      </c>
      <c r="E3132" s="14">
        <v>33.60583123</v>
      </c>
      <c r="F3132" s="14">
        <v>5.070639684</v>
      </c>
      <c r="G3132" s="51" t="s">
        <v>14675</v>
      </c>
      <c r="H3132" s="51" t="s">
        <v>694</v>
      </c>
      <c r="I3132" s="14" t="s">
        <v>164</v>
      </c>
      <c r="J3132" s="14">
        <v>15.37656749</v>
      </c>
      <c r="K3132" s="14">
        <v>21.30290783</v>
      </c>
      <c r="L3132" s="14">
        <v>18.18295875</v>
      </c>
      <c r="M3132" s="14">
        <v>0.500232307</v>
      </c>
      <c r="N3132" s="14">
        <v>0</v>
      </c>
      <c r="O3132" s="14">
        <v>0.880954027</v>
      </c>
    </row>
    <row r="3133" spans="1:15">
      <c r="A3133" s="14" t="s">
        <v>14676</v>
      </c>
      <c r="B3133" s="14">
        <v>12023.43823</v>
      </c>
      <c r="C3133" s="14">
        <v>16975.02933</v>
      </c>
      <c r="D3133" s="14">
        <v>7071.847128</v>
      </c>
      <c r="E3133" s="14">
        <v>0.416605336</v>
      </c>
      <c r="F3133" s="14">
        <v>-1.263246778</v>
      </c>
      <c r="G3133" s="14">
        <v>0.000115199</v>
      </c>
      <c r="H3133" s="14">
        <v>0.000538027</v>
      </c>
      <c r="I3133" s="14" t="s">
        <v>147</v>
      </c>
      <c r="J3133" s="14">
        <v>85.39300655</v>
      </c>
      <c r="K3133" s="14">
        <v>139.9836257</v>
      </c>
      <c r="L3133" s="14">
        <v>96.03980593</v>
      </c>
      <c r="M3133" s="14">
        <v>240.7233423</v>
      </c>
      <c r="N3133" s="14">
        <v>242.3194186</v>
      </c>
      <c r="O3133" s="14">
        <v>144.1348757</v>
      </c>
    </row>
    <row r="3134" spans="1:21">
      <c r="A3134" s="14" t="s">
        <v>14677</v>
      </c>
      <c r="B3134" s="14">
        <v>2533.895263</v>
      </c>
      <c r="C3134" s="14">
        <v>3800.397201</v>
      </c>
      <c r="D3134" s="14">
        <v>1267.393325</v>
      </c>
      <c r="E3134" s="14">
        <v>0.333510321</v>
      </c>
      <c r="F3134" s="14">
        <v>-1.584196685</v>
      </c>
      <c r="G3134" s="14">
        <v>0.000306792</v>
      </c>
      <c r="H3134" s="14">
        <v>0.001289192</v>
      </c>
      <c r="I3134" s="14" t="s">
        <v>147</v>
      </c>
      <c r="J3134" s="14">
        <v>16.80056949</v>
      </c>
      <c r="K3134" s="14">
        <v>28.80410481</v>
      </c>
      <c r="L3134" s="14">
        <v>31.63689577</v>
      </c>
      <c r="M3134" s="14">
        <v>75.44881633</v>
      </c>
      <c r="N3134" s="14">
        <v>79.26298877</v>
      </c>
      <c r="O3134" s="14">
        <v>31.7611929</v>
      </c>
      <c r="P3134" s="14" t="s">
        <v>14678</v>
      </c>
      <c r="Q3134" s="14" t="s">
        <v>14679</v>
      </c>
      <c r="R3134" s="14" t="s">
        <v>5747</v>
      </c>
      <c r="S3134" s="14" t="s">
        <v>5748</v>
      </c>
      <c r="T3134" s="14" t="s">
        <v>14680</v>
      </c>
      <c r="U3134" s="14" t="s">
        <v>14681</v>
      </c>
    </row>
    <row r="3135" spans="1:21">
      <c r="A3135" s="14" t="s">
        <v>14682</v>
      </c>
      <c r="B3135" s="14">
        <v>2204.386844</v>
      </c>
      <c r="C3135" s="14">
        <v>2982.688472</v>
      </c>
      <c r="D3135" s="14">
        <v>1426.085216</v>
      </c>
      <c r="E3135" s="14">
        <v>0.478180835</v>
      </c>
      <c r="F3135" s="14">
        <v>-1.064371785</v>
      </c>
      <c r="G3135" s="51" t="s">
        <v>14683</v>
      </c>
      <c r="H3135" s="51" t="s">
        <v>14684</v>
      </c>
      <c r="I3135" s="14" t="s">
        <v>147</v>
      </c>
      <c r="J3135" s="14">
        <v>8.692555937</v>
      </c>
      <c r="K3135" s="14">
        <v>8.761692466</v>
      </c>
      <c r="L3135" s="14">
        <v>9.103592324</v>
      </c>
      <c r="M3135" s="14">
        <v>15.57415806</v>
      </c>
      <c r="N3135" s="14">
        <v>16.74806599</v>
      </c>
      <c r="O3135" s="14">
        <v>13.08644049</v>
      </c>
      <c r="P3135" s="14" t="s">
        <v>14685</v>
      </c>
      <c r="Q3135" s="14" t="s">
        <v>14686</v>
      </c>
      <c r="T3135" s="14" t="s">
        <v>941</v>
      </c>
      <c r="U3135" s="14" t="s">
        <v>942</v>
      </c>
    </row>
    <row r="3136" spans="1:15">
      <c r="A3136" s="14" t="s">
        <v>14687</v>
      </c>
      <c r="B3136" s="14">
        <v>1084.438905</v>
      </c>
      <c r="C3136" s="14">
        <v>1649.730297</v>
      </c>
      <c r="D3136" s="14">
        <v>519.1475125</v>
      </c>
      <c r="E3136" s="14">
        <v>0.31465634</v>
      </c>
      <c r="F3136" s="14">
        <v>-1.668151081</v>
      </c>
      <c r="G3136" s="51" t="s">
        <v>14688</v>
      </c>
      <c r="H3136" s="51" t="s">
        <v>14689</v>
      </c>
      <c r="I3136" s="14" t="s">
        <v>147</v>
      </c>
      <c r="J3136" s="14">
        <v>8.22036851</v>
      </c>
      <c r="K3136" s="14">
        <v>5.685956087</v>
      </c>
      <c r="L3136" s="14">
        <v>6.51453889</v>
      </c>
      <c r="M3136" s="14">
        <v>17.17770549</v>
      </c>
      <c r="N3136" s="14">
        <v>14.46527688</v>
      </c>
      <c r="O3136" s="14">
        <v>22.16572252</v>
      </c>
    </row>
    <row r="3137" spans="1:21">
      <c r="A3137" s="14" t="s">
        <v>14690</v>
      </c>
      <c r="B3137" s="14">
        <v>62.49388629</v>
      </c>
      <c r="C3137" s="14">
        <v>18.45094765</v>
      </c>
      <c r="D3137" s="14">
        <v>106.5368249</v>
      </c>
      <c r="E3137" s="14">
        <v>5.730356767</v>
      </c>
      <c r="F3137" s="14">
        <v>2.518624963</v>
      </c>
      <c r="G3137" s="51" t="s">
        <v>14612</v>
      </c>
      <c r="H3137" s="51" t="s">
        <v>1071</v>
      </c>
      <c r="I3137" s="14" t="s">
        <v>164</v>
      </c>
      <c r="J3137" s="14">
        <v>1.694363902</v>
      </c>
      <c r="K3137" s="14">
        <v>1.445277862</v>
      </c>
      <c r="L3137" s="14">
        <v>1.493161623</v>
      </c>
      <c r="M3137" s="14">
        <v>0.147425977</v>
      </c>
      <c r="N3137" s="14">
        <v>0.200370107</v>
      </c>
      <c r="O3137" s="14">
        <v>0.324537986</v>
      </c>
      <c r="P3137" s="14" t="s">
        <v>14691</v>
      </c>
      <c r="Q3137" s="14" t="s">
        <v>14692</v>
      </c>
      <c r="T3137" s="14" t="s">
        <v>3007</v>
      </c>
      <c r="U3137" s="14" t="s">
        <v>3008</v>
      </c>
    </row>
    <row r="3138" spans="1:21">
      <c r="A3138" s="14" t="s">
        <v>14693</v>
      </c>
      <c r="B3138" s="14">
        <v>1882.898091</v>
      </c>
      <c r="C3138" s="14">
        <v>3121.510562</v>
      </c>
      <c r="D3138" s="14">
        <v>644.2856213</v>
      </c>
      <c r="E3138" s="14">
        <v>0.20640107</v>
      </c>
      <c r="F3138" s="14">
        <v>-2.276477643</v>
      </c>
      <c r="G3138" s="51" t="s">
        <v>14694</v>
      </c>
      <c r="H3138" s="51" t="s">
        <v>14695</v>
      </c>
      <c r="I3138" s="14" t="s">
        <v>147</v>
      </c>
      <c r="J3138" s="14">
        <v>6.634603466</v>
      </c>
      <c r="K3138" s="14">
        <v>11.2053344</v>
      </c>
      <c r="L3138" s="14">
        <v>6.484367139</v>
      </c>
      <c r="M3138" s="14">
        <v>39.59674751</v>
      </c>
      <c r="N3138" s="14">
        <v>42.22412355</v>
      </c>
      <c r="O3138" s="14">
        <v>13.04259454</v>
      </c>
      <c r="P3138" s="14" t="s">
        <v>14696</v>
      </c>
      <c r="Q3138" s="14" t="s">
        <v>14697</v>
      </c>
      <c r="R3138" s="14" t="s">
        <v>14698</v>
      </c>
      <c r="S3138" s="14" t="s">
        <v>14699</v>
      </c>
      <c r="T3138" s="14" t="s">
        <v>14700</v>
      </c>
      <c r="U3138" s="14" t="s">
        <v>14701</v>
      </c>
    </row>
    <row r="3139" spans="1:21">
      <c r="A3139" s="14" t="s">
        <v>14702</v>
      </c>
      <c r="B3139" s="14">
        <v>40.19863283</v>
      </c>
      <c r="C3139" s="14">
        <v>23.70698779</v>
      </c>
      <c r="D3139" s="14">
        <v>56.69027787</v>
      </c>
      <c r="E3139" s="14">
        <v>2.390075093</v>
      </c>
      <c r="F3139" s="14">
        <v>1.257055946</v>
      </c>
      <c r="G3139" s="14">
        <v>0.010713239</v>
      </c>
      <c r="H3139" s="14">
        <v>0.028632397</v>
      </c>
      <c r="I3139" s="14" t="s">
        <v>164</v>
      </c>
      <c r="J3139" s="14">
        <v>1.02306041</v>
      </c>
      <c r="K3139" s="14">
        <v>0.636016414</v>
      </c>
      <c r="L3139" s="14">
        <v>0.927108838</v>
      </c>
      <c r="M3139" s="14">
        <v>0.334683113</v>
      </c>
      <c r="N3139" s="14">
        <v>0.160544357</v>
      </c>
      <c r="O3139" s="14">
        <v>0.403013351</v>
      </c>
      <c r="P3139" s="14" t="s">
        <v>14703</v>
      </c>
      <c r="Q3139" s="14" t="s">
        <v>14704</v>
      </c>
      <c r="R3139" s="14" t="s">
        <v>14705</v>
      </c>
      <c r="S3139" s="14" t="s">
        <v>14706</v>
      </c>
      <c r="T3139" s="14" t="s">
        <v>14707</v>
      </c>
      <c r="U3139" s="14" t="s">
        <v>14708</v>
      </c>
    </row>
    <row r="3140" spans="1:21">
      <c r="A3140" s="14" t="s">
        <v>14709</v>
      </c>
      <c r="B3140" s="14">
        <v>171.7410758</v>
      </c>
      <c r="C3140" s="14">
        <v>85.35610113</v>
      </c>
      <c r="D3140" s="14">
        <v>258.1260505</v>
      </c>
      <c r="E3140" s="14">
        <v>3.025523098</v>
      </c>
      <c r="F3140" s="14">
        <v>1.597184599</v>
      </c>
      <c r="G3140" s="51" t="s">
        <v>2613</v>
      </c>
      <c r="H3140" s="51" t="s">
        <v>14710</v>
      </c>
      <c r="I3140" s="14" t="s">
        <v>164</v>
      </c>
      <c r="J3140" s="14">
        <v>14.42830407</v>
      </c>
      <c r="K3140" s="14">
        <v>7.969675068</v>
      </c>
      <c r="L3140" s="14">
        <v>12.02868532</v>
      </c>
      <c r="M3140" s="14">
        <v>3.537833437</v>
      </c>
      <c r="N3140" s="14">
        <v>2.274790042</v>
      </c>
      <c r="O3140" s="14">
        <v>3.571825771</v>
      </c>
      <c r="P3140" s="14" t="s">
        <v>14711</v>
      </c>
      <c r="Q3140" s="14" t="s">
        <v>14712</v>
      </c>
      <c r="T3140" s="14" t="s">
        <v>934</v>
      </c>
      <c r="U3140" s="14" t="s">
        <v>935</v>
      </c>
    </row>
    <row r="3141" spans="1:17">
      <c r="A3141" s="14" t="s">
        <v>14713</v>
      </c>
      <c r="B3141" s="14">
        <v>48.63556667</v>
      </c>
      <c r="C3141" s="14">
        <v>25.38753922</v>
      </c>
      <c r="D3141" s="14">
        <v>71.88359412</v>
      </c>
      <c r="E3141" s="14">
        <v>2.842851791</v>
      </c>
      <c r="F3141" s="14">
        <v>1.507338888</v>
      </c>
      <c r="G3141" s="14">
        <v>0.004019659</v>
      </c>
      <c r="H3141" s="14">
        <v>0.012258548</v>
      </c>
      <c r="I3141" s="14" t="s">
        <v>164</v>
      </c>
      <c r="J3141" s="14">
        <v>4.16013527</v>
      </c>
      <c r="K3141" s="14">
        <v>5.926640581</v>
      </c>
      <c r="L3141" s="14">
        <v>3.8207108</v>
      </c>
      <c r="M3141" s="14">
        <v>2.080873974</v>
      </c>
      <c r="N3141" s="14">
        <v>0.893104635</v>
      </c>
      <c r="O3141" s="14">
        <v>1.017946108</v>
      </c>
      <c r="P3141" s="14" t="s">
        <v>14714</v>
      </c>
      <c r="Q3141" s="14" t="s">
        <v>14715</v>
      </c>
    </row>
    <row r="3142" spans="1:15">
      <c r="A3142" s="14" t="s">
        <v>14716</v>
      </c>
      <c r="B3142" s="14">
        <v>1894.224834</v>
      </c>
      <c r="C3142" s="14">
        <v>2643.064473</v>
      </c>
      <c r="D3142" s="14">
        <v>1145.385194</v>
      </c>
      <c r="E3142" s="14">
        <v>0.433369407</v>
      </c>
      <c r="F3142" s="14">
        <v>-1.206330782</v>
      </c>
      <c r="G3142" s="51" t="s">
        <v>14717</v>
      </c>
      <c r="H3142" s="51" t="s">
        <v>14718</v>
      </c>
      <c r="I3142" s="14" t="s">
        <v>147</v>
      </c>
      <c r="J3142" s="14">
        <v>22.45985866</v>
      </c>
      <c r="K3142" s="14">
        <v>27.33182222</v>
      </c>
      <c r="L3142" s="14">
        <v>21.8843306</v>
      </c>
      <c r="M3142" s="14">
        <v>48.02364534</v>
      </c>
      <c r="N3142" s="14">
        <v>47.46502207</v>
      </c>
      <c r="O3142" s="14">
        <v>39.93943141</v>
      </c>
    </row>
    <row r="3143" spans="1:21">
      <c r="A3143" s="14" t="s">
        <v>14719</v>
      </c>
      <c r="B3143" s="14">
        <v>6756.999296</v>
      </c>
      <c r="C3143" s="14">
        <v>9709.615973</v>
      </c>
      <c r="D3143" s="14">
        <v>3804.382619</v>
      </c>
      <c r="E3143" s="14">
        <v>0.391807204</v>
      </c>
      <c r="F3143" s="14">
        <v>-1.351784171</v>
      </c>
      <c r="G3143" s="51" t="s">
        <v>14720</v>
      </c>
      <c r="H3143" s="51" t="s">
        <v>14721</v>
      </c>
      <c r="I3143" s="14" t="s">
        <v>147</v>
      </c>
      <c r="J3143" s="14">
        <v>80.97209414</v>
      </c>
      <c r="K3143" s="14">
        <v>76.72299132</v>
      </c>
      <c r="L3143" s="14">
        <v>69.10741428</v>
      </c>
      <c r="M3143" s="14">
        <v>159.0845394</v>
      </c>
      <c r="N3143" s="14">
        <v>154.5790163</v>
      </c>
      <c r="O3143" s="14">
        <v>162.8178773</v>
      </c>
      <c r="P3143" s="14" t="s">
        <v>14722</v>
      </c>
      <c r="Q3143" s="14" t="s">
        <v>14723</v>
      </c>
      <c r="T3143" s="14" t="s">
        <v>1368</v>
      </c>
      <c r="U3143" s="14" t="s">
        <v>1369</v>
      </c>
    </row>
    <row r="3144" spans="1:17">
      <c r="A3144" s="14" t="s">
        <v>14724</v>
      </c>
      <c r="B3144" s="14">
        <v>179.4799703</v>
      </c>
      <c r="C3144" s="14">
        <v>70.20543189</v>
      </c>
      <c r="D3144" s="14">
        <v>288.7545086</v>
      </c>
      <c r="E3144" s="14">
        <v>4.104472289</v>
      </c>
      <c r="F3144" s="14">
        <v>2.037196747</v>
      </c>
      <c r="G3144" s="14">
        <v>0.000726515</v>
      </c>
      <c r="H3144" s="14">
        <v>0.002764668</v>
      </c>
      <c r="I3144" s="14" t="s">
        <v>164</v>
      </c>
      <c r="J3144" s="14">
        <v>2.819129891</v>
      </c>
      <c r="K3144" s="14">
        <v>1.642332855</v>
      </c>
      <c r="L3144" s="14">
        <v>3.026964628</v>
      </c>
      <c r="M3144" s="14">
        <v>0.204657311</v>
      </c>
      <c r="N3144" s="14">
        <v>0.315553489</v>
      </c>
      <c r="O3144" s="14">
        <v>1.036922357</v>
      </c>
      <c r="P3144" s="14" t="s">
        <v>12322</v>
      </c>
      <c r="Q3144" s="14" t="s">
        <v>12323</v>
      </c>
    </row>
    <row r="3145" spans="1:15">
      <c r="A3145" s="14" t="s">
        <v>14725</v>
      </c>
      <c r="B3145" s="14">
        <v>108.5615041</v>
      </c>
      <c r="C3145" s="14">
        <v>150.4921976</v>
      </c>
      <c r="D3145" s="14">
        <v>66.63081056</v>
      </c>
      <c r="E3145" s="14">
        <v>0.443226369</v>
      </c>
      <c r="F3145" s="14">
        <v>-1.173884379</v>
      </c>
      <c r="G3145" s="14">
        <v>0.000211601</v>
      </c>
      <c r="H3145" s="14">
        <v>0.000921352</v>
      </c>
      <c r="I3145" s="14" t="s">
        <v>147</v>
      </c>
      <c r="J3145" s="14">
        <v>0.898473019</v>
      </c>
      <c r="K3145" s="14">
        <v>1.426847445</v>
      </c>
      <c r="L3145" s="14">
        <v>1.710964164</v>
      </c>
      <c r="M3145" s="14">
        <v>2.408683428</v>
      </c>
      <c r="N3145" s="14">
        <v>2.507513519</v>
      </c>
      <c r="O3145" s="14">
        <v>2.573892097</v>
      </c>
    </row>
    <row r="3146" spans="1:21">
      <c r="A3146" s="14" t="s">
        <v>14726</v>
      </c>
      <c r="B3146" s="14">
        <v>643.3937601</v>
      </c>
      <c r="C3146" s="14">
        <v>367.702884</v>
      </c>
      <c r="D3146" s="14">
        <v>919.0846362</v>
      </c>
      <c r="E3146" s="14">
        <v>2.498977782</v>
      </c>
      <c r="F3146" s="14">
        <v>1.321338075</v>
      </c>
      <c r="G3146" s="51" t="s">
        <v>14727</v>
      </c>
      <c r="H3146" s="51" t="s">
        <v>2893</v>
      </c>
      <c r="I3146" s="14" t="s">
        <v>164</v>
      </c>
      <c r="J3146" s="14">
        <v>48.20365223</v>
      </c>
      <c r="K3146" s="14">
        <v>34.48695757</v>
      </c>
      <c r="L3146" s="14">
        <v>34.12234612</v>
      </c>
      <c r="M3146" s="14">
        <v>10.45440045</v>
      </c>
      <c r="N3146" s="14">
        <v>14.57933618</v>
      </c>
      <c r="O3146" s="14">
        <v>13.53243269</v>
      </c>
      <c r="P3146" s="14" t="s">
        <v>14728</v>
      </c>
      <c r="Q3146" s="14" t="s">
        <v>14729</v>
      </c>
      <c r="T3146" s="14" t="s">
        <v>14730</v>
      </c>
      <c r="U3146" s="14" t="s">
        <v>14731</v>
      </c>
    </row>
    <row r="3147" spans="1:21">
      <c r="A3147" s="14" t="s">
        <v>14732</v>
      </c>
      <c r="B3147" s="14">
        <v>14.38401256</v>
      </c>
      <c r="C3147" s="14">
        <v>0.338987876</v>
      </c>
      <c r="D3147" s="14">
        <v>28.42903725</v>
      </c>
      <c r="E3147" s="14">
        <v>78.72555814</v>
      </c>
      <c r="F3147" s="14">
        <v>6.298760176</v>
      </c>
      <c r="G3147" s="51" t="s">
        <v>14733</v>
      </c>
      <c r="H3147" s="51" t="s">
        <v>2167</v>
      </c>
      <c r="I3147" s="14" t="s">
        <v>164</v>
      </c>
      <c r="J3147" s="14">
        <v>0.594501179</v>
      </c>
      <c r="K3147" s="14">
        <v>0.713456885</v>
      </c>
      <c r="L3147" s="14">
        <v>0.660478991</v>
      </c>
      <c r="M3147" s="14">
        <v>0</v>
      </c>
      <c r="N3147" s="14">
        <v>0.018768895</v>
      </c>
      <c r="O3147" s="14">
        <v>0</v>
      </c>
      <c r="P3147" s="14" t="s">
        <v>14734</v>
      </c>
      <c r="Q3147" s="14" t="s">
        <v>14735</v>
      </c>
      <c r="T3147" s="14" t="s">
        <v>14736</v>
      </c>
      <c r="U3147" s="14" t="s">
        <v>14737</v>
      </c>
    </row>
    <row r="3148" spans="1:21">
      <c r="A3148" s="14" t="s">
        <v>14738</v>
      </c>
      <c r="B3148" s="14">
        <v>5.227732595</v>
      </c>
      <c r="C3148" s="14">
        <v>0</v>
      </c>
      <c r="D3148" s="14">
        <v>10.45546519</v>
      </c>
      <c r="E3148" s="14">
        <v>56.39427516</v>
      </c>
      <c r="F3148" s="14">
        <v>5.81747681</v>
      </c>
      <c r="G3148" s="14">
        <v>0.000449703</v>
      </c>
      <c r="H3148" s="14">
        <v>0.001807438</v>
      </c>
      <c r="I3148" s="14" t="s">
        <v>164</v>
      </c>
      <c r="J3148" s="14">
        <v>0.132344322</v>
      </c>
      <c r="K3148" s="14">
        <v>0.146529365</v>
      </c>
      <c r="L3148" s="14">
        <v>0.140170422</v>
      </c>
      <c r="M3148" s="14">
        <v>0</v>
      </c>
      <c r="N3148" s="14">
        <v>0</v>
      </c>
      <c r="O3148" s="14">
        <v>0</v>
      </c>
      <c r="P3148" s="14" t="s">
        <v>14739</v>
      </c>
      <c r="Q3148" s="14" t="s">
        <v>14740</v>
      </c>
      <c r="T3148" s="14" t="s">
        <v>14741</v>
      </c>
      <c r="U3148" s="14" t="s">
        <v>14742</v>
      </c>
    </row>
    <row r="3149" spans="1:15">
      <c r="A3149" s="14" t="s">
        <v>14743</v>
      </c>
      <c r="B3149" s="14">
        <v>4.543390741</v>
      </c>
      <c r="C3149" s="14">
        <v>0</v>
      </c>
      <c r="D3149" s="14">
        <v>9.086781483</v>
      </c>
      <c r="E3149" s="14">
        <v>49.03937768</v>
      </c>
      <c r="F3149" s="14">
        <v>5.615868766</v>
      </c>
      <c r="G3149" s="14">
        <v>0.00148173</v>
      </c>
      <c r="H3149" s="14">
        <v>0.005169223</v>
      </c>
      <c r="I3149" s="14" t="s">
        <v>164</v>
      </c>
      <c r="J3149" s="14">
        <v>1.319661957</v>
      </c>
      <c r="K3149" s="14">
        <v>0.796967507</v>
      </c>
      <c r="L3149" s="14">
        <v>1.524762928</v>
      </c>
      <c r="M3149" s="14">
        <v>0</v>
      </c>
      <c r="N3149" s="14">
        <v>0</v>
      </c>
      <c r="O3149" s="14">
        <v>0</v>
      </c>
    </row>
    <row r="3150" spans="1:21">
      <c r="A3150" s="14" t="s">
        <v>14744</v>
      </c>
      <c r="B3150" s="14">
        <v>184.5050862</v>
      </c>
      <c r="C3150" s="14">
        <v>66.65358807</v>
      </c>
      <c r="D3150" s="14">
        <v>302.3565842</v>
      </c>
      <c r="E3150" s="14">
        <v>4.537142298</v>
      </c>
      <c r="F3150" s="14">
        <v>2.181783908</v>
      </c>
      <c r="G3150" s="51" t="s">
        <v>14745</v>
      </c>
      <c r="H3150" s="51" t="s">
        <v>9189</v>
      </c>
      <c r="I3150" s="14" t="s">
        <v>164</v>
      </c>
      <c r="J3150" s="14">
        <v>6.113564032</v>
      </c>
      <c r="K3150" s="14">
        <v>3.308949378</v>
      </c>
      <c r="L3150" s="14">
        <v>3.776207875</v>
      </c>
      <c r="M3150" s="14">
        <v>0.505802011</v>
      </c>
      <c r="N3150" s="14">
        <v>1.301908973</v>
      </c>
      <c r="O3150" s="14">
        <v>0.567287947</v>
      </c>
      <c r="P3150" s="14" t="s">
        <v>8586</v>
      </c>
      <c r="Q3150" s="14" t="s">
        <v>14746</v>
      </c>
      <c r="T3150" s="14" t="s">
        <v>14747</v>
      </c>
      <c r="U3150" s="14" t="s">
        <v>14748</v>
      </c>
    </row>
    <row r="3151" spans="1:15">
      <c r="A3151" s="14" t="s">
        <v>14749</v>
      </c>
      <c r="B3151" s="14">
        <v>2999.530886</v>
      </c>
      <c r="C3151" s="14">
        <v>1938.563909</v>
      </c>
      <c r="D3151" s="14">
        <v>4060.497863</v>
      </c>
      <c r="E3151" s="14">
        <v>2.094669053</v>
      </c>
      <c r="F3151" s="14">
        <v>1.066722323</v>
      </c>
      <c r="G3151" s="51" t="s">
        <v>14750</v>
      </c>
      <c r="H3151" s="51" t="s">
        <v>14751</v>
      </c>
      <c r="I3151" s="14" t="s">
        <v>164</v>
      </c>
      <c r="J3151" s="14">
        <v>29.3182216</v>
      </c>
      <c r="K3151" s="14">
        <v>29.91168374</v>
      </c>
      <c r="L3151" s="14">
        <v>35.32142059</v>
      </c>
      <c r="M3151" s="14">
        <v>11.91465176</v>
      </c>
      <c r="N3151" s="14">
        <v>11.54418117</v>
      </c>
      <c r="O3151" s="14">
        <v>13.76604612</v>
      </c>
    </row>
    <row r="3152" spans="1:21">
      <c r="A3152" s="14" t="s">
        <v>14752</v>
      </c>
      <c r="B3152" s="14">
        <v>69.89030128</v>
      </c>
      <c r="C3152" s="14">
        <v>24.64395626</v>
      </c>
      <c r="D3152" s="14">
        <v>115.1366463</v>
      </c>
      <c r="E3152" s="14">
        <v>4.692888585</v>
      </c>
      <c r="F3152" s="14">
        <v>2.230476209</v>
      </c>
      <c r="G3152" s="51" t="s">
        <v>6019</v>
      </c>
      <c r="H3152" s="51" t="s">
        <v>14753</v>
      </c>
      <c r="I3152" s="14" t="s">
        <v>164</v>
      </c>
      <c r="J3152" s="14">
        <v>1.240164249</v>
      </c>
      <c r="K3152" s="14">
        <v>0.931395761</v>
      </c>
      <c r="L3152" s="14">
        <v>1.157350174</v>
      </c>
      <c r="M3152" s="14">
        <v>0.212215592</v>
      </c>
      <c r="N3152" s="14">
        <v>0.266240487</v>
      </c>
      <c r="O3152" s="14">
        <v>0.09582839</v>
      </c>
      <c r="P3152" s="14" t="s">
        <v>14754</v>
      </c>
      <c r="Q3152" s="14" t="s">
        <v>14755</v>
      </c>
      <c r="R3152" s="14" t="s">
        <v>3413</v>
      </c>
      <c r="S3152" s="14" t="s">
        <v>3414</v>
      </c>
      <c r="T3152" s="14" t="s">
        <v>14756</v>
      </c>
      <c r="U3152" s="14" t="s">
        <v>14757</v>
      </c>
    </row>
    <row r="3153" spans="1:15">
      <c r="A3153" s="14" t="s">
        <v>14758</v>
      </c>
      <c r="B3153" s="14">
        <v>49.3812687</v>
      </c>
      <c r="C3153" s="14">
        <v>79.43990097</v>
      </c>
      <c r="D3153" s="14">
        <v>19.32263644</v>
      </c>
      <c r="E3153" s="14">
        <v>0.243398229</v>
      </c>
      <c r="F3153" s="14">
        <v>-2.038609424</v>
      </c>
      <c r="G3153" s="14">
        <v>0.001402816</v>
      </c>
      <c r="H3153" s="14">
        <v>0.004925399</v>
      </c>
      <c r="I3153" s="14" t="s">
        <v>147</v>
      </c>
      <c r="J3153" s="14">
        <v>0.365123862</v>
      </c>
      <c r="K3153" s="14">
        <v>1.065773412</v>
      </c>
      <c r="L3153" s="14">
        <v>0.70311861</v>
      </c>
      <c r="M3153" s="14">
        <v>3.217699825</v>
      </c>
      <c r="N3153" s="14">
        <v>2.607466847</v>
      </c>
      <c r="O3153" s="14">
        <v>1.253144529</v>
      </c>
    </row>
    <row r="3154" spans="1:21">
      <c r="A3154" s="14" t="s">
        <v>14759</v>
      </c>
      <c r="B3154" s="14">
        <v>9028.727633</v>
      </c>
      <c r="C3154" s="14">
        <v>13012.8621</v>
      </c>
      <c r="D3154" s="14">
        <v>5044.593164</v>
      </c>
      <c r="E3154" s="14">
        <v>0.387667493</v>
      </c>
      <c r="F3154" s="14">
        <v>-1.36710833</v>
      </c>
      <c r="G3154" s="51" t="s">
        <v>14760</v>
      </c>
      <c r="H3154" s="51" t="s">
        <v>14761</v>
      </c>
      <c r="I3154" s="14" t="s">
        <v>147</v>
      </c>
      <c r="J3154" s="14">
        <v>48.71708995</v>
      </c>
      <c r="K3154" s="14">
        <v>54.09959565</v>
      </c>
      <c r="L3154" s="14">
        <v>47.83814767</v>
      </c>
      <c r="M3154" s="14">
        <v>111.4138977</v>
      </c>
      <c r="N3154" s="14">
        <v>111.8202239</v>
      </c>
      <c r="O3154" s="14">
        <v>94.99887499</v>
      </c>
      <c r="P3154" s="14" t="s">
        <v>14762</v>
      </c>
      <c r="Q3154" s="14" t="s">
        <v>14763</v>
      </c>
      <c r="R3154" s="14" t="s">
        <v>771</v>
      </c>
      <c r="S3154" s="14" t="s">
        <v>772</v>
      </c>
      <c r="T3154" s="14" t="s">
        <v>14764</v>
      </c>
      <c r="U3154" s="14" t="s">
        <v>14765</v>
      </c>
    </row>
    <row r="3155" spans="1:21">
      <c r="A3155" s="14" t="s">
        <v>14766</v>
      </c>
      <c r="B3155" s="14">
        <v>8.228306279</v>
      </c>
      <c r="C3155" s="14">
        <v>1.756673821</v>
      </c>
      <c r="D3155" s="14">
        <v>14.69993874</v>
      </c>
      <c r="E3155" s="14">
        <v>8.556084411</v>
      </c>
      <c r="F3155" s="14">
        <v>3.096950716</v>
      </c>
      <c r="G3155" s="14">
        <v>0.008013648</v>
      </c>
      <c r="H3155" s="14">
        <v>0.022293786</v>
      </c>
      <c r="I3155" s="14" t="s">
        <v>164</v>
      </c>
      <c r="J3155" s="14">
        <v>0.152478135</v>
      </c>
      <c r="K3155" s="14">
        <v>0.217421213</v>
      </c>
      <c r="L3155" s="14">
        <v>0.195751316</v>
      </c>
      <c r="M3155" s="14">
        <v>0.043486495</v>
      </c>
      <c r="N3155" s="14">
        <v>0</v>
      </c>
      <c r="O3155" s="14">
        <v>0.010636614</v>
      </c>
      <c r="P3155" s="14" t="s">
        <v>14767</v>
      </c>
      <c r="Q3155" s="14" t="s">
        <v>14768</v>
      </c>
      <c r="T3155" s="14" t="s">
        <v>1015</v>
      </c>
      <c r="U3155" s="14" t="s">
        <v>1016</v>
      </c>
    </row>
    <row r="3156" spans="1:15">
      <c r="A3156" s="14" t="s">
        <v>14769</v>
      </c>
      <c r="B3156" s="14">
        <v>531.1123232</v>
      </c>
      <c r="C3156" s="14">
        <v>802.6190903</v>
      </c>
      <c r="D3156" s="14">
        <v>259.605556</v>
      </c>
      <c r="E3156" s="14">
        <v>0.323350952</v>
      </c>
      <c r="F3156" s="14">
        <v>-1.628827239</v>
      </c>
      <c r="G3156" s="51" t="s">
        <v>14770</v>
      </c>
      <c r="H3156" s="51" t="s">
        <v>14771</v>
      </c>
      <c r="I3156" s="14" t="s">
        <v>147</v>
      </c>
      <c r="J3156" s="14">
        <v>4.137586739</v>
      </c>
      <c r="K3156" s="14">
        <v>4.239507602</v>
      </c>
      <c r="L3156" s="14">
        <v>3.310340566</v>
      </c>
      <c r="M3156" s="14">
        <v>9.525153854</v>
      </c>
      <c r="N3156" s="14">
        <v>10.72645358</v>
      </c>
      <c r="O3156" s="14">
        <v>9.443839785</v>
      </c>
    </row>
    <row r="3157" spans="1:21">
      <c r="A3157" s="14" t="s">
        <v>14772</v>
      </c>
      <c r="B3157" s="14">
        <v>421.2942026</v>
      </c>
      <c r="C3157" s="14">
        <v>584.1932337</v>
      </c>
      <c r="D3157" s="14">
        <v>258.3951716</v>
      </c>
      <c r="E3157" s="14">
        <v>0.442467938</v>
      </c>
      <c r="F3157" s="14">
        <v>-1.176355177</v>
      </c>
      <c r="G3157" s="14">
        <v>0.000189419</v>
      </c>
      <c r="H3157" s="14">
        <v>0.000836422</v>
      </c>
      <c r="I3157" s="14" t="s">
        <v>147</v>
      </c>
      <c r="J3157" s="14">
        <v>2.300411629</v>
      </c>
      <c r="K3157" s="14">
        <v>2.164971666</v>
      </c>
      <c r="L3157" s="14">
        <v>2.031037223</v>
      </c>
      <c r="M3157" s="14">
        <v>4.924102743</v>
      </c>
      <c r="N3157" s="14">
        <v>4.274178473</v>
      </c>
      <c r="O3157" s="14">
        <v>2.718188886</v>
      </c>
      <c r="P3157" s="14" t="s">
        <v>14773</v>
      </c>
      <c r="Q3157" s="14" t="s">
        <v>14774</v>
      </c>
      <c r="T3157" s="14" t="s">
        <v>11726</v>
      </c>
      <c r="U3157" s="14" t="s">
        <v>11727</v>
      </c>
    </row>
    <row r="3158" spans="1:21">
      <c r="A3158" s="14" t="s">
        <v>14775</v>
      </c>
      <c r="B3158" s="14">
        <v>373.4920052</v>
      </c>
      <c r="C3158" s="14">
        <v>647.7236646</v>
      </c>
      <c r="D3158" s="14">
        <v>99.26034584</v>
      </c>
      <c r="E3158" s="14">
        <v>0.153232154</v>
      </c>
      <c r="F3158" s="14">
        <v>-2.706209037</v>
      </c>
      <c r="G3158" s="51" t="s">
        <v>7117</v>
      </c>
      <c r="H3158" s="51" t="s">
        <v>14624</v>
      </c>
      <c r="I3158" s="14" t="s">
        <v>147</v>
      </c>
      <c r="J3158" s="14">
        <v>1.405835242</v>
      </c>
      <c r="K3158" s="14">
        <v>1.941882511</v>
      </c>
      <c r="L3158" s="14">
        <v>1.137606448</v>
      </c>
      <c r="M3158" s="14">
        <v>9.264313116</v>
      </c>
      <c r="N3158" s="14">
        <v>11.6624422</v>
      </c>
      <c r="O3158" s="14">
        <v>2.578997272</v>
      </c>
      <c r="P3158" s="14" t="s">
        <v>14776</v>
      </c>
      <c r="Q3158" s="14" t="s">
        <v>14777</v>
      </c>
      <c r="T3158" s="14" t="s">
        <v>14778</v>
      </c>
      <c r="U3158" s="14" t="s">
        <v>14779</v>
      </c>
    </row>
    <row r="3159" spans="1:21">
      <c r="A3159" s="14" t="s">
        <v>14780</v>
      </c>
      <c r="B3159" s="14">
        <v>614.2199371</v>
      </c>
      <c r="C3159" s="14">
        <v>128.458374</v>
      </c>
      <c r="D3159" s="14">
        <v>1099.9815</v>
      </c>
      <c r="E3159" s="14">
        <v>8.569447992</v>
      </c>
      <c r="F3159" s="14">
        <v>3.099202275</v>
      </c>
      <c r="G3159" s="51" t="s">
        <v>14781</v>
      </c>
      <c r="H3159" s="51" t="s">
        <v>14782</v>
      </c>
      <c r="I3159" s="14" t="s">
        <v>164</v>
      </c>
      <c r="J3159" s="14">
        <v>23.58602925</v>
      </c>
      <c r="K3159" s="14">
        <v>45.36191287</v>
      </c>
      <c r="L3159" s="14">
        <v>21.81508695</v>
      </c>
      <c r="M3159" s="14">
        <v>2.993105967</v>
      </c>
      <c r="N3159" s="14">
        <v>3.881052044</v>
      </c>
      <c r="O3159" s="14">
        <v>1.738740295</v>
      </c>
      <c r="P3159" s="14" t="s">
        <v>11421</v>
      </c>
      <c r="Q3159" s="14" t="s">
        <v>11422</v>
      </c>
      <c r="T3159" s="14" t="s">
        <v>11423</v>
      </c>
      <c r="U3159" s="14" t="s">
        <v>11424</v>
      </c>
    </row>
    <row r="3160" spans="1:15">
      <c r="A3160" s="14" t="s">
        <v>14783</v>
      </c>
      <c r="B3160" s="14">
        <v>1055.793036</v>
      </c>
      <c r="C3160" s="14">
        <v>1473.589334</v>
      </c>
      <c r="D3160" s="14">
        <v>637.9967386</v>
      </c>
      <c r="E3160" s="14">
        <v>0.432958833</v>
      </c>
      <c r="F3160" s="14">
        <v>-1.207698238</v>
      </c>
      <c r="G3160" s="51" t="s">
        <v>14784</v>
      </c>
      <c r="H3160" s="51" t="s">
        <v>14785</v>
      </c>
      <c r="I3160" s="14" t="s">
        <v>147</v>
      </c>
      <c r="J3160" s="14">
        <v>14.35171686</v>
      </c>
      <c r="K3160" s="14">
        <v>15.19872108</v>
      </c>
      <c r="L3160" s="14">
        <v>12.94958507</v>
      </c>
      <c r="M3160" s="14">
        <v>28.04264962</v>
      </c>
      <c r="N3160" s="14">
        <v>26.36154624</v>
      </c>
      <c r="O3160" s="14">
        <v>26.23876203</v>
      </c>
    </row>
    <row r="3161" spans="1:21">
      <c r="A3161" s="14" t="s">
        <v>14786</v>
      </c>
      <c r="B3161" s="14">
        <v>81.40545647</v>
      </c>
      <c r="C3161" s="14">
        <v>46.70029165</v>
      </c>
      <c r="D3161" s="14">
        <v>116.1106213</v>
      </c>
      <c r="E3161" s="14">
        <v>2.484015104</v>
      </c>
      <c r="F3161" s="14">
        <v>1.312673946</v>
      </c>
      <c r="G3161" s="14">
        <v>0.000316242</v>
      </c>
      <c r="H3161" s="14">
        <v>0.00132515</v>
      </c>
      <c r="I3161" s="14" t="s">
        <v>164</v>
      </c>
      <c r="J3161" s="14">
        <v>2.914140116</v>
      </c>
      <c r="K3161" s="14">
        <v>1.533683175</v>
      </c>
      <c r="L3161" s="14">
        <v>2.25570598</v>
      </c>
      <c r="M3161" s="14">
        <v>0.651849109</v>
      </c>
      <c r="N3161" s="14">
        <v>0.687909016</v>
      </c>
      <c r="O3161" s="14">
        <v>0.892861538</v>
      </c>
      <c r="P3161" s="14" t="s">
        <v>14787</v>
      </c>
      <c r="Q3161" s="14" t="s">
        <v>14788</v>
      </c>
      <c r="R3161" s="14" t="s">
        <v>14789</v>
      </c>
      <c r="S3161" s="14" t="s">
        <v>14790</v>
      </c>
      <c r="T3161" s="14" t="s">
        <v>14791</v>
      </c>
      <c r="U3161" s="14" t="s">
        <v>14792</v>
      </c>
    </row>
    <row r="3162" spans="1:15">
      <c r="A3162" s="14" t="s">
        <v>14793</v>
      </c>
      <c r="B3162" s="14">
        <v>43.90475365</v>
      </c>
      <c r="C3162" s="14">
        <v>12.74718695</v>
      </c>
      <c r="D3162" s="14">
        <v>75.06232036</v>
      </c>
      <c r="E3162" s="14">
        <v>5.842901343</v>
      </c>
      <c r="F3162" s="14">
        <v>2.54668493</v>
      </c>
      <c r="G3162" s="14">
        <v>0.001682073</v>
      </c>
      <c r="H3162" s="14">
        <v>0.005773173</v>
      </c>
      <c r="I3162" s="14" t="s">
        <v>164</v>
      </c>
      <c r="J3162" s="14">
        <v>3.928152649</v>
      </c>
      <c r="K3162" s="14">
        <v>2.606903059</v>
      </c>
      <c r="L3162" s="14">
        <v>3.283465339</v>
      </c>
      <c r="M3162" s="14">
        <v>0.184665197</v>
      </c>
      <c r="N3162" s="14">
        <v>0.141731467</v>
      </c>
      <c r="O3162" s="14">
        <v>1.120174669</v>
      </c>
    </row>
    <row r="3163" spans="1:21">
      <c r="A3163" s="14" t="s">
        <v>14794</v>
      </c>
      <c r="B3163" s="14">
        <v>15.99987827</v>
      </c>
      <c r="C3163" s="14">
        <v>4.953177076</v>
      </c>
      <c r="D3163" s="14">
        <v>27.04657947</v>
      </c>
      <c r="E3163" s="14">
        <v>5.442007242</v>
      </c>
      <c r="F3163" s="14">
        <v>2.444138876</v>
      </c>
      <c r="G3163" s="14">
        <v>0.013605598</v>
      </c>
      <c r="H3163" s="14">
        <v>0.035119044</v>
      </c>
      <c r="I3163" s="14" t="s">
        <v>164</v>
      </c>
      <c r="J3163" s="14">
        <v>0.349423536</v>
      </c>
      <c r="K3163" s="14">
        <v>0.278938627</v>
      </c>
      <c r="L3163" s="14">
        <v>0.359645169</v>
      </c>
      <c r="M3163" s="14">
        <v>0.061854812</v>
      </c>
      <c r="N3163" s="14">
        <v>0</v>
      </c>
      <c r="O3163" s="14">
        <v>0.090776567</v>
      </c>
      <c r="P3163" s="14" t="s">
        <v>803</v>
      </c>
      <c r="Q3163" s="14" t="s">
        <v>804</v>
      </c>
      <c r="T3163" s="14" t="s">
        <v>805</v>
      </c>
      <c r="U3163" s="14" t="s">
        <v>806</v>
      </c>
    </row>
    <row r="3164" spans="1:21">
      <c r="A3164" s="14" t="s">
        <v>14795</v>
      </c>
      <c r="B3164" s="14">
        <v>343.1267313</v>
      </c>
      <c r="C3164" s="14">
        <v>57.6819161</v>
      </c>
      <c r="D3164" s="14">
        <v>628.5715464</v>
      </c>
      <c r="E3164" s="14">
        <v>10.88344379</v>
      </c>
      <c r="F3164" s="14">
        <v>3.444063228</v>
      </c>
      <c r="G3164" s="14">
        <v>0.000546266</v>
      </c>
      <c r="H3164" s="14">
        <v>0.002145203</v>
      </c>
      <c r="I3164" s="14" t="s">
        <v>164</v>
      </c>
      <c r="J3164" s="14">
        <v>8.602987112</v>
      </c>
      <c r="K3164" s="14">
        <v>52.87767872</v>
      </c>
      <c r="L3164" s="14">
        <v>5.058294318</v>
      </c>
      <c r="M3164" s="14">
        <v>0.633500303</v>
      </c>
      <c r="N3164" s="14">
        <v>0.607768332</v>
      </c>
      <c r="O3164" s="14">
        <v>4.102525941</v>
      </c>
      <c r="P3164" s="14" t="s">
        <v>14796</v>
      </c>
      <c r="Q3164" s="14" t="s">
        <v>14797</v>
      </c>
      <c r="T3164" s="14" t="s">
        <v>14798</v>
      </c>
      <c r="U3164" s="14" t="s">
        <v>14799</v>
      </c>
    </row>
    <row r="3165" spans="1:21">
      <c r="A3165" s="14" t="s">
        <v>14800</v>
      </c>
      <c r="B3165" s="14">
        <v>742.7103237</v>
      </c>
      <c r="C3165" s="14">
        <v>1075.752758</v>
      </c>
      <c r="D3165" s="14">
        <v>409.6678893</v>
      </c>
      <c r="E3165" s="14">
        <v>0.380728172</v>
      </c>
      <c r="F3165" s="14">
        <v>-1.393166769</v>
      </c>
      <c r="G3165" s="14">
        <v>0.000124268</v>
      </c>
      <c r="H3165" s="14">
        <v>0.000575706</v>
      </c>
      <c r="I3165" s="14" t="s">
        <v>147</v>
      </c>
      <c r="J3165" s="14">
        <v>6.554756587</v>
      </c>
      <c r="K3165" s="14">
        <v>6.106577211</v>
      </c>
      <c r="L3165" s="14">
        <v>6.252534447</v>
      </c>
      <c r="M3165" s="14">
        <v>9.390499537</v>
      </c>
      <c r="N3165" s="14">
        <v>9.23429621</v>
      </c>
      <c r="O3165" s="14">
        <v>23.32606031</v>
      </c>
      <c r="Q3165" s="14" t="s">
        <v>12686</v>
      </c>
      <c r="R3165" s="14" t="s">
        <v>9953</v>
      </c>
      <c r="S3165" s="14" t="s">
        <v>9954</v>
      </c>
      <c r="T3165" s="14" t="s">
        <v>12687</v>
      </c>
      <c r="U3165" s="14" t="s">
        <v>12688</v>
      </c>
    </row>
    <row r="3166" spans="1:15">
      <c r="A3166" s="14" t="s">
        <v>14801</v>
      </c>
      <c r="B3166" s="14">
        <v>701.0078243</v>
      </c>
      <c r="C3166" s="14">
        <v>955.944965</v>
      </c>
      <c r="D3166" s="14">
        <v>446.0706837</v>
      </c>
      <c r="E3166" s="14">
        <v>0.466778632</v>
      </c>
      <c r="F3166" s="14">
        <v>-1.099189577</v>
      </c>
      <c r="G3166" s="51" t="s">
        <v>14802</v>
      </c>
      <c r="H3166" s="51" t="s">
        <v>14803</v>
      </c>
      <c r="I3166" s="14" t="s">
        <v>147</v>
      </c>
      <c r="J3166" s="14">
        <v>6.649876105</v>
      </c>
      <c r="K3166" s="14">
        <v>7.138495417</v>
      </c>
      <c r="L3166" s="14">
        <v>6.814020348</v>
      </c>
      <c r="M3166" s="14">
        <v>12.84074582</v>
      </c>
      <c r="N3166" s="14">
        <v>12.38176858</v>
      </c>
      <c r="O3166" s="14">
        <v>10.92893691</v>
      </c>
    </row>
    <row r="3167" spans="1:21">
      <c r="A3167" s="14" t="s">
        <v>14804</v>
      </c>
      <c r="B3167" s="14">
        <v>2486.009967</v>
      </c>
      <c r="C3167" s="14">
        <v>4361.452498</v>
      </c>
      <c r="D3167" s="14">
        <v>610.5674367</v>
      </c>
      <c r="E3167" s="14">
        <v>0.13999231</v>
      </c>
      <c r="F3167" s="14">
        <v>-2.836580518</v>
      </c>
      <c r="G3167" s="51" t="s">
        <v>11065</v>
      </c>
      <c r="H3167" s="51" t="s">
        <v>11066</v>
      </c>
      <c r="I3167" s="14" t="s">
        <v>147</v>
      </c>
      <c r="J3167" s="14">
        <v>15.12123813</v>
      </c>
      <c r="K3167" s="14">
        <v>21.35889084</v>
      </c>
      <c r="L3167" s="14">
        <v>15.42546674</v>
      </c>
      <c r="M3167" s="14">
        <v>129.2081784</v>
      </c>
      <c r="N3167" s="14">
        <v>127.766605</v>
      </c>
      <c r="O3167" s="14">
        <v>41.07961891</v>
      </c>
      <c r="P3167" s="14" t="s">
        <v>14805</v>
      </c>
      <c r="Q3167" s="14" t="s">
        <v>14806</v>
      </c>
      <c r="T3167" s="14" t="s">
        <v>14807</v>
      </c>
      <c r="U3167" s="14" t="s">
        <v>14808</v>
      </c>
    </row>
    <row r="3168" spans="1:21">
      <c r="A3168" s="14" t="s">
        <v>14809</v>
      </c>
      <c r="B3168" s="14">
        <v>1317.118239</v>
      </c>
      <c r="C3168" s="14">
        <v>2412.596826</v>
      </c>
      <c r="D3168" s="14">
        <v>221.6396512</v>
      </c>
      <c r="E3168" s="14">
        <v>0.091883574</v>
      </c>
      <c r="F3168" s="14">
        <v>-3.444049213</v>
      </c>
      <c r="G3168" s="51" t="s">
        <v>14810</v>
      </c>
      <c r="H3168" s="51" t="s">
        <v>2646</v>
      </c>
      <c r="I3168" s="14" t="s">
        <v>147</v>
      </c>
      <c r="J3168" s="14">
        <v>1.016788721</v>
      </c>
      <c r="K3168" s="14">
        <v>0.666317096</v>
      </c>
      <c r="L3168" s="14">
        <v>1.228975584</v>
      </c>
      <c r="M3168" s="14">
        <v>10.47282608</v>
      </c>
      <c r="N3168" s="14">
        <v>12.08604296</v>
      </c>
      <c r="O3168" s="14">
        <v>2.756288064</v>
      </c>
      <c r="P3168" s="14" t="s">
        <v>14811</v>
      </c>
      <c r="Q3168" s="14" t="s">
        <v>14812</v>
      </c>
      <c r="T3168" s="14" t="s">
        <v>14813</v>
      </c>
      <c r="U3168" s="14" t="s">
        <v>14814</v>
      </c>
    </row>
    <row r="3169" spans="1:15">
      <c r="A3169" s="14" t="s">
        <v>14815</v>
      </c>
      <c r="B3169" s="14">
        <v>5.711170508</v>
      </c>
      <c r="C3169" s="14">
        <v>0</v>
      </c>
      <c r="D3169" s="14">
        <v>11.42234102</v>
      </c>
      <c r="E3169" s="14">
        <v>61.61601507</v>
      </c>
      <c r="F3169" s="14">
        <v>5.945233476</v>
      </c>
      <c r="G3169" s="14">
        <v>0.000298306</v>
      </c>
      <c r="H3169" s="14">
        <v>0.001255308</v>
      </c>
      <c r="I3169" s="14" t="s">
        <v>164</v>
      </c>
      <c r="J3169" s="14">
        <v>1.74766043</v>
      </c>
      <c r="K3169" s="14">
        <v>1.130832273</v>
      </c>
      <c r="L3169" s="14">
        <v>1.44234331</v>
      </c>
      <c r="M3169" s="14">
        <v>0</v>
      </c>
      <c r="N3169" s="14">
        <v>0</v>
      </c>
      <c r="O3169" s="14">
        <v>0</v>
      </c>
    </row>
    <row r="3170" spans="1:21">
      <c r="A3170" s="14" t="s">
        <v>14816</v>
      </c>
      <c r="B3170" s="14">
        <v>76.80143145</v>
      </c>
      <c r="C3170" s="14">
        <v>10.50902076</v>
      </c>
      <c r="D3170" s="14">
        <v>143.0938421</v>
      </c>
      <c r="E3170" s="14">
        <v>13.5579449</v>
      </c>
      <c r="F3170" s="14">
        <v>3.761066608</v>
      </c>
      <c r="G3170" s="14">
        <v>0.01641332</v>
      </c>
      <c r="H3170" s="14">
        <v>0.041173139</v>
      </c>
      <c r="I3170" s="14" t="s">
        <v>164</v>
      </c>
      <c r="J3170" s="14">
        <v>2.905605853</v>
      </c>
      <c r="K3170" s="14">
        <v>3.724699772</v>
      </c>
      <c r="L3170" s="14">
        <v>5.278605585</v>
      </c>
      <c r="M3170" s="14">
        <v>0</v>
      </c>
      <c r="N3170" s="14">
        <v>0</v>
      </c>
      <c r="O3170" s="14">
        <v>0.780165683</v>
      </c>
      <c r="P3170" s="14" t="s">
        <v>14817</v>
      </c>
      <c r="Q3170" s="14" t="s">
        <v>14818</v>
      </c>
      <c r="T3170" s="14" t="s">
        <v>3025</v>
      </c>
      <c r="U3170" s="14" t="s">
        <v>3026</v>
      </c>
    </row>
    <row r="3171" spans="1:21">
      <c r="A3171" s="14" t="s">
        <v>14819</v>
      </c>
      <c r="B3171" s="14">
        <v>287.9968924</v>
      </c>
      <c r="C3171" s="14">
        <v>132.9475545</v>
      </c>
      <c r="D3171" s="14">
        <v>443.0462303</v>
      </c>
      <c r="E3171" s="14">
        <v>3.33475873</v>
      </c>
      <c r="F3171" s="14">
        <v>1.737582386</v>
      </c>
      <c r="G3171" s="51" t="s">
        <v>14820</v>
      </c>
      <c r="H3171" s="51" t="s">
        <v>6113</v>
      </c>
      <c r="I3171" s="14" t="s">
        <v>164</v>
      </c>
      <c r="J3171" s="14">
        <v>4.898899461</v>
      </c>
      <c r="K3171" s="14">
        <v>2.808863796</v>
      </c>
      <c r="L3171" s="14">
        <v>6.001547576</v>
      </c>
      <c r="M3171" s="14">
        <v>1.063117744</v>
      </c>
      <c r="N3171" s="14">
        <v>1.320899767</v>
      </c>
      <c r="O3171" s="14">
        <v>0.971930904</v>
      </c>
      <c r="P3171" s="14" t="s">
        <v>14821</v>
      </c>
      <c r="Q3171" s="14" t="s">
        <v>14822</v>
      </c>
      <c r="T3171" s="14" t="s">
        <v>14823</v>
      </c>
      <c r="U3171" s="14" t="s">
        <v>14824</v>
      </c>
    </row>
    <row r="3172" spans="1:15">
      <c r="A3172" s="14" t="s">
        <v>14825</v>
      </c>
      <c r="B3172" s="14">
        <v>5.750198225</v>
      </c>
      <c r="C3172" s="14">
        <v>0.338987876</v>
      </c>
      <c r="D3172" s="14">
        <v>11.16140857</v>
      </c>
      <c r="E3172" s="14">
        <v>30.89153811</v>
      </c>
      <c r="F3172" s="14">
        <v>4.949139801</v>
      </c>
      <c r="G3172" s="14">
        <v>0.001252161</v>
      </c>
      <c r="H3172" s="14">
        <v>0.004457384</v>
      </c>
      <c r="I3172" s="14" t="s">
        <v>164</v>
      </c>
      <c r="J3172" s="14">
        <v>1.250929564</v>
      </c>
      <c r="K3172" s="14">
        <v>1.162244281</v>
      </c>
      <c r="L3172" s="14">
        <v>0.833854726</v>
      </c>
      <c r="M3172" s="14">
        <v>0</v>
      </c>
      <c r="N3172" s="14">
        <v>0.078985765</v>
      </c>
      <c r="O3172" s="14">
        <v>0</v>
      </c>
    </row>
    <row r="3173" spans="1:21">
      <c r="A3173" s="14" t="s">
        <v>14826</v>
      </c>
      <c r="B3173" s="14">
        <v>14388.94826</v>
      </c>
      <c r="C3173" s="14">
        <v>24635.60299</v>
      </c>
      <c r="D3173" s="14">
        <v>4142.293525</v>
      </c>
      <c r="E3173" s="14">
        <v>0.168144272</v>
      </c>
      <c r="F3173" s="14">
        <v>-2.572228464</v>
      </c>
      <c r="G3173" s="51" t="s">
        <v>14827</v>
      </c>
      <c r="H3173" s="51" t="s">
        <v>14828</v>
      </c>
      <c r="I3173" s="14" t="s">
        <v>147</v>
      </c>
      <c r="J3173" s="14">
        <v>35.32578328</v>
      </c>
      <c r="K3173" s="14">
        <v>35.21083852</v>
      </c>
      <c r="L3173" s="14">
        <v>34.52143446</v>
      </c>
      <c r="M3173" s="14">
        <v>185.1665893</v>
      </c>
      <c r="N3173" s="14">
        <v>183.7843366</v>
      </c>
      <c r="O3173" s="14">
        <v>141.1116722</v>
      </c>
      <c r="P3173" s="14" t="s">
        <v>14829</v>
      </c>
      <c r="Q3173" s="14" t="s">
        <v>14830</v>
      </c>
      <c r="T3173" s="14" t="s">
        <v>14831</v>
      </c>
      <c r="U3173" s="14" t="s">
        <v>14832</v>
      </c>
    </row>
    <row r="3174" spans="1:21">
      <c r="A3174" s="14" t="s">
        <v>14833</v>
      </c>
      <c r="B3174" s="14">
        <v>9104.391471</v>
      </c>
      <c r="C3174" s="14">
        <v>3233.389106</v>
      </c>
      <c r="D3174" s="14">
        <v>14975.39384</v>
      </c>
      <c r="E3174" s="14">
        <v>4.63154284</v>
      </c>
      <c r="F3174" s="14">
        <v>2.211492858</v>
      </c>
      <c r="G3174" s="51" t="s">
        <v>12455</v>
      </c>
      <c r="H3174" s="51" t="s">
        <v>12456</v>
      </c>
      <c r="I3174" s="14" t="s">
        <v>164</v>
      </c>
      <c r="J3174" s="14">
        <v>75.39295499</v>
      </c>
      <c r="K3174" s="14">
        <v>201.8323461</v>
      </c>
      <c r="L3174" s="14">
        <v>62.81252174</v>
      </c>
      <c r="M3174" s="14">
        <v>21.63516967</v>
      </c>
      <c r="N3174" s="14">
        <v>20.88625876</v>
      </c>
      <c r="O3174" s="14">
        <v>17.83720329</v>
      </c>
      <c r="P3174" s="14" t="s">
        <v>14834</v>
      </c>
      <c r="Q3174" s="14" t="s">
        <v>14835</v>
      </c>
      <c r="R3174" s="14" t="s">
        <v>1128</v>
      </c>
      <c r="S3174" s="14" t="s">
        <v>1129</v>
      </c>
      <c r="T3174" s="14" t="s">
        <v>14836</v>
      </c>
      <c r="U3174" s="14" t="s">
        <v>14837</v>
      </c>
    </row>
    <row r="3175" spans="1:15">
      <c r="A3175" s="14" t="s">
        <v>14838</v>
      </c>
      <c r="B3175" s="14">
        <v>5.062127086</v>
      </c>
      <c r="C3175" s="14">
        <v>1.032881333</v>
      </c>
      <c r="D3175" s="14">
        <v>9.091372839</v>
      </c>
      <c r="E3175" s="14">
        <v>8.955422449</v>
      </c>
      <c r="F3175" s="14">
        <v>3.162761489</v>
      </c>
      <c r="G3175" s="14">
        <v>0.014023328</v>
      </c>
      <c r="H3175" s="14">
        <v>0.036009448</v>
      </c>
      <c r="I3175" s="14" t="s">
        <v>164</v>
      </c>
      <c r="J3175" s="14">
        <v>0.359907807</v>
      </c>
      <c r="K3175" s="14">
        <v>0.281756189</v>
      </c>
      <c r="L3175" s="14">
        <v>0.462049372</v>
      </c>
      <c r="M3175" s="14">
        <v>0.068430047</v>
      </c>
      <c r="N3175" s="14">
        <v>0</v>
      </c>
      <c r="O3175" s="14">
        <v>0.033475406</v>
      </c>
    </row>
    <row r="3176" spans="1:21">
      <c r="A3176" s="14" t="s">
        <v>14839</v>
      </c>
      <c r="B3176" s="14">
        <v>76354.19126</v>
      </c>
      <c r="C3176" s="14">
        <v>105719.8266</v>
      </c>
      <c r="D3176" s="14">
        <v>46988.5559</v>
      </c>
      <c r="E3176" s="14">
        <v>0.444464369</v>
      </c>
      <c r="F3176" s="14">
        <v>-1.169860327</v>
      </c>
      <c r="G3176" s="51" t="s">
        <v>14840</v>
      </c>
      <c r="H3176" s="51" t="s">
        <v>14841</v>
      </c>
      <c r="I3176" s="14" t="s">
        <v>147</v>
      </c>
      <c r="J3176" s="14">
        <v>149.0917088</v>
      </c>
      <c r="K3176" s="14">
        <v>148.9141322</v>
      </c>
      <c r="L3176" s="14">
        <v>140.555072</v>
      </c>
      <c r="M3176" s="14">
        <v>286.5999261</v>
      </c>
      <c r="N3176" s="14">
        <v>266.9424363</v>
      </c>
      <c r="O3176" s="14">
        <v>255.7429792</v>
      </c>
      <c r="P3176" s="14" t="s">
        <v>14842</v>
      </c>
      <c r="Q3176" s="14" t="s">
        <v>14843</v>
      </c>
      <c r="R3176" s="14" t="s">
        <v>841</v>
      </c>
      <c r="S3176" s="14" t="s">
        <v>842</v>
      </c>
      <c r="T3176" s="14" t="s">
        <v>14844</v>
      </c>
      <c r="U3176" s="14" t="s">
        <v>14845</v>
      </c>
    </row>
    <row r="3177" spans="1:15">
      <c r="A3177" s="14" t="s">
        <v>14846</v>
      </c>
      <c r="B3177" s="14">
        <v>177.2394317</v>
      </c>
      <c r="C3177" s="14">
        <v>326.3894386</v>
      </c>
      <c r="D3177" s="14">
        <v>28.0894248</v>
      </c>
      <c r="E3177" s="14">
        <v>0.086039691</v>
      </c>
      <c r="F3177" s="14">
        <v>-3.538853847</v>
      </c>
      <c r="G3177" s="51" t="s">
        <v>14847</v>
      </c>
      <c r="H3177" s="51" t="s">
        <v>1980</v>
      </c>
      <c r="I3177" s="14" t="s">
        <v>147</v>
      </c>
      <c r="J3177" s="14">
        <v>4.021087612</v>
      </c>
      <c r="K3177" s="14">
        <v>2.297141637</v>
      </c>
      <c r="L3177" s="14">
        <v>2.929936606</v>
      </c>
      <c r="M3177" s="14">
        <v>29.94096333</v>
      </c>
      <c r="N3177" s="14">
        <v>17.48466071</v>
      </c>
      <c r="O3177" s="14">
        <v>42.21209256</v>
      </c>
    </row>
    <row r="3178" spans="1:21">
      <c r="A3178" s="14" t="s">
        <v>14848</v>
      </c>
      <c r="B3178" s="14">
        <v>208.2585275</v>
      </c>
      <c r="C3178" s="14">
        <v>28.45128829</v>
      </c>
      <c r="D3178" s="14">
        <v>388.0657666</v>
      </c>
      <c r="E3178" s="14">
        <v>13.60079961</v>
      </c>
      <c r="F3178" s="14">
        <v>3.765619567</v>
      </c>
      <c r="G3178" s="51" t="s">
        <v>14849</v>
      </c>
      <c r="H3178" s="51" t="s">
        <v>14850</v>
      </c>
      <c r="I3178" s="14" t="s">
        <v>164</v>
      </c>
      <c r="J3178" s="14">
        <v>13.96336761</v>
      </c>
      <c r="K3178" s="14">
        <v>3.249979377</v>
      </c>
      <c r="L3178" s="14">
        <v>7.947356154</v>
      </c>
      <c r="M3178" s="14">
        <v>0.219546401</v>
      </c>
      <c r="N3178" s="14">
        <v>0.544124161</v>
      </c>
      <c r="O3178" s="14">
        <v>0.787601903</v>
      </c>
      <c r="P3178" s="14" t="s">
        <v>14851</v>
      </c>
      <c r="Q3178" s="14" t="s">
        <v>14852</v>
      </c>
      <c r="T3178" s="14" t="s">
        <v>14853</v>
      </c>
      <c r="U3178" s="14" t="s">
        <v>14854</v>
      </c>
    </row>
    <row r="3179" spans="1:21">
      <c r="A3179" s="14" t="s">
        <v>14855</v>
      </c>
      <c r="B3179" s="14">
        <v>8982.108498</v>
      </c>
      <c r="C3179" s="14">
        <v>12425.76943</v>
      </c>
      <c r="D3179" s="14">
        <v>5538.447566</v>
      </c>
      <c r="E3179" s="14">
        <v>0.445715863</v>
      </c>
      <c r="F3179" s="14">
        <v>-1.165803789</v>
      </c>
      <c r="G3179" s="51" t="s">
        <v>14856</v>
      </c>
      <c r="H3179" s="51" t="s">
        <v>14857</v>
      </c>
      <c r="I3179" s="14" t="s">
        <v>147</v>
      </c>
      <c r="J3179" s="14">
        <v>69.08215962</v>
      </c>
      <c r="K3179" s="14">
        <v>73.04516492</v>
      </c>
      <c r="L3179" s="14">
        <v>67.57534617</v>
      </c>
      <c r="M3179" s="14">
        <v>129.1265725</v>
      </c>
      <c r="N3179" s="14">
        <v>119.4367425</v>
      </c>
      <c r="O3179" s="14">
        <v>139.3477655</v>
      </c>
      <c r="P3179" s="14" t="s">
        <v>14858</v>
      </c>
      <c r="Q3179" s="14" t="s">
        <v>14859</v>
      </c>
      <c r="R3179" s="14" t="s">
        <v>14860</v>
      </c>
      <c r="S3179" s="14" t="s">
        <v>14861</v>
      </c>
      <c r="T3179" s="14" t="s">
        <v>14862</v>
      </c>
      <c r="U3179" s="14" t="s">
        <v>14863</v>
      </c>
    </row>
    <row r="3180" spans="1:21">
      <c r="A3180" s="14" t="s">
        <v>14864</v>
      </c>
      <c r="B3180" s="14">
        <v>1226.436394</v>
      </c>
      <c r="C3180" s="14">
        <v>760.8926562</v>
      </c>
      <c r="D3180" s="14">
        <v>1691.980132</v>
      </c>
      <c r="E3180" s="14">
        <v>2.223403787</v>
      </c>
      <c r="F3180" s="14">
        <v>1.152769976</v>
      </c>
      <c r="G3180" s="51" t="s">
        <v>12115</v>
      </c>
      <c r="H3180" s="51" t="s">
        <v>12116</v>
      </c>
      <c r="I3180" s="14" t="s">
        <v>164</v>
      </c>
      <c r="J3180" s="14">
        <v>8.582268324</v>
      </c>
      <c r="K3180" s="14">
        <v>13.50102014</v>
      </c>
      <c r="L3180" s="14">
        <v>11.04074253</v>
      </c>
      <c r="M3180" s="14">
        <v>3.707439345</v>
      </c>
      <c r="N3180" s="14">
        <v>3.96561998</v>
      </c>
      <c r="O3180" s="14">
        <v>4.645105084</v>
      </c>
      <c r="P3180" s="14" t="s">
        <v>14865</v>
      </c>
      <c r="Q3180" s="14" t="s">
        <v>14866</v>
      </c>
      <c r="T3180" s="14" t="s">
        <v>14867</v>
      </c>
      <c r="U3180" s="14" t="s">
        <v>14868</v>
      </c>
    </row>
    <row r="3181" spans="1:21">
      <c r="A3181" s="14" t="s">
        <v>14869</v>
      </c>
      <c r="B3181" s="14">
        <v>181.6352193</v>
      </c>
      <c r="C3181" s="14">
        <v>328.0864725</v>
      </c>
      <c r="D3181" s="14">
        <v>35.18396612</v>
      </c>
      <c r="E3181" s="14">
        <v>0.107219596</v>
      </c>
      <c r="F3181" s="14">
        <v>-3.221359486</v>
      </c>
      <c r="G3181" s="51" t="s">
        <v>12330</v>
      </c>
      <c r="H3181" s="14">
        <v>0.000103981</v>
      </c>
      <c r="I3181" s="14" t="s">
        <v>147</v>
      </c>
      <c r="J3181" s="14">
        <v>1.293268718</v>
      </c>
      <c r="K3181" s="14">
        <v>1.673631764</v>
      </c>
      <c r="L3181" s="14">
        <v>0.960600644</v>
      </c>
      <c r="M3181" s="14">
        <v>13.12009294</v>
      </c>
      <c r="N3181" s="14">
        <v>14.28568146</v>
      </c>
      <c r="O3181" s="14">
        <v>1.824945209</v>
      </c>
      <c r="P3181" s="14" t="s">
        <v>14870</v>
      </c>
      <c r="Q3181" s="14" t="s">
        <v>14871</v>
      </c>
      <c r="T3181" s="14" t="s">
        <v>14872</v>
      </c>
      <c r="U3181" s="14" t="s">
        <v>14873</v>
      </c>
    </row>
    <row r="3182" spans="1:21">
      <c r="A3182" s="14" t="s">
        <v>14874</v>
      </c>
      <c r="B3182" s="14">
        <v>10.7612444</v>
      </c>
      <c r="C3182" s="14">
        <v>0.677975751</v>
      </c>
      <c r="D3182" s="14">
        <v>20.84451306</v>
      </c>
      <c r="E3182" s="14">
        <v>30.92068803</v>
      </c>
      <c r="F3182" s="14">
        <v>4.950500517</v>
      </c>
      <c r="G3182" s="14">
        <v>0.000655135</v>
      </c>
      <c r="H3182" s="14">
        <v>0.002522137</v>
      </c>
      <c r="I3182" s="14" t="s">
        <v>164</v>
      </c>
      <c r="J3182" s="14">
        <v>1.022346813</v>
      </c>
      <c r="K3182" s="14">
        <v>0.95552099</v>
      </c>
      <c r="L3182" s="14">
        <v>0.316403374</v>
      </c>
      <c r="M3182" s="14">
        <v>0</v>
      </c>
      <c r="N3182" s="14">
        <v>0.059941767</v>
      </c>
      <c r="O3182" s="14">
        <v>0</v>
      </c>
      <c r="P3182" s="14" t="s">
        <v>14875</v>
      </c>
      <c r="Q3182" s="14" t="s">
        <v>14876</v>
      </c>
      <c r="T3182" s="14" t="s">
        <v>825</v>
      </c>
      <c r="U3182" s="14" t="s">
        <v>826</v>
      </c>
    </row>
    <row r="3183" spans="1:21">
      <c r="A3183" s="14" t="s">
        <v>14877</v>
      </c>
      <c r="B3183" s="14">
        <v>30.05093707</v>
      </c>
      <c r="C3183" s="14">
        <v>2.04984496</v>
      </c>
      <c r="D3183" s="14">
        <v>58.05202919</v>
      </c>
      <c r="E3183" s="14">
        <v>28.63235554</v>
      </c>
      <c r="F3183" s="14">
        <v>4.839574458</v>
      </c>
      <c r="G3183" s="51" t="s">
        <v>14878</v>
      </c>
      <c r="H3183" s="51" t="s">
        <v>14879</v>
      </c>
      <c r="I3183" s="14" t="s">
        <v>164</v>
      </c>
      <c r="J3183" s="14">
        <v>0.804332222</v>
      </c>
      <c r="K3183" s="14">
        <v>0.286216709</v>
      </c>
      <c r="L3183" s="14">
        <v>0.336377632</v>
      </c>
      <c r="M3183" s="14">
        <v>0.013902674</v>
      </c>
      <c r="N3183" s="14">
        <v>0.020006948</v>
      </c>
      <c r="O3183" s="14">
        <v>0.006801072</v>
      </c>
      <c r="P3183" s="14" t="s">
        <v>12268</v>
      </c>
      <c r="Q3183" s="14" t="s">
        <v>12269</v>
      </c>
      <c r="T3183" s="14" t="s">
        <v>494</v>
      </c>
      <c r="U3183" s="14" t="s">
        <v>495</v>
      </c>
    </row>
    <row r="3184" spans="1:15">
      <c r="A3184" s="14" t="s">
        <v>14880</v>
      </c>
      <c r="B3184" s="14">
        <v>68.02990126</v>
      </c>
      <c r="C3184" s="14">
        <v>93.91544083</v>
      </c>
      <c r="D3184" s="14">
        <v>42.14436169</v>
      </c>
      <c r="E3184" s="14">
        <v>0.449067494</v>
      </c>
      <c r="F3184" s="14">
        <v>-1.1549958</v>
      </c>
      <c r="G3184" s="51" t="s">
        <v>14881</v>
      </c>
      <c r="H3184" s="14">
        <v>0.000252022</v>
      </c>
      <c r="I3184" s="14" t="s">
        <v>147</v>
      </c>
      <c r="J3184" s="14">
        <v>0.307762073</v>
      </c>
      <c r="K3184" s="14">
        <v>0.302567726</v>
      </c>
      <c r="L3184" s="14">
        <v>0.3032199</v>
      </c>
      <c r="M3184" s="14">
        <v>0.606247449</v>
      </c>
      <c r="N3184" s="14">
        <v>0.481747891</v>
      </c>
      <c r="O3184" s="14">
        <v>0.587151005</v>
      </c>
    </row>
    <row r="3185" spans="1:21">
      <c r="A3185" s="14" t="s">
        <v>14882</v>
      </c>
      <c r="B3185" s="14">
        <v>265.1541858</v>
      </c>
      <c r="C3185" s="14">
        <v>412.287065</v>
      </c>
      <c r="D3185" s="14">
        <v>118.0213066</v>
      </c>
      <c r="E3185" s="14">
        <v>0.286301401</v>
      </c>
      <c r="F3185" s="14">
        <v>-1.804393363</v>
      </c>
      <c r="G3185" s="51" t="s">
        <v>6655</v>
      </c>
      <c r="H3185" s="51" t="s">
        <v>14883</v>
      </c>
      <c r="I3185" s="14" t="s">
        <v>147</v>
      </c>
      <c r="J3185" s="14">
        <v>1.378261512</v>
      </c>
      <c r="K3185" s="14">
        <v>1.746462987</v>
      </c>
      <c r="L3185" s="14">
        <v>1.267814646</v>
      </c>
      <c r="M3185" s="14">
        <v>4.969625821</v>
      </c>
      <c r="N3185" s="14">
        <v>4.82837318</v>
      </c>
      <c r="O3185" s="14">
        <v>2.647425934</v>
      </c>
      <c r="P3185" s="14" t="s">
        <v>14884</v>
      </c>
      <c r="Q3185" s="14" t="s">
        <v>14885</v>
      </c>
      <c r="R3185" s="14" t="s">
        <v>907</v>
      </c>
      <c r="S3185" s="14" t="s">
        <v>908</v>
      </c>
      <c r="T3185" s="14" t="s">
        <v>14886</v>
      </c>
      <c r="U3185" s="14" t="s">
        <v>14887</v>
      </c>
    </row>
    <row r="3186" spans="1:15">
      <c r="A3186" s="14" t="s">
        <v>14888</v>
      </c>
      <c r="B3186" s="14">
        <v>135.1612479</v>
      </c>
      <c r="C3186" s="14">
        <v>71.01071093</v>
      </c>
      <c r="D3186" s="14">
        <v>199.3117849</v>
      </c>
      <c r="E3186" s="14">
        <v>2.800293091</v>
      </c>
      <c r="F3186" s="14">
        <v>1.485577834</v>
      </c>
      <c r="G3186" s="51" t="s">
        <v>6924</v>
      </c>
      <c r="H3186" s="51" t="s">
        <v>6925</v>
      </c>
      <c r="I3186" s="14" t="s">
        <v>164</v>
      </c>
      <c r="J3186" s="14">
        <v>2.228172953</v>
      </c>
      <c r="K3186" s="14">
        <v>1.832224293</v>
      </c>
      <c r="L3186" s="14">
        <v>1.944264286</v>
      </c>
      <c r="M3186" s="14">
        <v>0.519157104</v>
      </c>
      <c r="N3186" s="14">
        <v>0.449079154</v>
      </c>
      <c r="O3186" s="14">
        <v>0.816026092</v>
      </c>
    </row>
    <row r="3187" spans="1:15">
      <c r="A3187" s="14" t="s">
        <v>14889</v>
      </c>
      <c r="B3187" s="14">
        <v>3.72764343</v>
      </c>
      <c r="C3187" s="14">
        <v>0.338987876</v>
      </c>
      <c r="D3187" s="14">
        <v>7.116298984</v>
      </c>
      <c r="E3187" s="14">
        <v>19.72508422</v>
      </c>
      <c r="F3187" s="14">
        <v>4.301959555</v>
      </c>
      <c r="G3187" s="14">
        <v>0.0190625</v>
      </c>
      <c r="H3187" s="14">
        <v>0.046687793</v>
      </c>
      <c r="I3187" s="14" t="s">
        <v>164</v>
      </c>
      <c r="J3187" s="14">
        <v>0.972382495</v>
      </c>
      <c r="K3187" s="14">
        <v>0.195746405</v>
      </c>
      <c r="L3187" s="14">
        <v>0.936257938</v>
      </c>
      <c r="M3187" s="14">
        <v>0</v>
      </c>
      <c r="N3187" s="14">
        <v>0.079817194</v>
      </c>
      <c r="O3187" s="14">
        <v>0</v>
      </c>
    </row>
    <row r="3188" spans="1:21">
      <c r="A3188" s="14" t="s">
        <v>14890</v>
      </c>
      <c r="B3188" s="14">
        <v>28.65908453</v>
      </c>
      <c r="C3188" s="14">
        <v>12.77667935</v>
      </c>
      <c r="D3188" s="14">
        <v>44.5414897</v>
      </c>
      <c r="E3188" s="14">
        <v>3.489261782</v>
      </c>
      <c r="F3188" s="14">
        <v>1.80292184</v>
      </c>
      <c r="G3188" s="14">
        <v>0.000181001</v>
      </c>
      <c r="H3188" s="14">
        <v>0.000804633</v>
      </c>
      <c r="I3188" s="14" t="s">
        <v>164</v>
      </c>
      <c r="J3188" s="14">
        <v>0.253392826</v>
      </c>
      <c r="K3188" s="14">
        <v>0.239432298</v>
      </c>
      <c r="L3188" s="14">
        <v>0.204145811</v>
      </c>
      <c r="M3188" s="14">
        <v>0.066367824</v>
      </c>
      <c r="N3188" s="14">
        <v>0.033958426</v>
      </c>
      <c r="O3188" s="14">
        <v>0.064933167</v>
      </c>
      <c r="P3188" s="14" t="s">
        <v>14891</v>
      </c>
      <c r="Q3188" s="14" t="s">
        <v>14892</v>
      </c>
      <c r="T3188" s="14" t="s">
        <v>14893</v>
      </c>
      <c r="U3188" s="14" t="s">
        <v>14894</v>
      </c>
    </row>
    <row r="3189" spans="1:15">
      <c r="A3189" s="14" t="s">
        <v>14895</v>
      </c>
      <c r="B3189" s="14">
        <v>57.79717272</v>
      </c>
      <c r="C3189" s="14">
        <v>31.03889915</v>
      </c>
      <c r="D3189" s="14">
        <v>84.55544628</v>
      </c>
      <c r="E3189" s="14">
        <v>2.727972762</v>
      </c>
      <c r="F3189" s="14">
        <v>1.447829239</v>
      </c>
      <c r="G3189" s="14">
        <v>0.000133058</v>
      </c>
      <c r="H3189" s="14">
        <v>0.000612446</v>
      </c>
      <c r="I3189" s="14" t="s">
        <v>164</v>
      </c>
      <c r="J3189" s="14">
        <v>7.498785005</v>
      </c>
      <c r="K3189" s="14">
        <v>11.92325897</v>
      </c>
      <c r="L3189" s="14">
        <v>8.371247445</v>
      </c>
      <c r="M3189" s="14">
        <v>3.161468178</v>
      </c>
      <c r="N3189" s="14">
        <v>2.408601221</v>
      </c>
      <c r="O3189" s="14">
        <v>2.82020446</v>
      </c>
    </row>
    <row r="3190" spans="1:21">
      <c r="A3190" s="14" t="s">
        <v>14896</v>
      </c>
      <c r="B3190" s="14">
        <v>348.6421273</v>
      </c>
      <c r="C3190" s="14">
        <v>218.9573184</v>
      </c>
      <c r="D3190" s="14">
        <v>478.3269362</v>
      </c>
      <c r="E3190" s="14">
        <v>2.183114424</v>
      </c>
      <c r="F3190" s="14">
        <v>1.126387749</v>
      </c>
      <c r="G3190" s="14">
        <v>0.018731418</v>
      </c>
      <c r="H3190" s="14">
        <v>0.045990731</v>
      </c>
      <c r="I3190" s="14" t="s">
        <v>164</v>
      </c>
      <c r="J3190" s="14">
        <v>10.46201321</v>
      </c>
      <c r="K3190" s="14">
        <v>4.243780045</v>
      </c>
      <c r="L3190" s="14">
        <v>5.999969643</v>
      </c>
      <c r="M3190" s="14">
        <v>1.711986378</v>
      </c>
      <c r="N3190" s="14">
        <v>1.877083067</v>
      </c>
      <c r="O3190" s="14">
        <v>4.414765487</v>
      </c>
      <c r="P3190" s="14" t="s">
        <v>12338</v>
      </c>
      <c r="Q3190" s="14" t="s">
        <v>12339</v>
      </c>
      <c r="T3190" s="14" t="s">
        <v>12340</v>
      </c>
      <c r="U3190" s="14" t="s">
        <v>12341</v>
      </c>
    </row>
    <row r="3191" spans="1:21">
      <c r="A3191" s="14" t="s">
        <v>14897</v>
      </c>
      <c r="B3191" s="14">
        <v>250.448018</v>
      </c>
      <c r="C3191" s="14">
        <v>142.4780795</v>
      </c>
      <c r="D3191" s="14">
        <v>358.4179565</v>
      </c>
      <c r="E3191" s="14">
        <v>2.511272938</v>
      </c>
      <c r="F3191" s="14">
        <v>1.328418837</v>
      </c>
      <c r="G3191" s="51" t="s">
        <v>14898</v>
      </c>
      <c r="H3191" s="51" t="s">
        <v>14899</v>
      </c>
      <c r="I3191" s="14" t="s">
        <v>164</v>
      </c>
      <c r="J3191" s="14">
        <v>11.2707971</v>
      </c>
      <c r="K3191" s="14">
        <v>12.64566265</v>
      </c>
      <c r="L3191" s="14">
        <v>12.06496025</v>
      </c>
      <c r="M3191" s="14">
        <v>3.063145005</v>
      </c>
      <c r="N3191" s="14">
        <v>4.08156108</v>
      </c>
      <c r="O3191" s="14">
        <v>4.717389386</v>
      </c>
      <c r="P3191" s="14" t="s">
        <v>14900</v>
      </c>
      <c r="Q3191" s="14" t="s">
        <v>14901</v>
      </c>
      <c r="T3191" s="14" t="s">
        <v>14902</v>
      </c>
      <c r="U3191" s="14" t="s">
        <v>14903</v>
      </c>
    </row>
    <row r="3192" spans="1:21">
      <c r="A3192" s="14" t="s">
        <v>14904</v>
      </c>
      <c r="B3192" s="14">
        <v>5484.896147</v>
      </c>
      <c r="C3192" s="14">
        <v>7633.33349</v>
      </c>
      <c r="D3192" s="14">
        <v>3336.458803</v>
      </c>
      <c r="E3192" s="14">
        <v>0.437100277</v>
      </c>
      <c r="F3192" s="14">
        <v>-1.193963803</v>
      </c>
      <c r="G3192" s="14">
        <v>0.000508468</v>
      </c>
      <c r="H3192" s="14">
        <v>0.002015879</v>
      </c>
      <c r="I3192" s="14" t="s">
        <v>147</v>
      </c>
      <c r="J3192" s="14">
        <v>37.17640318</v>
      </c>
      <c r="K3192" s="14">
        <v>43.91578307</v>
      </c>
      <c r="L3192" s="14">
        <v>34.84427672</v>
      </c>
      <c r="M3192" s="14">
        <v>89.03666543</v>
      </c>
      <c r="N3192" s="14">
        <v>82.85590418</v>
      </c>
      <c r="O3192" s="14">
        <v>42.76283981</v>
      </c>
      <c r="P3192" s="14" t="s">
        <v>14905</v>
      </c>
      <c r="Q3192" s="14" t="s">
        <v>14906</v>
      </c>
      <c r="R3192" s="14" t="s">
        <v>798</v>
      </c>
      <c r="S3192" s="14" t="s">
        <v>799</v>
      </c>
      <c r="T3192" s="14" t="s">
        <v>14907</v>
      </c>
      <c r="U3192" s="14" t="s">
        <v>14908</v>
      </c>
    </row>
    <row r="3193" spans="1:15">
      <c r="A3193" s="14" t="s">
        <v>14909</v>
      </c>
      <c r="B3193" s="14">
        <v>2638.452157</v>
      </c>
      <c r="C3193" s="14">
        <v>552.0109309</v>
      </c>
      <c r="D3193" s="14">
        <v>4724.893383</v>
      </c>
      <c r="E3193" s="14">
        <v>8.56140236</v>
      </c>
      <c r="F3193" s="14">
        <v>3.09784713</v>
      </c>
      <c r="G3193" s="51" t="s">
        <v>10194</v>
      </c>
      <c r="H3193" s="51" t="s">
        <v>14910</v>
      </c>
      <c r="I3193" s="14" t="s">
        <v>164</v>
      </c>
      <c r="J3193" s="14">
        <v>122.3428003</v>
      </c>
      <c r="K3193" s="14">
        <v>55.60917301</v>
      </c>
      <c r="L3193" s="14">
        <v>104.6078464</v>
      </c>
      <c r="M3193" s="14">
        <v>9.376473898</v>
      </c>
      <c r="N3193" s="14">
        <v>11.69753343</v>
      </c>
      <c r="O3193" s="14">
        <v>5.642867686</v>
      </c>
    </row>
    <row r="3194" spans="1:19">
      <c r="A3194" s="14" t="s">
        <v>14911</v>
      </c>
      <c r="B3194" s="14">
        <v>1355.891117</v>
      </c>
      <c r="C3194" s="14">
        <v>879.8596482</v>
      </c>
      <c r="D3194" s="14">
        <v>1831.922585</v>
      </c>
      <c r="E3194" s="14">
        <v>2.081362805</v>
      </c>
      <c r="F3194" s="14">
        <v>1.057528465</v>
      </c>
      <c r="G3194" s="51" t="s">
        <v>14912</v>
      </c>
      <c r="H3194" s="14">
        <v>0.000214387</v>
      </c>
      <c r="I3194" s="14" t="s">
        <v>164</v>
      </c>
      <c r="J3194" s="14">
        <v>12.08246363</v>
      </c>
      <c r="K3194" s="14">
        <v>10.83029866</v>
      </c>
      <c r="L3194" s="14">
        <v>12.90689103</v>
      </c>
      <c r="M3194" s="14">
        <v>3.692427044</v>
      </c>
      <c r="N3194" s="14">
        <v>3.685414035</v>
      </c>
      <c r="O3194" s="14">
        <v>7.020016958</v>
      </c>
      <c r="R3194" s="14" t="s">
        <v>14913</v>
      </c>
      <c r="S3194" s="14" t="s">
        <v>14914</v>
      </c>
    </row>
    <row r="3195" spans="1:17">
      <c r="A3195" s="14" t="s">
        <v>14915</v>
      </c>
      <c r="B3195" s="14">
        <v>5860.663451</v>
      </c>
      <c r="C3195" s="14">
        <v>7978.272414</v>
      </c>
      <c r="D3195" s="14">
        <v>3743.054487</v>
      </c>
      <c r="E3195" s="14">
        <v>0.469169455</v>
      </c>
      <c r="F3195" s="14">
        <v>-1.091819004</v>
      </c>
      <c r="G3195" s="51" t="s">
        <v>14916</v>
      </c>
      <c r="H3195" s="51" t="s">
        <v>14917</v>
      </c>
      <c r="I3195" s="14" t="s">
        <v>147</v>
      </c>
      <c r="J3195" s="14">
        <v>46.00198979</v>
      </c>
      <c r="K3195" s="14">
        <v>47.63008637</v>
      </c>
      <c r="L3195" s="14">
        <v>40.98617672</v>
      </c>
      <c r="M3195" s="14">
        <v>92.70883419</v>
      </c>
      <c r="N3195" s="14">
        <v>80.5150815</v>
      </c>
      <c r="O3195" s="14">
        <v>60.52290161</v>
      </c>
      <c r="P3195" s="14" t="s">
        <v>14918</v>
      </c>
      <c r="Q3195" s="14" t="s">
        <v>14919</v>
      </c>
    </row>
    <row r="3196" spans="1:15">
      <c r="A3196" s="14" t="s">
        <v>14920</v>
      </c>
      <c r="B3196" s="14">
        <v>3068.636632</v>
      </c>
      <c r="C3196" s="14">
        <v>1438.180474</v>
      </c>
      <c r="D3196" s="14">
        <v>4699.09279</v>
      </c>
      <c r="E3196" s="14">
        <v>3.267612429</v>
      </c>
      <c r="F3196" s="14">
        <v>1.708236876</v>
      </c>
      <c r="G3196" s="51" t="s">
        <v>14921</v>
      </c>
      <c r="H3196" s="51" t="s">
        <v>14922</v>
      </c>
      <c r="I3196" s="14" t="s">
        <v>164</v>
      </c>
      <c r="J3196" s="14">
        <v>58.23082359</v>
      </c>
      <c r="K3196" s="14">
        <v>115.5424193</v>
      </c>
      <c r="L3196" s="14">
        <v>78.54580328</v>
      </c>
      <c r="M3196" s="14">
        <v>21.88825582</v>
      </c>
      <c r="N3196" s="14">
        <v>22.41272956</v>
      </c>
      <c r="O3196" s="14">
        <v>19.00757545</v>
      </c>
    </row>
    <row r="3197" spans="1:21">
      <c r="A3197" s="14" t="s">
        <v>14923</v>
      </c>
      <c r="B3197" s="14">
        <v>267.8018931</v>
      </c>
      <c r="C3197" s="14">
        <v>174.6120394</v>
      </c>
      <c r="D3197" s="14">
        <v>360.9917468</v>
      </c>
      <c r="E3197" s="14">
        <v>2.065078716</v>
      </c>
      <c r="F3197" s="14">
        <v>1.046196775</v>
      </c>
      <c r="G3197" s="14">
        <v>0.002455172</v>
      </c>
      <c r="H3197" s="14">
        <v>0.00799086</v>
      </c>
      <c r="I3197" s="14" t="s">
        <v>164</v>
      </c>
      <c r="J3197" s="14">
        <v>1.803884376</v>
      </c>
      <c r="K3197" s="14">
        <v>1.415436604</v>
      </c>
      <c r="L3197" s="14">
        <v>2.091713272</v>
      </c>
      <c r="M3197" s="14">
        <v>0.502017913</v>
      </c>
      <c r="N3197" s="14">
        <v>0.545312748</v>
      </c>
      <c r="O3197" s="14">
        <v>1.108167716</v>
      </c>
      <c r="P3197" s="14" t="s">
        <v>14924</v>
      </c>
      <c r="Q3197" s="14" t="s">
        <v>14925</v>
      </c>
      <c r="R3197" s="14" t="s">
        <v>9953</v>
      </c>
      <c r="S3197" s="14" t="s">
        <v>9954</v>
      </c>
      <c r="T3197" s="14" t="s">
        <v>14926</v>
      </c>
      <c r="U3197" s="14" t="s">
        <v>14927</v>
      </c>
    </row>
    <row r="3198" spans="1:21">
      <c r="A3198" s="14" t="s">
        <v>14928</v>
      </c>
      <c r="B3198" s="14">
        <v>61070.20908</v>
      </c>
      <c r="C3198" s="14">
        <v>87945.67912</v>
      </c>
      <c r="D3198" s="14">
        <v>34194.73904</v>
      </c>
      <c r="E3198" s="14">
        <v>0.388816802</v>
      </c>
      <c r="F3198" s="14">
        <v>-1.362837531</v>
      </c>
      <c r="G3198" s="51" t="s">
        <v>14929</v>
      </c>
      <c r="H3198" s="51" t="s">
        <v>14930</v>
      </c>
      <c r="I3198" s="14" t="s">
        <v>147</v>
      </c>
      <c r="J3198" s="14">
        <v>139.7011176</v>
      </c>
      <c r="K3198" s="14">
        <v>178.1008139</v>
      </c>
      <c r="L3198" s="14">
        <v>122.3294343</v>
      </c>
      <c r="M3198" s="14">
        <v>346.0460024</v>
      </c>
      <c r="N3198" s="14">
        <v>331.2457708</v>
      </c>
      <c r="O3198" s="14">
        <v>247.040394</v>
      </c>
      <c r="P3198" s="14" t="s">
        <v>14931</v>
      </c>
      <c r="Q3198" s="14" t="s">
        <v>14932</v>
      </c>
      <c r="R3198" s="14" t="s">
        <v>14933</v>
      </c>
      <c r="S3198" s="14" t="s">
        <v>14934</v>
      </c>
      <c r="T3198" s="14" t="s">
        <v>14935</v>
      </c>
      <c r="U3198" s="14" t="s">
        <v>14936</v>
      </c>
    </row>
    <row r="3199" spans="1:21">
      <c r="A3199" s="14" t="s">
        <v>14937</v>
      </c>
      <c r="B3199" s="14">
        <v>704.586091</v>
      </c>
      <c r="C3199" s="14">
        <v>1051.952548</v>
      </c>
      <c r="D3199" s="14">
        <v>357.2196344</v>
      </c>
      <c r="E3199" s="14">
        <v>0.339604578</v>
      </c>
      <c r="F3199" s="14">
        <v>-1.558072189</v>
      </c>
      <c r="G3199" s="14">
        <v>0.005359042</v>
      </c>
      <c r="H3199" s="14">
        <v>0.015729217</v>
      </c>
      <c r="I3199" s="14" t="s">
        <v>147</v>
      </c>
      <c r="J3199" s="14">
        <v>2.952800494</v>
      </c>
      <c r="K3199" s="14">
        <v>3.680136701</v>
      </c>
      <c r="L3199" s="14">
        <v>2.751119572</v>
      </c>
      <c r="M3199" s="14">
        <v>9.384834633</v>
      </c>
      <c r="N3199" s="14">
        <v>10.43651715</v>
      </c>
      <c r="O3199" s="14">
        <v>2.319118608</v>
      </c>
      <c r="P3199" s="14" t="s">
        <v>10008</v>
      </c>
      <c r="Q3199" s="14" t="s">
        <v>10009</v>
      </c>
      <c r="T3199" s="14" t="s">
        <v>1510</v>
      </c>
      <c r="U3199" s="14" t="s">
        <v>1511</v>
      </c>
    </row>
    <row r="3200" spans="1:21">
      <c r="A3200" s="14" t="s">
        <v>14938</v>
      </c>
      <c r="B3200" s="14">
        <v>482.449616</v>
      </c>
      <c r="C3200" s="14">
        <v>274.962384</v>
      </c>
      <c r="D3200" s="14">
        <v>689.9368479</v>
      </c>
      <c r="E3200" s="14">
        <v>2.509945596</v>
      </c>
      <c r="F3200" s="14">
        <v>1.327656094</v>
      </c>
      <c r="G3200" s="51" t="s">
        <v>14939</v>
      </c>
      <c r="H3200" s="51" t="s">
        <v>11520</v>
      </c>
      <c r="I3200" s="14" t="s">
        <v>164</v>
      </c>
      <c r="J3200" s="14">
        <v>6.112506923</v>
      </c>
      <c r="K3200" s="14">
        <v>6.126424652</v>
      </c>
      <c r="L3200" s="14">
        <v>5.744505251</v>
      </c>
      <c r="M3200" s="14">
        <v>1.635242161</v>
      </c>
      <c r="N3200" s="14">
        <v>2.678302038</v>
      </c>
      <c r="O3200" s="14">
        <v>1.5422397</v>
      </c>
      <c r="P3200" s="14" t="s">
        <v>14940</v>
      </c>
      <c r="Q3200" s="14" t="s">
        <v>14941</v>
      </c>
      <c r="T3200" s="14" t="s">
        <v>14942</v>
      </c>
      <c r="U3200" s="14" t="s">
        <v>14943</v>
      </c>
    </row>
    <row r="3201" spans="1:21">
      <c r="A3201" s="14" t="s">
        <v>14944</v>
      </c>
      <c r="B3201" s="14">
        <v>3127.793927</v>
      </c>
      <c r="C3201" s="14">
        <v>4215.057136</v>
      </c>
      <c r="D3201" s="14">
        <v>2040.530719</v>
      </c>
      <c r="E3201" s="14">
        <v>0.484102765</v>
      </c>
      <c r="F3201" s="14">
        <v>-1.046614759</v>
      </c>
      <c r="G3201" s="51" t="s">
        <v>14945</v>
      </c>
      <c r="H3201" s="51" t="s">
        <v>14946</v>
      </c>
      <c r="I3201" s="14" t="s">
        <v>147</v>
      </c>
      <c r="J3201" s="14">
        <v>18.53779908</v>
      </c>
      <c r="K3201" s="14">
        <v>16.46167038</v>
      </c>
      <c r="L3201" s="14">
        <v>17.70953496</v>
      </c>
      <c r="M3201" s="14">
        <v>29.10982622</v>
      </c>
      <c r="N3201" s="14">
        <v>27.30447986</v>
      </c>
      <c r="O3201" s="14">
        <v>33.4557426</v>
      </c>
      <c r="P3201" s="14" t="s">
        <v>14947</v>
      </c>
      <c r="Q3201" s="14" t="s">
        <v>14948</v>
      </c>
      <c r="T3201" s="14" t="s">
        <v>14949</v>
      </c>
      <c r="U3201" s="14" t="s">
        <v>14950</v>
      </c>
    </row>
    <row r="3202" spans="1:21">
      <c r="A3202" s="14" t="s">
        <v>14951</v>
      </c>
      <c r="B3202" s="14">
        <v>2798.651368</v>
      </c>
      <c r="C3202" s="14">
        <v>1232.900184</v>
      </c>
      <c r="D3202" s="14">
        <v>4364.402553</v>
      </c>
      <c r="E3202" s="14">
        <v>3.540861932</v>
      </c>
      <c r="F3202" s="14">
        <v>1.82410059</v>
      </c>
      <c r="G3202" s="51" t="s">
        <v>14952</v>
      </c>
      <c r="H3202" s="51" t="s">
        <v>14953</v>
      </c>
      <c r="I3202" s="14" t="s">
        <v>164</v>
      </c>
      <c r="J3202" s="14">
        <v>57.81783706</v>
      </c>
      <c r="K3202" s="14">
        <v>48.82673468</v>
      </c>
      <c r="L3202" s="14">
        <v>57.2808971</v>
      </c>
      <c r="M3202" s="14">
        <v>12.45994558</v>
      </c>
      <c r="N3202" s="14">
        <v>13.46968701</v>
      </c>
      <c r="O3202" s="14">
        <v>12.04535217</v>
      </c>
      <c r="P3202" s="14" t="s">
        <v>14954</v>
      </c>
      <c r="Q3202" s="14" t="s">
        <v>14955</v>
      </c>
      <c r="T3202" s="14" t="s">
        <v>14956</v>
      </c>
      <c r="U3202" s="14" t="s">
        <v>14957</v>
      </c>
    </row>
    <row r="3203" spans="1:15">
      <c r="A3203" s="14" t="s">
        <v>14958</v>
      </c>
      <c r="B3203" s="14">
        <v>6010.238494</v>
      </c>
      <c r="C3203" s="14">
        <v>2265.873316</v>
      </c>
      <c r="D3203" s="14">
        <v>9754.603672</v>
      </c>
      <c r="E3203" s="14">
        <v>4.30460386</v>
      </c>
      <c r="F3203" s="14">
        <v>2.105880477</v>
      </c>
      <c r="G3203" s="51" t="s">
        <v>14959</v>
      </c>
      <c r="H3203" s="51" t="s">
        <v>14960</v>
      </c>
      <c r="I3203" s="14" t="s">
        <v>164</v>
      </c>
      <c r="J3203" s="14">
        <v>122.1160607</v>
      </c>
      <c r="K3203" s="14">
        <v>137.4554108</v>
      </c>
      <c r="L3203" s="14">
        <v>124.1219929</v>
      </c>
      <c r="M3203" s="14">
        <v>22.99956983</v>
      </c>
      <c r="N3203" s="14">
        <v>23.07850751</v>
      </c>
      <c r="O3203" s="14">
        <v>27.57059825</v>
      </c>
    </row>
    <row r="3204" spans="1:21">
      <c r="A3204" s="14" t="s">
        <v>14961</v>
      </c>
      <c r="B3204" s="14">
        <v>6473.414064</v>
      </c>
      <c r="C3204" s="14">
        <v>1454.742846</v>
      </c>
      <c r="D3204" s="14">
        <v>11492.08528</v>
      </c>
      <c r="E3204" s="14">
        <v>7.899228921</v>
      </c>
      <c r="F3204" s="14">
        <v>2.981711832</v>
      </c>
      <c r="G3204" s="51" t="s">
        <v>14962</v>
      </c>
      <c r="H3204" s="51" t="s">
        <v>14963</v>
      </c>
      <c r="I3204" s="14" t="s">
        <v>164</v>
      </c>
      <c r="J3204" s="14">
        <v>164.2208837</v>
      </c>
      <c r="K3204" s="14">
        <v>101.7053149</v>
      </c>
      <c r="L3204" s="14">
        <v>171.3892175</v>
      </c>
      <c r="M3204" s="14">
        <v>12.42414078</v>
      </c>
      <c r="N3204" s="14">
        <v>16.03675514</v>
      </c>
      <c r="O3204" s="14">
        <v>17.23613793</v>
      </c>
      <c r="P3204" s="14" t="s">
        <v>6153</v>
      </c>
      <c r="Q3204" s="14" t="s">
        <v>6154</v>
      </c>
      <c r="T3204" s="14" t="s">
        <v>6155</v>
      </c>
      <c r="U3204" s="14" t="s">
        <v>6156</v>
      </c>
    </row>
    <row r="3205" spans="1:21">
      <c r="A3205" s="14" t="s">
        <v>14964</v>
      </c>
      <c r="B3205" s="14">
        <v>3433.428872</v>
      </c>
      <c r="C3205" s="14">
        <v>5098.802739</v>
      </c>
      <c r="D3205" s="14">
        <v>1768.055005</v>
      </c>
      <c r="E3205" s="14">
        <v>0.346771571</v>
      </c>
      <c r="F3205" s="14">
        <v>-1.527942468</v>
      </c>
      <c r="G3205" s="51" t="s">
        <v>14965</v>
      </c>
      <c r="H3205" s="51" t="s">
        <v>14966</v>
      </c>
      <c r="I3205" s="14" t="s">
        <v>147</v>
      </c>
      <c r="J3205" s="14">
        <v>23.11704268</v>
      </c>
      <c r="K3205" s="14">
        <v>22.92767118</v>
      </c>
      <c r="L3205" s="14">
        <v>20.98013156</v>
      </c>
      <c r="M3205" s="14">
        <v>56.4649931</v>
      </c>
      <c r="N3205" s="14">
        <v>57.68694856</v>
      </c>
      <c r="O3205" s="14">
        <v>43.72379582</v>
      </c>
      <c r="P3205" s="14" t="s">
        <v>14967</v>
      </c>
      <c r="Q3205" s="14" t="s">
        <v>14968</v>
      </c>
      <c r="T3205" s="14" t="s">
        <v>14969</v>
      </c>
      <c r="U3205" s="14" t="s">
        <v>14970</v>
      </c>
    </row>
    <row r="3206" spans="1:21">
      <c r="A3206" s="14" t="s">
        <v>14971</v>
      </c>
      <c r="B3206" s="14">
        <v>12.69877737</v>
      </c>
      <c r="C3206" s="14">
        <v>3.730803015</v>
      </c>
      <c r="D3206" s="14">
        <v>21.66675173</v>
      </c>
      <c r="E3206" s="14">
        <v>5.828495533</v>
      </c>
      <c r="F3206" s="14">
        <v>2.543123539</v>
      </c>
      <c r="G3206" s="14">
        <v>0.007329183</v>
      </c>
      <c r="H3206" s="14">
        <v>0.020624762</v>
      </c>
      <c r="I3206" s="14" t="s">
        <v>164</v>
      </c>
      <c r="J3206" s="14">
        <v>0.359241311</v>
      </c>
      <c r="K3206" s="14">
        <v>1.962901452</v>
      </c>
      <c r="L3206" s="14">
        <v>1.037685881</v>
      </c>
      <c r="M3206" s="14">
        <v>0.175637121</v>
      </c>
      <c r="N3206" s="14">
        <v>0.168502966</v>
      </c>
      <c r="O3206" s="14">
        <v>0.128880311</v>
      </c>
      <c r="P3206" s="14" t="s">
        <v>14972</v>
      </c>
      <c r="Q3206" s="14" t="s">
        <v>14973</v>
      </c>
      <c r="R3206" s="14" t="s">
        <v>1536</v>
      </c>
      <c r="S3206" s="14" t="s">
        <v>1537</v>
      </c>
      <c r="T3206" s="14" t="s">
        <v>14974</v>
      </c>
      <c r="U3206" s="14" t="s">
        <v>14975</v>
      </c>
    </row>
    <row r="3207" spans="1:21">
      <c r="A3207" s="14" t="s">
        <v>14976</v>
      </c>
      <c r="B3207" s="14">
        <v>10466.48173</v>
      </c>
      <c r="C3207" s="14">
        <v>14814.94582</v>
      </c>
      <c r="D3207" s="14">
        <v>6118.017632</v>
      </c>
      <c r="E3207" s="14">
        <v>0.412966541</v>
      </c>
      <c r="F3207" s="14">
        <v>-1.275903198</v>
      </c>
      <c r="G3207" s="51" t="s">
        <v>14624</v>
      </c>
      <c r="H3207" s="14">
        <v>0.000139032</v>
      </c>
      <c r="I3207" s="14" t="s">
        <v>147</v>
      </c>
      <c r="J3207" s="14">
        <v>43.23831526</v>
      </c>
      <c r="K3207" s="14">
        <v>52.63566707</v>
      </c>
      <c r="L3207" s="14">
        <v>40.50392241</v>
      </c>
      <c r="M3207" s="14">
        <v>104.2754925</v>
      </c>
      <c r="N3207" s="14">
        <v>104.0560699</v>
      </c>
      <c r="O3207" s="14">
        <v>59.81266371</v>
      </c>
      <c r="P3207" s="14" t="s">
        <v>14977</v>
      </c>
      <c r="Q3207" s="14" t="s">
        <v>14978</v>
      </c>
      <c r="R3207" s="14" t="s">
        <v>771</v>
      </c>
      <c r="S3207" s="14" t="s">
        <v>772</v>
      </c>
      <c r="T3207" s="14" t="s">
        <v>14979</v>
      </c>
      <c r="U3207" s="14" t="s">
        <v>14980</v>
      </c>
    </row>
    <row r="3208" spans="1:21">
      <c r="A3208" s="14" t="s">
        <v>14981</v>
      </c>
      <c r="B3208" s="14">
        <v>100335.4231</v>
      </c>
      <c r="C3208" s="14">
        <v>143161.9068</v>
      </c>
      <c r="D3208" s="14">
        <v>57508.93946</v>
      </c>
      <c r="E3208" s="14">
        <v>0.401706023</v>
      </c>
      <c r="F3208" s="14">
        <v>-1.315788002</v>
      </c>
      <c r="G3208" s="51" t="s">
        <v>14982</v>
      </c>
      <c r="H3208" s="51" t="s">
        <v>14983</v>
      </c>
      <c r="I3208" s="14" t="s">
        <v>147</v>
      </c>
      <c r="J3208" s="14">
        <v>437.357206</v>
      </c>
      <c r="K3208" s="14">
        <v>514.7415033</v>
      </c>
      <c r="L3208" s="14">
        <v>438.8518755</v>
      </c>
      <c r="M3208" s="14">
        <v>998.7203775</v>
      </c>
      <c r="N3208" s="14">
        <v>964.8179564</v>
      </c>
      <c r="O3208" s="14">
        <v>875.1263009</v>
      </c>
      <c r="P3208" s="14" t="s">
        <v>14984</v>
      </c>
      <c r="Q3208" s="14" t="s">
        <v>14985</v>
      </c>
      <c r="T3208" s="14" t="s">
        <v>14986</v>
      </c>
      <c r="U3208" s="14" t="s">
        <v>14987</v>
      </c>
    </row>
    <row r="3209" spans="1:15">
      <c r="A3209" s="14" t="s">
        <v>14988</v>
      </c>
      <c r="B3209" s="14">
        <v>2739.161821</v>
      </c>
      <c r="C3209" s="14">
        <v>4234.449379</v>
      </c>
      <c r="D3209" s="14">
        <v>1243.874264</v>
      </c>
      <c r="E3209" s="14">
        <v>0.293763509</v>
      </c>
      <c r="F3209" s="14">
        <v>-1.767272898</v>
      </c>
      <c r="G3209" s="51" t="s">
        <v>14989</v>
      </c>
      <c r="H3209" s="51" t="s">
        <v>6738</v>
      </c>
      <c r="I3209" s="14" t="s">
        <v>147</v>
      </c>
      <c r="J3209" s="14">
        <v>31.76449484</v>
      </c>
      <c r="K3209" s="14">
        <v>37.68118299</v>
      </c>
      <c r="L3209" s="14">
        <v>32.24888453</v>
      </c>
      <c r="M3209" s="14">
        <v>109.7500905</v>
      </c>
      <c r="N3209" s="14">
        <v>103.0085237</v>
      </c>
      <c r="O3209" s="14">
        <v>68.82660837</v>
      </c>
    </row>
    <row r="3210" spans="1:21">
      <c r="A3210" s="14" t="s">
        <v>14990</v>
      </c>
      <c r="B3210" s="14">
        <v>143.4159281</v>
      </c>
      <c r="C3210" s="14">
        <v>39.87824192</v>
      </c>
      <c r="D3210" s="14">
        <v>246.9536142</v>
      </c>
      <c r="E3210" s="14">
        <v>6.165127295</v>
      </c>
      <c r="F3210" s="14">
        <v>2.624130683</v>
      </c>
      <c r="G3210" s="51" t="s">
        <v>14991</v>
      </c>
      <c r="H3210" s="51" t="s">
        <v>14992</v>
      </c>
      <c r="I3210" s="14" t="s">
        <v>164</v>
      </c>
      <c r="J3210" s="14">
        <v>3.32185718</v>
      </c>
      <c r="K3210" s="14">
        <v>3.622177514</v>
      </c>
      <c r="L3210" s="14">
        <v>4.575558008</v>
      </c>
      <c r="M3210" s="14">
        <v>0.250005114</v>
      </c>
      <c r="N3210" s="14">
        <v>0.492324149</v>
      </c>
      <c r="O3210" s="14">
        <v>0.823918528</v>
      </c>
      <c r="P3210" s="14" t="s">
        <v>14993</v>
      </c>
      <c r="Q3210" s="14" t="s">
        <v>14994</v>
      </c>
      <c r="T3210" s="14" t="s">
        <v>2960</v>
      </c>
      <c r="U3210" s="14" t="s">
        <v>2961</v>
      </c>
    </row>
    <row r="3211" spans="1:15">
      <c r="A3211" s="14" t="s">
        <v>14995</v>
      </c>
      <c r="B3211" s="14">
        <v>728.0061294</v>
      </c>
      <c r="C3211" s="14">
        <v>479.8665149</v>
      </c>
      <c r="D3211" s="14">
        <v>976.1457438</v>
      </c>
      <c r="E3211" s="14">
        <v>2.034572648</v>
      </c>
      <c r="F3211" s="14">
        <v>1.024725795</v>
      </c>
      <c r="G3211" s="51" t="s">
        <v>8096</v>
      </c>
      <c r="H3211" s="51" t="s">
        <v>11610</v>
      </c>
      <c r="I3211" s="14" t="s">
        <v>164</v>
      </c>
      <c r="J3211" s="14">
        <v>6.699973119</v>
      </c>
      <c r="K3211" s="14">
        <v>7.372492331</v>
      </c>
      <c r="L3211" s="14">
        <v>6.206506517</v>
      </c>
      <c r="M3211" s="14">
        <v>2.572559565</v>
      </c>
      <c r="N3211" s="14">
        <v>2.952662824</v>
      </c>
      <c r="O3211" s="14">
        <v>2.672103557</v>
      </c>
    </row>
    <row r="3212" spans="1:15">
      <c r="A3212" s="14" t="s">
        <v>14996</v>
      </c>
      <c r="B3212" s="14">
        <v>1664.086363</v>
      </c>
      <c r="C3212" s="14">
        <v>2342.081086</v>
      </c>
      <c r="D3212" s="14">
        <v>986.0916403</v>
      </c>
      <c r="E3212" s="14">
        <v>0.42107494</v>
      </c>
      <c r="F3212" s="14">
        <v>-1.247851078</v>
      </c>
      <c r="G3212" s="51" t="s">
        <v>14997</v>
      </c>
      <c r="H3212" s="14">
        <v>0.000116155</v>
      </c>
      <c r="I3212" s="14" t="s">
        <v>147</v>
      </c>
      <c r="J3212" s="14">
        <v>46.86368103</v>
      </c>
      <c r="K3212" s="14">
        <v>55.0228115</v>
      </c>
      <c r="L3212" s="14">
        <v>49.36663884</v>
      </c>
      <c r="M3212" s="14">
        <v>118.4683619</v>
      </c>
      <c r="N3212" s="14">
        <v>106.3786641</v>
      </c>
      <c r="O3212" s="14">
        <v>66.66905465</v>
      </c>
    </row>
    <row r="3213" spans="1:21">
      <c r="A3213" s="14" t="s">
        <v>14998</v>
      </c>
      <c r="B3213" s="14">
        <v>4525.837342</v>
      </c>
      <c r="C3213" s="14">
        <v>6353.533045</v>
      </c>
      <c r="D3213" s="14">
        <v>2698.14164</v>
      </c>
      <c r="E3213" s="14">
        <v>0.424683209</v>
      </c>
      <c r="F3213" s="14">
        <v>-1.235541026</v>
      </c>
      <c r="G3213" s="51" t="s">
        <v>14999</v>
      </c>
      <c r="H3213" s="51" t="s">
        <v>15000</v>
      </c>
      <c r="I3213" s="14" t="s">
        <v>147</v>
      </c>
      <c r="J3213" s="14">
        <v>62.21474076</v>
      </c>
      <c r="K3213" s="14">
        <v>45.34050808</v>
      </c>
      <c r="L3213" s="14">
        <v>61.25448388</v>
      </c>
      <c r="M3213" s="14">
        <v>107.9972124</v>
      </c>
      <c r="N3213" s="14">
        <v>95.88671949</v>
      </c>
      <c r="O3213" s="14">
        <v>124.1108761</v>
      </c>
      <c r="P3213" s="14" t="s">
        <v>15001</v>
      </c>
      <c r="Q3213" s="14" t="s">
        <v>15002</v>
      </c>
      <c r="R3213" s="14" t="s">
        <v>15003</v>
      </c>
      <c r="S3213" s="14" t="s">
        <v>15004</v>
      </c>
      <c r="T3213" s="14" t="s">
        <v>15005</v>
      </c>
      <c r="U3213" s="14" t="s">
        <v>15006</v>
      </c>
    </row>
    <row r="3214" spans="1:21">
      <c r="A3214" s="14" t="s">
        <v>15007</v>
      </c>
      <c r="B3214" s="14">
        <v>1923.647433</v>
      </c>
      <c r="C3214" s="14">
        <v>3072.29318</v>
      </c>
      <c r="D3214" s="14">
        <v>775.0016868</v>
      </c>
      <c r="E3214" s="14">
        <v>0.252255499</v>
      </c>
      <c r="F3214" s="14">
        <v>-1.987042373</v>
      </c>
      <c r="G3214" s="14">
        <v>0.008051486</v>
      </c>
      <c r="H3214" s="14">
        <v>0.022384299</v>
      </c>
      <c r="I3214" s="14" t="s">
        <v>147</v>
      </c>
      <c r="J3214" s="14">
        <v>7.464799957</v>
      </c>
      <c r="K3214" s="14">
        <v>16.91566445</v>
      </c>
      <c r="L3214" s="14">
        <v>7.187478437</v>
      </c>
      <c r="M3214" s="14">
        <v>44.89269413</v>
      </c>
      <c r="N3214" s="14">
        <v>49.68416244</v>
      </c>
      <c r="O3214" s="14">
        <v>5.322198147</v>
      </c>
      <c r="P3214" s="14" t="s">
        <v>15008</v>
      </c>
      <c r="Q3214" s="14" t="s">
        <v>15009</v>
      </c>
      <c r="T3214" s="14" t="s">
        <v>15010</v>
      </c>
      <c r="U3214" s="14" t="s">
        <v>15011</v>
      </c>
    </row>
    <row r="3215" spans="1:21">
      <c r="A3215" s="14" t="s">
        <v>15012</v>
      </c>
      <c r="B3215" s="14">
        <v>829.7915879</v>
      </c>
      <c r="C3215" s="14">
        <v>1216.792619</v>
      </c>
      <c r="D3215" s="14">
        <v>442.7905569</v>
      </c>
      <c r="E3215" s="14">
        <v>0.363987436</v>
      </c>
      <c r="F3215" s="14">
        <v>-1.458039443</v>
      </c>
      <c r="G3215" s="51" t="s">
        <v>3967</v>
      </c>
      <c r="H3215" s="51" t="s">
        <v>15013</v>
      </c>
      <c r="I3215" s="14" t="s">
        <v>147</v>
      </c>
      <c r="J3215" s="14">
        <v>3.658756295</v>
      </c>
      <c r="K3215" s="14">
        <v>5.326686558</v>
      </c>
      <c r="L3215" s="14">
        <v>5.630239533</v>
      </c>
      <c r="M3215" s="14">
        <v>11.11482771</v>
      </c>
      <c r="N3215" s="14">
        <v>10.708049</v>
      </c>
      <c r="O3215" s="14">
        <v>11.17536625</v>
      </c>
      <c r="P3215" s="14" t="s">
        <v>12984</v>
      </c>
      <c r="Q3215" s="14" t="s">
        <v>12985</v>
      </c>
      <c r="T3215" s="14" t="s">
        <v>12986</v>
      </c>
      <c r="U3215" s="14" t="s">
        <v>12987</v>
      </c>
    </row>
    <row r="3216" spans="1:17">
      <c r="A3216" s="14" t="s">
        <v>15014</v>
      </c>
      <c r="B3216" s="14">
        <v>8661.176163</v>
      </c>
      <c r="C3216" s="14">
        <v>1598.313289</v>
      </c>
      <c r="D3216" s="14">
        <v>15724.03904</v>
      </c>
      <c r="E3216" s="14">
        <v>9.838294442</v>
      </c>
      <c r="F3216" s="14">
        <v>3.298408233</v>
      </c>
      <c r="G3216" s="51" t="s">
        <v>15015</v>
      </c>
      <c r="H3216" s="51" t="s">
        <v>15016</v>
      </c>
      <c r="I3216" s="14" t="s">
        <v>164</v>
      </c>
      <c r="J3216" s="14">
        <v>732.0208867</v>
      </c>
      <c r="K3216" s="14">
        <v>383.0757149</v>
      </c>
      <c r="L3216" s="14">
        <v>349.166475</v>
      </c>
      <c r="M3216" s="14">
        <v>36.64668529</v>
      </c>
      <c r="N3216" s="14">
        <v>52.6234763</v>
      </c>
      <c r="O3216" s="14">
        <v>32.45206239</v>
      </c>
      <c r="P3216" s="14" t="s">
        <v>15017</v>
      </c>
      <c r="Q3216" s="14" t="s">
        <v>15018</v>
      </c>
    </row>
    <row r="3217" spans="1:21">
      <c r="A3217" s="14" t="s">
        <v>15019</v>
      </c>
      <c r="B3217" s="14">
        <v>3.055719203</v>
      </c>
      <c r="C3217" s="14">
        <v>0</v>
      </c>
      <c r="D3217" s="14">
        <v>6.111438406</v>
      </c>
      <c r="E3217" s="14">
        <v>33.00256224</v>
      </c>
      <c r="F3217" s="14">
        <v>5.044506131</v>
      </c>
      <c r="G3217" s="14">
        <v>0.013856538</v>
      </c>
      <c r="H3217" s="14">
        <v>0.035653115</v>
      </c>
      <c r="I3217" s="14" t="s">
        <v>164</v>
      </c>
      <c r="J3217" s="14">
        <v>0.029171475</v>
      </c>
      <c r="K3217" s="14">
        <v>0.029361961</v>
      </c>
      <c r="L3217" s="14">
        <v>0.07724128</v>
      </c>
      <c r="M3217" s="14">
        <v>0</v>
      </c>
      <c r="N3217" s="14">
        <v>0</v>
      </c>
      <c r="O3217" s="14">
        <v>0</v>
      </c>
      <c r="P3217" s="14" t="s">
        <v>2103</v>
      </c>
      <c r="Q3217" s="14" t="s">
        <v>2104</v>
      </c>
      <c r="T3217" s="14" t="s">
        <v>2105</v>
      </c>
      <c r="U3217" s="14" t="s">
        <v>2106</v>
      </c>
    </row>
    <row r="3218" spans="1:21">
      <c r="A3218" s="14" t="s">
        <v>15020</v>
      </c>
      <c r="B3218" s="14">
        <v>1599.548467</v>
      </c>
      <c r="C3218" s="14">
        <v>995.0913503</v>
      </c>
      <c r="D3218" s="14">
        <v>2204.005585</v>
      </c>
      <c r="E3218" s="14">
        <v>2.215211406</v>
      </c>
      <c r="F3218" s="14">
        <v>1.147444387</v>
      </c>
      <c r="G3218" s="14">
        <v>0.005647865</v>
      </c>
      <c r="H3218" s="14">
        <v>0.016471089</v>
      </c>
      <c r="I3218" s="14" t="s">
        <v>164</v>
      </c>
      <c r="J3218" s="14">
        <v>15.46403876</v>
      </c>
      <c r="K3218" s="14">
        <v>35.41675299</v>
      </c>
      <c r="L3218" s="14">
        <v>29.18996908</v>
      </c>
      <c r="M3218" s="14">
        <v>11.84524116</v>
      </c>
      <c r="N3218" s="14">
        <v>11.22623657</v>
      </c>
      <c r="O3218" s="14">
        <v>6.206340188</v>
      </c>
      <c r="P3218" s="14" t="s">
        <v>15021</v>
      </c>
      <c r="Q3218" s="14" t="s">
        <v>15022</v>
      </c>
      <c r="R3218" s="14" t="s">
        <v>2754</v>
      </c>
      <c r="S3218" s="14" t="s">
        <v>2755</v>
      </c>
      <c r="T3218" s="14" t="s">
        <v>15023</v>
      </c>
      <c r="U3218" s="14" t="s">
        <v>15024</v>
      </c>
    </row>
    <row r="3219" spans="1:15">
      <c r="A3219" s="14" t="s">
        <v>15025</v>
      </c>
      <c r="B3219" s="14">
        <v>6.527491811</v>
      </c>
      <c r="C3219" s="14">
        <v>0.67098509</v>
      </c>
      <c r="D3219" s="14">
        <v>12.38399853</v>
      </c>
      <c r="E3219" s="14">
        <v>18.47856248</v>
      </c>
      <c r="F3219" s="14">
        <v>4.207780623</v>
      </c>
      <c r="G3219" s="14">
        <v>0.001455259</v>
      </c>
      <c r="H3219" s="14">
        <v>0.005092101</v>
      </c>
      <c r="I3219" s="14" t="s">
        <v>164</v>
      </c>
      <c r="J3219" s="14">
        <v>4.041464745</v>
      </c>
      <c r="K3219" s="14">
        <v>2.905610702</v>
      </c>
      <c r="L3219" s="14">
        <v>3.891322055</v>
      </c>
      <c r="M3219" s="14">
        <v>0.246989701</v>
      </c>
      <c r="N3219" s="14">
        <v>0</v>
      </c>
      <c r="O3219" s="14">
        <v>0.241650584</v>
      </c>
    </row>
    <row r="3220" spans="1:21">
      <c r="A3220" s="14" t="s">
        <v>15026</v>
      </c>
      <c r="B3220" s="14">
        <v>5150.340751</v>
      </c>
      <c r="C3220" s="14">
        <v>7716.650708</v>
      </c>
      <c r="D3220" s="14">
        <v>2584.030793</v>
      </c>
      <c r="E3220" s="14">
        <v>0.334886666</v>
      </c>
      <c r="F3220" s="14">
        <v>-1.57825516</v>
      </c>
      <c r="G3220" s="51" t="s">
        <v>15027</v>
      </c>
      <c r="H3220" s="51" t="s">
        <v>15028</v>
      </c>
      <c r="I3220" s="14" t="s">
        <v>147</v>
      </c>
      <c r="J3220" s="14">
        <v>40.32678952</v>
      </c>
      <c r="K3220" s="14">
        <v>48.9279576</v>
      </c>
      <c r="L3220" s="14">
        <v>58.27919444</v>
      </c>
      <c r="M3220" s="14">
        <v>112.7078439</v>
      </c>
      <c r="N3220" s="14">
        <v>125.4688883</v>
      </c>
      <c r="O3220" s="14">
        <v>124.0140289</v>
      </c>
      <c r="P3220" s="14" t="s">
        <v>15029</v>
      </c>
      <c r="Q3220" s="14" t="s">
        <v>15030</v>
      </c>
      <c r="T3220" s="14" t="s">
        <v>15031</v>
      </c>
      <c r="U3220" s="14" t="s">
        <v>15032</v>
      </c>
    </row>
    <row r="3221" spans="1:15">
      <c r="A3221" s="14" t="s">
        <v>15033</v>
      </c>
      <c r="B3221" s="14">
        <v>7226.660088</v>
      </c>
      <c r="C3221" s="14">
        <v>11448.44192</v>
      </c>
      <c r="D3221" s="14">
        <v>3004.878253</v>
      </c>
      <c r="E3221" s="14">
        <v>0.262467837</v>
      </c>
      <c r="F3221" s="14">
        <v>-1.929787448</v>
      </c>
      <c r="G3221" s="51" t="s">
        <v>15034</v>
      </c>
      <c r="H3221" s="51" t="s">
        <v>15035</v>
      </c>
      <c r="I3221" s="14" t="s">
        <v>147</v>
      </c>
      <c r="J3221" s="14">
        <v>131.7601997</v>
      </c>
      <c r="K3221" s="14">
        <v>156.4324107</v>
      </c>
      <c r="L3221" s="14">
        <v>121.4417888</v>
      </c>
      <c r="M3221" s="14">
        <v>448.8899267</v>
      </c>
      <c r="N3221" s="14">
        <v>456.9923735</v>
      </c>
      <c r="O3221" s="14">
        <v>371.8165548</v>
      </c>
    </row>
    <row r="3222" spans="1:15">
      <c r="A3222" s="14" t="s">
        <v>15036</v>
      </c>
      <c r="B3222" s="14">
        <v>27.06735954</v>
      </c>
      <c r="C3222" s="14">
        <v>9.150726251</v>
      </c>
      <c r="D3222" s="14">
        <v>44.98399284</v>
      </c>
      <c r="E3222" s="14">
        <v>4.87587137</v>
      </c>
      <c r="F3222" s="14">
        <v>2.285660067</v>
      </c>
      <c r="G3222" s="14">
        <v>0.000509483</v>
      </c>
      <c r="H3222" s="14">
        <v>0.002018434</v>
      </c>
      <c r="I3222" s="14" t="s">
        <v>164</v>
      </c>
      <c r="J3222" s="14">
        <v>1.481206783</v>
      </c>
      <c r="K3222" s="14">
        <v>3.174129208</v>
      </c>
      <c r="L3222" s="14">
        <v>1.840231119</v>
      </c>
      <c r="M3222" s="14">
        <v>0.245286324</v>
      </c>
      <c r="N3222" s="14">
        <v>0.235323108</v>
      </c>
      <c r="O3222" s="14">
        <v>0.639957408</v>
      </c>
    </row>
    <row r="3223" spans="1:21">
      <c r="A3223" s="14" t="s">
        <v>15037</v>
      </c>
      <c r="B3223" s="14">
        <v>101.8862056</v>
      </c>
      <c r="C3223" s="14">
        <v>8.040957648</v>
      </c>
      <c r="D3223" s="14">
        <v>195.7314535</v>
      </c>
      <c r="E3223" s="14">
        <v>24.32302391</v>
      </c>
      <c r="F3223" s="14">
        <v>4.604250695</v>
      </c>
      <c r="G3223" s="51" t="s">
        <v>15038</v>
      </c>
      <c r="H3223" s="51" t="s">
        <v>15039</v>
      </c>
      <c r="I3223" s="14" t="s">
        <v>164</v>
      </c>
      <c r="J3223" s="14">
        <v>2.063858943</v>
      </c>
      <c r="K3223" s="14">
        <v>2.965834665</v>
      </c>
      <c r="L3223" s="14">
        <v>2.33434432</v>
      </c>
      <c r="M3223" s="14">
        <v>0.053187553</v>
      </c>
      <c r="N3223" s="14">
        <v>0.122465144</v>
      </c>
      <c r="O3223" s="14">
        <v>0.072852935</v>
      </c>
      <c r="P3223" s="14" t="s">
        <v>15040</v>
      </c>
      <c r="Q3223" s="14" t="s">
        <v>15041</v>
      </c>
      <c r="R3223" s="14" t="s">
        <v>2112</v>
      </c>
      <c r="S3223" s="14" t="s">
        <v>2113</v>
      </c>
      <c r="T3223" s="14" t="s">
        <v>15042</v>
      </c>
      <c r="U3223" s="14" t="s">
        <v>15043</v>
      </c>
    </row>
    <row r="3224" spans="1:21">
      <c r="A3224" s="14" t="s">
        <v>15044</v>
      </c>
      <c r="B3224" s="14">
        <v>161.7359818</v>
      </c>
      <c r="C3224" s="14">
        <v>33.40716663</v>
      </c>
      <c r="D3224" s="14">
        <v>290.0647969</v>
      </c>
      <c r="E3224" s="14">
        <v>8.650137024</v>
      </c>
      <c r="F3224" s="14">
        <v>3.112722986</v>
      </c>
      <c r="G3224" s="51" t="s">
        <v>15045</v>
      </c>
      <c r="H3224" s="51" t="s">
        <v>15046</v>
      </c>
      <c r="I3224" s="14" t="s">
        <v>164</v>
      </c>
      <c r="J3224" s="14">
        <v>2.035557006</v>
      </c>
      <c r="K3224" s="14">
        <v>2.682603046</v>
      </c>
      <c r="L3224" s="14">
        <v>2.865159096</v>
      </c>
      <c r="M3224" s="14">
        <v>0.214011618</v>
      </c>
      <c r="N3224" s="14">
        <v>0.155759044</v>
      </c>
      <c r="O3224" s="14">
        <v>0.361009275</v>
      </c>
      <c r="P3224" s="14" t="s">
        <v>15047</v>
      </c>
      <c r="Q3224" s="14" t="s">
        <v>15048</v>
      </c>
      <c r="R3224" s="14" t="s">
        <v>2112</v>
      </c>
      <c r="S3224" s="14" t="s">
        <v>2113</v>
      </c>
      <c r="T3224" s="14" t="s">
        <v>15049</v>
      </c>
      <c r="U3224" s="14" t="s">
        <v>15050</v>
      </c>
    </row>
    <row r="3225" spans="1:21">
      <c r="A3225" s="14" t="s">
        <v>15051</v>
      </c>
      <c r="B3225" s="14">
        <v>2082.781739</v>
      </c>
      <c r="C3225" s="14">
        <v>2899.317661</v>
      </c>
      <c r="D3225" s="14">
        <v>1266.245817</v>
      </c>
      <c r="E3225" s="14">
        <v>0.436712464</v>
      </c>
      <c r="F3225" s="14">
        <v>-1.195244388</v>
      </c>
      <c r="G3225" s="51" t="s">
        <v>15052</v>
      </c>
      <c r="H3225" s="51" t="s">
        <v>15053</v>
      </c>
      <c r="I3225" s="14" t="s">
        <v>147</v>
      </c>
      <c r="J3225" s="14">
        <v>20.83245669</v>
      </c>
      <c r="K3225" s="14">
        <v>25.2006622</v>
      </c>
      <c r="L3225" s="14">
        <v>20.54367104</v>
      </c>
      <c r="M3225" s="14">
        <v>40.85132235</v>
      </c>
      <c r="N3225" s="14">
        <v>42.27258736</v>
      </c>
      <c r="O3225" s="14">
        <v>42.35354482</v>
      </c>
      <c r="P3225" s="14" t="s">
        <v>9818</v>
      </c>
      <c r="Q3225" s="14" t="s">
        <v>9819</v>
      </c>
      <c r="T3225" s="14" t="s">
        <v>9820</v>
      </c>
      <c r="U3225" s="14" t="s">
        <v>9821</v>
      </c>
    </row>
    <row r="3226" spans="1:21">
      <c r="A3226" s="14" t="s">
        <v>15054</v>
      </c>
      <c r="B3226" s="14">
        <v>1567.155704</v>
      </c>
      <c r="C3226" s="14">
        <v>2282.019739</v>
      </c>
      <c r="D3226" s="14">
        <v>852.2916697</v>
      </c>
      <c r="E3226" s="14">
        <v>0.373507095</v>
      </c>
      <c r="F3226" s="14">
        <v>-1.420792448</v>
      </c>
      <c r="G3226" s="51" t="s">
        <v>15055</v>
      </c>
      <c r="H3226" s="51" t="s">
        <v>9653</v>
      </c>
      <c r="I3226" s="14" t="s">
        <v>147</v>
      </c>
      <c r="J3226" s="14">
        <v>17.4511395</v>
      </c>
      <c r="K3226" s="14">
        <v>19.11131615</v>
      </c>
      <c r="L3226" s="14">
        <v>16.27033612</v>
      </c>
      <c r="M3226" s="14">
        <v>42.58518665</v>
      </c>
      <c r="N3226" s="14">
        <v>43.78088152</v>
      </c>
      <c r="O3226" s="14">
        <v>28.83947011</v>
      </c>
      <c r="P3226" s="14" t="s">
        <v>15056</v>
      </c>
      <c r="Q3226" s="14" t="s">
        <v>15057</v>
      </c>
      <c r="R3226" s="14" t="s">
        <v>9825</v>
      </c>
      <c r="S3226" s="14" t="s">
        <v>9826</v>
      </c>
      <c r="T3226" s="14" t="s">
        <v>15058</v>
      </c>
      <c r="U3226" s="14" t="s">
        <v>15059</v>
      </c>
    </row>
    <row r="3227" spans="1:21">
      <c r="A3227" s="14" t="s">
        <v>15060</v>
      </c>
      <c r="B3227" s="14">
        <v>1424.610209</v>
      </c>
      <c r="C3227" s="14">
        <v>2032.690169</v>
      </c>
      <c r="D3227" s="14">
        <v>816.5302487</v>
      </c>
      <c r="E3227" s="14">
        <v>0.401618456</v>
      </c>
      <c r="F3227" s="14">
        <v>-1.316102527</v>
      </c>
      <c r="G3227" s="51" t="s">
        <v>10255</v>
      </c>
      <c r="H3227" s="51" t="s">
        <v>15061</v>
      </c>
      <c r="I3227" s="14" t="s">
        <v>147</v>
      </c>
      <c r="J3227" s="14">
        <v>7.983175676</v>
      </c>
      <c r="K3227" s="14">
        <v>7.584564914</v>
      </c>
      <c r="L3227" s="14">
        <v>5.696538936</v>
      </c>
      <c r="M3227" s="14">
        <v>11.36920152</v>
      </c>
      <c r="N3227" s="14">
        <v>10.87205433</v>
      </c>
      <c r="O3227" s="14">
        <v>22.22524549</v>
      </c>
      <c r="P3227" s="14" t="s">
        <v>15062</v>
      </c>
      <c r="Q3227" s="14" t="s">
        <v>15063</v>
      </c>
      <c r="T3227" s="14" t="s">
        <v>8938</v>
      </c>
      <c r="U3227" s="14" t="s">
        <v>8939</v>
      </c>
    </row>
    <row r="3228" spans="1:21">
      <c r="A3228" s="14" t="s">
        <v>15064</v>
      </c>
      <c r="B3228" s="14">
        <v>242.6038537</v>
      </c>
      <c r="C3228" s="14">
        <v>337.1483633</v>
      </c>
      <c r="D3228" s="14">
        <v>148.0593442</v>
      </c>
      <c r="E3228" s="14">
        <v>0.439300366</v>
      </c>
      <c r="F3228" s="14">
        <v>-1.186720394</v>
      </c>
      <c r="G3228" s="14">
        <v>0.019009325</v>
      </c>
      <c r="H3228" s="14">
        <v>0.046583175</v>
      </c>
      <c r="I3228" s="14" t="s">
        <v>147</v>
      </c>
      <c r="J3228" s="14">
        <v>3.260341307</v>
      </c>
      <c r="K3228" s="14">
        <v>5.18152249</v>
      </c>
      <c r="L3228" s="14">
        <v>4.37838271</v>
      </c>
      <c r="M3228" s="14">
        <v>9.151618409</v>
      </c>
      <c r="N3228" s="14">
        <v>10.89269948</v>
      </c>
      <c r="O3228" s="14">
        <v>3.447448576</v>
      </c>
      <c r="P3228" s="14" t="s">
        <v>4847</v>
      </c>
      <c r="Q3228" s="14" t="s">
        <v>4848</v>
      </c>
      <c r="T3228" s="14" t="s">
        <v>4849</v>
      </c>
      <c r="U3228" s="14" t="s">
        <v>4850</v>
      </c>
    </row>
    <row r="3229" spans="1:21">
      <c r="A3229" s="14" t="s">
        <v>15065</v>
      </c>
      <c r="B3229" s="14">
        <v>1651.190549</v>
      </c>
      <c r="C3229" s="14">
        <v>2302.632097</v>
      </c>
      <c r="D3229" s="14">
        <v>999.749001</v>
      </c>
      <c r="E3229" s="14">
        <v>0.434204493</v>
      </c>
      <c r="F3229" s="14">
        <v>-1.203553439</v>
      </c>
      <c r="G3229" s="51" t="s">
        <v>2262</v>
      </c>
      <c r="H3229" s="51" t="s">
        <v>2263</v>
      </c>
      <c r="I3229" s="14" t="s">
        <v>147</v>
      </c>
      <c r="J3229" s="14">
        <v>5.219412656</v>
      </c>
      <c r="K3229" s="14">
        <v>6.486194366</v>
      </c>
      <c r="L3229" s="14">
        <v>7.735825797</v>
      </c>
      <c r="M3229" s="14">
        <v>10.9393236</v>
      </c>
      <c r="N3229" s="14">
        <v>11.64764082</v>
      </c>
      <c r="O3229" s="14">
        <v>14.42791528</v>
      </c>
      <c r="P3229" s="14" t="s">
        <v>15066</v>
      </c>
      <c r="Q3229" s="14" t="s">
        <v>15067</v>
      </c>
      <c r="T3229" s="14" t="s">
        <v>11450</v>
      </c>
      <c r="U3229" s="14" t="s">
        <v>11451</v>
      </c>
    </row>
    <row r="3230" spans="1:15">
      <c r="A3230" s="14" t="s">
        <v>15068</v>
      </c>
      <c r="B3230" s="14">
        <v>25.27045978</v>
      </c>
      <c r="C3230" s="14">
        <v>47.99681335</v>
      </c>
      <c r="D3230" s="14">
        <v>2.544106202</v>
      </c>
      <c r="E3230" s="14">
        <v>0.053624775</v>
      </c>
      <c r="F3230" s="14">
        <v>-4.220956504</v>
      </c>
      <c r="G3230" s="51" t="s">
        <v>11812</v>
      </c>
      <c r="H3230" s="14">
        <v>0.00018001</v>
      </c>
      <c r="I3230" s="14" t="s">
        <v>147</v>
      </c>
      <c r="J3230" s="14">
        <v>0.012980282</v>
      </c>
      <c r="K3230" s="14">
        <v>0.013065041</v>
      </c>
      <c r="L3230" s="14">
        <v>0.074988341</v>
      </c>
      <c r="M3230" s="14">
        <v>0.521975425</v>
      </c>
      <c r="N3230" s="14">
        <v>0.799106572</v>
      </c>
      <c r="O3230" s="14">
        <v>0.195584173</v>
      </c>
    </row>
    <row r="3231" spans="1:21">
      <c r="A3231" s="14" t="s">
        <v>15069</v>
      </c>
      <c r="B3231" s="14">
        <v>352.1299275</v>
      </c>
      <c r="C3231" s="14">
        <v>155.0466088</v>
      </c>
      <c r="D3231" s="14">
        <v>549.2132461</v>
      </c>
      <c r="E3231" s="14">
        <v>3.544226284</v>
      </c>
      <c r="F3231" s="14">
        <v>1.825470717</v>
      </c>
      <c r="G3231" s="51" t="s">
        <v>15070</v>
      </c>
      <c r="H3231" s="51" t="s">
        <v>904</v>
      </c>
      <c r="I3231" s="14" t="s">
        <v>164</v>
      </c>
      <c r="J3231" s="14">
        <v>4.087959871</v>
      </c>
      <c r="K3231" s="14">
        <v>3.954720179</v>
      </c>
      <c r="L3231" s="14">
        <v>3.970860973</v>
      </c>
      <c r="M3231" s="14">
        <v>0.784805431</v>
      </c>
      <c r="N3231" s="14">
        <v>1.221284203</v>
      </c>
      <c r="O3231" s="14">
        <v>0.767840479</v>
      </c>
      <c r="P3231" s="14" t="s">
        <v>15071</v>
      </c>
      <c r="Q3231" s="14" t="s">
        <v>15072</v>
      </c>
      <c r="T3231" s="14" t="s">
        <v>1429</v>
      </c>
      <c r="U3231" s="14" t="s">
        <v>1430</v>
      </c>
    </row>
    <row r="3232" spans="1:15">
      <c r="A3232" s="14" t="s">
        <v>15073</v>
      </c>
      <c r="B3232" s="14">
        <v>81.74273355</v>
      </c>
      <c r="C3232" s="14">
        <v>44.68658151</v>
      </c>
      <c r="D3232" s="14">
        <v>118.7988856</v>
      </c>
      <c r="E3232" s="14">
        <v>2.656282907</v>
      </c>
      <c r="F3232" s="14">
        <v>1.409408809</v>
      </c>
      <c r="G3232" s="14">
        <v>0.006303706</v>
      </c>
      <c r="H3232" s="14">
        <v>0.018087614</v>
      </c>
      <c r="I3232" s="14" t="s">
        <v>164</v>
      </c>
      <c r="J3232" s="14">
        <v>0.914698788</v>
      </c>
      <c r="K3232" s="14">
        <v>1.119735792</v>
      </c>
      <c r="L3232" s="14">
        <v>0.928323549</v>
      </c>
      <c r="M3232" s="14">
        <v>0.141011069</v>
      </c>
      <c r="N3232" s="14">
        <v>0.500548508</v>
      </c>
      <c r="O3232" s="14">
        <v>0.275925733</v>
      </c>
    </row>
    <row r="3233" spans="1:21">
      <c r="A3233" s="14" t="s">
        <v>15074</v>
      </c>
      <c r="B3233" s="14">
        <v>615.830895</v>
      </c>
      <c r="C3233" s="14">
        <v>265.8205164</v>
      </c>
      <c r="D3233" s="14">
        <v>965.8412736</v>
      </c>
      <c r="E3233" s="14">
        <v>3.636806527</v>
      </c>
      <c r="F3233" s="14">
        <v>1.862672178</v>
      </c>
      <c r="G3233" s="51" t="s">
        <v>15075</v>
      </c>
      <c r="H3233" s="51" t="s">
        <v>15076</v>
      </c>
      <c r="I3233" s="14" t="s">
        <v>164</v>
      </c>
      <c r="J3233" s="14">
        <v>10.50249488</v>
      </c>
      <c r="K3233" s="14">
        <v>9.861466624</v>
      </c>
      <c r="L3233" s="14">
        <v>9.962583064</v>
      </c>
      <c r="M3233" s="14">
        <v>2.359569403</v>
      </c>
      <c r="N3233" s="14">
        <v>2.689239257</v>
      </c>
      <c r="O3233" s="14">
        <v>1.753119387</v>
      </c>
      <c r="P3233" s="14" t="s">
        <v>15077</v>
      </c>
      <c r="Q3233" s="14" t="s">
        <v>15078</v>
      </c>
      <c r="T3233" s="14" t="s">
        <v>15079</v>
      </c>
      <c r="U3233" s="14" t="s">
        <v>15080</v>
      </c>
    </row>
    <row r="3234" spans="1:21">
      <c r="A3234" s="14" t="s">
        <v>15081</v>
      </c>
      <c r="B3234" s="14">
        <v>94.48307318</v>
      </c>
      <c r="C3234" s="14">
        <v>34.29560709</v>
      </c>
      <c r="D3234" s="14">
        <v>154.6705393</v>
      </c>
      <c r="E3234" s="14">
        <v>4.495417105</v>
      </c>
      <c r="F3234" s="14">
        <v>2.168454982</v>
      </c>
      <c r="G3234" s="51" t="s">
        <v>15082</v>
      </c>
      <c r="H3234" s="51" t="s">
        <v>15083</v>
      </c>
      <c r="I3234" s="14" t="s">
        <v>164</v>
      </c>
      <c r="J3234" s="14">
        <v>2.165560789</v>
      </c>
      <c r="K3234" s="14">
        <v>1.126705667</v>
      </c>
      <c r="L3234" s="14">
        <v>1.611678444</v>
      </c>
      <c r="M3234" s="14">
        <v>0.232724158</v>
      </c>
      <c r="N3234" s="14">
        <v>0.223271201</v>
      </c>
      <c r="O3234" s="14">
        <v>0.455386831</v>
      </c>
      <c r="P3234" s="14" t="s">
        <v>9763</v>
      </c>
      <c r="Q3234" s="14" t="s">
        <v>9764</v>
      </c>
      <c r="T3234" s="14" t="s">
        <v>9765</v>
      </c>
      <c r="U3234" s="14" t="s">
        <v>9766</v>
      </c>
    </row>
    <row r="3235" spans="1:21">
      <c r="A3235" s="14" t="s">
        <v>15084</v>
      </c>
      <c r="B3235" s="14">
        <v>52.89403007</v>
      </c>
      <c r="C3235" s="14">
        <v>29.26089509</v>
      </c>
      <c r="D3235" s="14">
        <v>76.52716505</v>
      </c>
      <c r="E3235" s="14">
        <v>2.602693426</v>
      </c>
      <c r="F3235" s="14">
        <v>1.380005385</v>
      </c>
      <c r="G3235" s="14">
        <v>0.012636989</v>
      </c>
      <c r="H3235" s="14">
        <v>0.032931659</v>
      </c>
      <c r="I3235" s="14" t="s">
        <v>164</v>
      </c>
      <c r="J3235" s="14">
        <v>1.133187985</v>
      </c>
      <c r="K3235" s="14">
        <v>1.328279178</v>
      </c>
      <c r="L3235" s="14">
        <v>0.856298021</v>
      </c>
      <c r="M3235" s="14">
        <v>0.196364483</v>
      </c>
      <c r="N3235" s="14">
        <v>0.235485512</v>
      </c>
      <c r="O3235" s="14">
        <v>0.648404051</v>
      </c>
      <c r="P3235" s="14" t="s">
        <v>15085</v>
      </c>
      <c r="Q3235" s="14" t="s">
        <v>15086</v>
      </c>
      <c r="R3235" s="14" t="s">
        <v>15087</v>
      </c>
      <c r="S3235" s="14" t="s">
        <v>15088</v>
      </c>
      <c r="T3235" s="14" t="s">
        <v>15089</v>
      </c>
      <c r="U3235" s="14" t="s">
        <v>15090</v>
      </c>
    </row>
    <row r="3236" spans="1:15">
      <c r="A3236" s="14" t="s">
        <v>15091</v>
      </c>
      <c r="B3236" s="14">
        <v>235.1665369</v>
      </c>
      <c r="C3236" s="14">
        <v>372.3832902</v>
      </c>
      <c r="D3236" s="14">
        <v>97.94978358</v>
      </c>
      <c r="E3236" s="14">
        <v>0.262922793</v>
      </c>
      <c r="F3236" s="14">
        <v>-1.927288877</v>
      </c>
      <c r="G3236" s="14">
        <v>0.000630049</v>
      </c>
      <c r="H3236" s="14">
        <v>0.002438208</v>
      </c>
      <c r="I3236" s="14" t="s">
        <v>147</v>
      </c>
      <c r="J3236" s="14">
        <v>1.461476377</v>
      </c>
      <c r="K3236" s="14">
        <v>5.162446238</v>
      </c>
      <c r="L3236" s="14">
        <v>1.5133841</v>
      </c>
      <c r="M3236" s="14">
        <v>9.602369763</v>
      </c>
      <c r="N3236" s="14">
        <v>8.714369813</v>
      </c>
      <c r="O3236" s="14">
        <v>7.063410496</v>
      </c>
    </row>
    <row r="3237" spans="1:21">
      <c r="A3237" s="14" t="s">
        <v>15092</v>
      </c>
      <c r="B3237" s="14">
        <v>6.290403618</v>
      </c>
      <c r="C3237" s="14">
        <v>1.680958055</v>
      </c>
      <c r="D3237" s="14">
        <v>10.89984918</v>
      </c>
      <c r="E3237" s="14">
        <v>6.484853579</v>
      </c>
      <c r="F3237" s="14">
        <v>2.697074</v>
      </c>
      <c r="G3237" s="14">
        <v>0.016536345</v>
      </c>
      <c r="H3237" s="14">
        <v>0.041405948</v>
      </c>
      <c r="I3237" s="14" t="s">
        <v>164</v>
      </c>
      <c r="J3237" s="14">
        <v>0.335043709</v>
      </c>
      <c r="K3237" s="14">
        <v>0.915342646</v>
      </c>
      <c r="L3237" s="14">
        <v>0.322596647</v>
      </c>
      <c r="M3237" s="14">
        <v>0.081903321</v>
      </c>
      <c r="N3237" s="14">
        <v>0.039288256</v>
      </c>
      <c r="O3237" s="14">
        <v>0.080132836</v>
      </c>
      <c r="P3237" s="14" t="s">
        <v>15093</v>
      </c>
      <c r="Q3237" s="14" t="s">
        <v>15094</v>
      </c>
      <c r="T3237" s="14" t="s">
        <v>15095</v>
      </c>
      <c r="U3237" s="14" t="s">
        <v>15096</v>
      </c>
    </row>
    <row r="3238" spans="1:21">
      <c r="A3238" s="14" t="s">
        <v>15097</v>
      </c>
      <c r="B3238" s="14">
        <v>195.6307069</v>
      </c>
      <c r="C3238" s="14">
        <v>369.8309596</v>
      </c>
      <c r="D3238" s="14">
        <v>21.43045423</v>
      </c>
      <c r="E3238" s="14">
        <v>0.05789831</v>
      </c>
      <c r="F3238" s="14">
        <v>-4.110334962</v>
      </c>
      <c r="G3238" s="51" t="s">
        <v>15098</v>
      </c>
      <c r="H3238" s="51" t="s">
        <v>14171</v>
      </c>
      <c r="I3238" s="14" t="s">
        <v>147</v>
      </c>
      <c r="J3238" s="14">
        <v>0.387280531</v>
      </c>
      <c r="K3238" s="14">
        <v>0.037481675</v>
      </c>
      <c r="L3238" s="14">
        <v>0.057368129</v>
      </c>
      <c r="M3238" s="14">
        <v>1.427376119</v>
      </c>
      <c r="N3238" s="14">
        <v>1.216563339</v>
      </c>
      <c r="O3238" s="14">
        <v>4.463879206</v>
      </c>
      <c r="P3238" s="14" t="s">
        <v>15099</v>
      </c>
      <c r="Q3238" s="14" t="s">
        <v>15100</v>
      </c>
      <c r="T3238" s="14" t="s">
        <v>2771</v>
      </c>
      <c r="U3238" s="14" t="s">
        <v>2772</v>
      </c>
    </row>
    <row r="3239" spans="1:21">
      <c r="A3239" s="14" t="s">
        <v>15101</v>
      </c>
      <c r="B3239" s="14">
        <v>3792.662268</v>
      </c>
      <c r="C3239" s="14">
        <v>5395.540247</v>
      </c>
      <c r="D3239" s="14">
        <v>2189.78429</v>
      </c>
      <c r="E3239" s="14">
        <v>0.405891098</v>
      </c>
      <c r="F3239" s="14">
        <v>-1.300835396</v>
      </c>
      <c r="G3239" s="51" t="s">
        <v>15102</v>
      </c>
      <c r="H3239" s="51" t="s">
        <v>3505</v>
      </c>
      <c r="I3239" s="14" t="s">
        <v>147</v>
      </c>
      <c r="J3239" s="14">
        <v>41.15928464</v>
      </c>
      <c r="K3239" s="14">
        <v>40.96731114</v>
      </c>
      <c r="L3239" s="14">
        <v>44.42328054</v>
      </c>
      <c r="M3239" s="14">
        <v>95.90475815</v>
      </c>
      <c r="N3239" s="14">
        <v>83.38287518</v>
      </c>
      <c r="O3239" s="14">
        <v>75.58258148</v>
      </c>
      <c r="P3239" s="14" t="s">
        <v>15103</v>
      </c>
      <c r="Q3239" s="14" t="s">
        <v>15104</v>
      </c>
      <c r="R3239" s="14" t="s">
        <v>180</v>
      </c>
      <c r="S3239" s="14" t="s">
        <v>181</v>
      </c>
      <c r="T3239" s="14" t="s">
        <v>15105</v>
      </c>
      <c r="U3239" s="14" t="s">
        <v>15106</v>
      </c>
    </row>
    <row r="3240" spans="1:15">
      <c r="A3240" s="14" t="s">
        <v>15107</v>
      </c>
      <c r="B3240" s="14">
        <v>4184.225537</v>
      </c>
      <c r="C3240" s="14">
        <v>2700.716859</v>
      </c>
      <c r="D3240" s="14">
        <v>5667.734215</v>
      </c>
      <c r="E3240" s="14">
        <v>2.098850443</v>
      </c>
      <c r="F3240" s="14">
        <v>1.069599368</v>
      </c>
      <c r="G3240" s="51" t="s">
        <v>11750</v>
      </c>
      <c r="H3240" s="51" t="s">
        <v>15108</v>
      </c>
      <c r="I3240" s="14" t="s">
        <v>164</v>
      </c>
      <c r="J3240" s="14">
        <v>83.35566236</v>
      </c>
      <c r="K3240" s="14">
        <v>88.71878889</v>
      </c>
      <c r="L3240" s="14">
        <v>76.02526846</v>
      </c>
      <c r="M3240" s="14">
        <v>33.93298177</v>
      </c>
      <c r="N3240" s="14">
        <v>33.77754525</v>
      </c>
      <c r="O3240" s="14">
        <v>29.14336309</v>
      </c>
    </row>
    <row r="3241" spans="1:21">
      <c r="A3241" s="14" t="s">
        <v>15109</v>
      </c>
      <c r="B3241" s="14">
        <v>671.5071574</v>
      </c>
      <c r="C3241" s="14">
        <v>1306.327207</v>
      </c>
      <c r="D3241" s="14">
        <v>36.68710784</v>
      </c>
      <c r="E3241" s="14">
        <v>0.028050786</v>
      </c>
      <c r="F3241" s="14">
        <v>-5.155814995</v>
      </c>
      <c r="G3241" s="51" t="s">
        <v>15110</v>
      </c>
      <c r="H3241" s="51" t="s">
        <v>15111</v>
      </c>
      <c r="I3241" s="14" t="s">
        <v>147</v>
      </c>
      <c r="J3241" s="14">
        <v>0.243742022</v>
      </c>
      <c r="K3241" s="14">
        <v>0.205395594</v>
      </c>
      <c r="L3241" s="14">
        <v>0.180108527</v>
      </c>
      <c r="M3241" s="14">
        <v>6.19813305</v>
      </c>
      <c r="N3241" s="14">
        <v>6.783890123</v>
      </c>
      <c r="O3241" s="14">
        <v>5.366629941</v>
      </c>
      <c r="P3241" s="14" t="s">
        <v>15112</v>
      </c>
      <c r="Q3241" s="14" t="s">
        <v>15113</v>
      </c>
      <c r="T3241" s="14" t="s">
        <v>15114</v>
      </c>
      <c r="U3241" s="14" t="s">
        <v>15115</v>
      </c>
    </row>
    <row r="3242" spans="1:21">
      <c r="A3242" s="14" t="s">
        <v>15116</v>
      </c>
      <c r="B3242" s="14">
        <v>472.9590477</v>
      </c>
      <c r="C3242" s="14">
        <v>631.2176022</v>
      </c>
      <c r="D3242" s="14">
        <v>314.7004932</v>
      </c>
      <c r="E3242" s="14">
        <v>0.498736417</v>
      </c>
      <c r="F3242" s="14">
        <v>-1.003650546</v>
      </c>
      <c r="G3242" s="51" t="s">
        <v>15117</v>
      </c>
      <c r="H3242" s="51" t="s">
        <v>11679</v>
      </c>
      <c r="I3242" s="14" t="s">
        <v>147</v>
      </c>
      <c r="J3242" s="14">
        <v>5.614445119</v>
      </c>
      <c r="K3242" s="14">
        <v>3.526290589</v>
      </c>
      <c r="L3242" s="14">
        <v>5.146383787</v>
      </c>
      <c r="M3242" s="14">
        <v>7.724332703</v>
      </c>
      <c r="N3242" s="14">
        <v>8.025056172</v>
      </c>
      <c r="O3242" s="14">
        <v>7.770417474</v>
      </c>
      <c r="P3242" s="14" t="s">
        <v>15118</v>
      </c>
      <c r="Q3242" s="14" t="s">
        <v>15119</v>
      </c>
      <c r="R3242" s="14" t="s">
        <v>15120</v>
      </c>
      <c r="S3242" s="14" t="s">
        <v>15121</v>
      </c>
      <c r="T3242" s="14" t="s">
        <v>15122</v>
      </c>
      <c r="U3242" s="14" t="s">
        <v>15123</v>
      </c>
    </row>
    <row r="3243" spans="1:21">
      <c r="A3243" s="14" t="s">
        <v>15124</v>
      </c>
      <c r="B3243" s="14">
        <v>667.644077</v>
      </c>
      <c r="C3243" s="14">
        <v>407.9973393</v>
      </c>
      <c r="D3243" s="14">
        <v>927.2908147</v>
      </c>
      <c r="E3243" s="14">
        <v>2.271600154</v>
      </c>
      <c r="F3243" s="14">
        <v>1.183708915</v>
      </c>
      <c r="G3243" s="51" t="s">
        <v>15125</v>
      </c>
      <c r="H3243" s="51" t="s">
        <v>15126</v>
      </c>
      <c r="I3243" s="14" t="s">
        <v>164</v>
      </c>
      <c r="J3243" s="14">
        <v>6.806339832</v>
      </c>
      <c r="K3243" s="14">
        <v>5.314039128</v>
      </c>
      <c r="L3243" s="14">
        <v>5.898750099</v>
      </c>
      <c r="M3243" s="14">
        <v>1.899076371</v>
      </c>
      <c r="N3243" s="14">
        <v>2.116818511</v>
      </c>
      <c r="O3243" s="14">
        <v>2.545386149</v>
      </c>
      <c r="P3243" s="14" t="s">
        <v>15127</v>
      </c>
      <c r="Q3243" s="14" t="s">
        <v>15128</v>
      </c>
      <c r="T3243" s="14" t="s">
        <v>15129</v>
      </c>
      <c r="U3243" s="14" t="s">
        <v>15130</v>
      </c>
    </row>
    <row r="3244" spans="1:15">
      <c r="A3244" s="14" t="s">
        <v>15131</v>
      </c>
      <c r="B3244" s="14">
        <v>1243.141932</v>
      </c>
      <c r="C3244" s="14">
        <v>1736.291368</v>
      </c>
      <c r="D3244" s="14">
        <v>749.9924961</v>
      </c>
      <c r="E3244" s="14">
        <v>0.431949277</v>
      </c>
      <c r="F3244" s="14">
        <v>-1.211066186</v>
      </c>
      <c r="G3244" s="14">
        <v>0.000216924</v>
      </c>
      <c r="H3244" s="14">
        <v>0.000942917</v>
      </c>
      <c r="I3244" s="14" t="s">
        <v>147</v>
      </c>
      <c r="J3244" s="14">
        <v>2.633028569</v>
      </c>
      <c r="K3244" s="14">
        <v>5.915871902</v>
      </c>
      <c r="L3244" s="14">
        <v>3.946017356</v>
      </c>
      <c r="M3244" s="14">
        <v>8.323125822</v>
      </c>
      <c r="N3244" s="14">
        <v>8.120697506</v>
      </c>
      <c r="O3244" s="14">
        <v>7.28554175</v>
      </c>
    </row>
    <row r="3245" spans="1:21">
      <c r="A3245" s="14" t="s">
        <v>15132</v>
      </c>
      <c r="B3245" s="14">
        <v>63.55291387</v>
      </c>
      <c r="C3245" s="14">
        <v>31.15073973</v>
      </c>
      <c r="D3245" s="14">
        <v>95.955088</v>
      </c>
      <c r="E3245" s="14">
        <v>3.079533489</v>
      </c>
      <c r="F3245" s="14">
        <v>1.622711817</v>
      </c>
      <c r="G3245" s="51" t="s">
        <v>15133</v>
      </c>
      <c r="H3245" s="51" t="s">
        <v>15134</v>
      </c>
      <c r="I3245" s="14" t="s">
        <v>164</v>
      </c>
      <c r="J3245" s="14">
        <v>1.21157675</v>
      </c>
      <c r="K3245" s="14">
        <v>1.65171185</v>
      </c>
      <c r="L3245" s="14">
        <v>1.594799078</v>
      </c>
      <c r="M3245" s="14">
        <v>0.367409141</v>
      </c>
      <c r="N3245" s="14">
        <v>0.39025175</v>
      </c>
      <c r="O3245" s="14">
        <v>0.436495576</v>
      </c>
      <c r="P3245" s="14" t="s">
        <v>15135</v>
      </c>
      <c r="Q3245" s="14" t="s">
        <v>15136</v>
      </c>
      <c r="T3245" s="14" t="s">
        <v>15137</v>
      </c>
      <c r="U3245" s="14" t="s">
        <v>15138</v>
      </c>
    </row>
    <row r="3246" spans="1:15">
      <c r="A3246" s="14" t="s">
        <v>15139</v>
      </c>
      <c r="B3246" s="14">
        <v>267.842488</v>
      </c>
      <c r="C3246" s="14">
        <v>90.23595382</v>
      </c>
      <c r="D3246" s="14">
        <v>445.4490222</v>
      </c>
      <c r="E3246" s="14">
        <v>4.930412176</v>
      </c>
      <c r="F3246" s="14">
        <v>2.301708259</v>
      </c>
      <c r="G3246" s="51" t="s">
        <v>15140</v>
      </c>
      <c r="H3246" s="14">
        <v>0.000102965</v>
      </c>
      <c r="I3246" s="14" t="s">
        <v>164</v>
      </c>
      <c r="J3246" s="14">
        <v>6.467396913</v>
      </c>
      <c r="K3246" s="14">
        <v>2.427858064</v>
      </c>
      <c r="L3246" s="14">
        <v>5.34478377</v>
      </c>
      <c r="M3246" s="14">
        <v>0.585790854</v>
      </c>
      <c r="N3246" s="14">
        <v>0.432305215</v>
      </c>
      <c r="O3246" s="14">
        <v>1.419593851</v>
      </c>
    </row>
    <row r="3247" spans="1:21">
      <c r="A3247" s="14" t="s">
        <v>15141</v>
      </c>
      <c r="B3247" s="14">
        <v>163.7698713</v>
      </c>
      <c r="C3247" s="14">
        <v>61.60100197</v>
      </c>
      <c r="D3247" s="14">
        <v>265.9387406</v>
      </c>
      <c r="E3247" s="14">
        <v>4.308849385</v>
      </c>
      <c r="F3247" s="14">
        <v>2.10730267</v>
      </c>
      <c r="G3247" s="51" t="s">
        <v>15142</v>
      </c>
      <c r="H3247" s="51" t="s">
        <v>11736</v>
      </c>
      <c r="I3247" s="14" t="s">
        <v>164</v>
      </c>
      <c r="J3247" s="14">
        <v>5.436818404</v>
      </c>
      <c r="K3247" s="14">
        <v>2.977341342</v>
      </c>
      <c r="L3247" s="14">
        <v>4.916610334</v>
      </c>
      <c r="M3247" s="14">
        <v>0.63625254</v>
      </c>
      <c r="N3247" s="14">
        <v>0.78674909</v>
      </c>
      <c r="O3247" s="14">
        <v>1.148164491</v>
      </c>
      <c r="P3247" s="14" t="s">
        <v>15143</v>
      </c>
      <c r="Q3247" s="14" t="s">
        <v>15144</v>
      </c>
      <c r="T3247" s="14" t="s">
        <v>15145</v>
      </c>
      <c r="U3247" s="14" t="s">
        <v>15146</v>
      </c>
    </row>
    <row r="3248" spans="1:21">
      <c r="A3248" s="14" t="s">
        <v>15147</v>
      </c>
      <c r="B3248" s="14">
        <v>2892.558946</v>
      </c>
      <c r="C3248" s="14">
        <v>1457.696325</v>
      </c>
      <c r="D3248" s="14">
        <v>4327.421568</v>
      </c>
      <c r="E3248" s="14">
        <v>2.968315006</v>
      </c>
      <c r="F3248" s="14">
        <v>1.569644203</v>
      </c>
      <c r="G3248" s="14">
        <v>0.001776806</v>
      </c>
      <c r="H3248" s="14">
        <v>0.006050517</v>
      </c>
      <c r="I3248" s="14" t="s">
        <v>164</v>
      </c>
      <c r="J3248" s="14">
        <v>68.60530555</v>
      </c>
      <c r="K3248" s="14">
        <v>31.89765108</v>
      </c>
      <c r="L3248" s="14">
        <v>56.76989685</v>
      </c>
      <c r="M3248" s="14">
        <v>8.077940739</v>
      </c>
      <c r="N3248" s="14">
        <v>8.7923143</v>
      </c>
      <c r="O3248" s="14">
        <v>28.21325415</v>
      </c>
      <c r="P3248" s="14" t="s">
        <v>15148</v>
      </c>
      <c r="Q3248" s="14" t="s">
        <v>15149</v>
      </c>
      <c r="T3248" s="14" t="s">
        <v>15150</v>
      </c>
      <c r="U3248" s="14" t="s">
        <v>15151</v>
      </c>
    </row>
    <row r="3249" spans="1:21">
      <c r="A3249" s="14" t="s">
        <v>15152</v>
      </c>
      <c r="B3249" s="14">
        <v>26.53399977</v>
      </c>
      <c r="C3249" s="14">
        <v>2.329034777</v>
      </c>
      <c r="D3249" s="14">
        <v>50.73896476</v>
      </c>
      <c r="E3249" s="14">
        <v>21.67185111</v>
      </c>
      <c r="F3249" s="14">
        <v>4.437750482</v>
      </c>
      <c r="G3249" s="51" t="s">
        <v>4664</v>
      </c>
      <c r="H3249" s="51" t="s">
        <v>15153</v>
      </c>
      <c r="I3249" s="14" t="s">
        <v>164</v>
      </c>
      <c r="J3249" s="14">
        <v>1.223686542</v>
      </c>
      <c r="K3249" s="14">
        <v>1.014322281</v>
      </c>
      <c r="L3249" s="14">
        <v>1.455455522</v>
      </c>
      <c r="M3249" s="14">
        <v>0.041058028</v>
      </c>
      <c r="N3249" s="14">
        <v>0.039390304</v>
      </c>
      <c r="O3249" s="14">
        <v>0.06025573</v>
      </c>
      <c r="P3249" s="14" t="s">
        <v>15154</v>
      </c>
      <c r="Q3249" s="14" t="s">
        <v>15155</v>
      </c>
      <c r="T3249" s="14" t="s">
        <v>15156</v>
      </c>
      <c r="U3249" s="14" t="s">
        <v>15157</v>
      </c>
    </row>
    <row r="3250" spans="1:21">
      <c r="A3250" s="14" t="s">
        <v>15158</v>
      </c>
      <c r="B3250" s="14">
        <v>858.010571</v>
      </c>
      <c r="C3250" s="14">
        <v>1347.912467</v>
      </c>
      <c r="D3250" s="14">
        <v>368.1086751</v>
      </c>
      <c r="E3250" s="14">
        <v>0.273046547</v>
      </c>
      <c r="F3250" s="14">
        <v>-1.872781182</v>
      </c>
      <c r="G3250" s="51" t="s">
        <v>9588</v>
      </c>
      <c r="H3250" s="51" t="s">
        <v>9589</v>
      </c>
      <c r="I3250" s="14" t="s">
        <v>147</v>
      </c>
      <c r="J3250" s="14">
        <v>2.314827028</v>
      </c>
      <c r="K3250" s="14">
        <v>2.395390371</v>
      </c>
      <c r="L3250" s="14">
        <v>2.541867809</v>
      </c>
      <c r="M3250" s="14">
        <v>6.214265523</v>
      </c>
      <c r="N3250" s="14">
        <v>5.743017563</v>
      </c>
      <c r="O3250" s="14">
        <v>10.19491041</v>
      </c>
      <c r="P3250" s="14" t="s">
        <v>15159</v>
      </c>
      <c r="Q3250" s="14" t="s">
        <v>15160</v>
      </c>
      <c r="T3250" s="14" t="s">
        <v>9969</v>
      </c>
      <c r="U3250" s="14" t="s">
        <v>9970</v>
      </c>
    </row>
    <row r="3251" spans="1:21">
      <c r="A3251" s="14" t="s">
        <v>15161</v>
      </c>
      <c r="B3251" s="14">
        <v>560.2283025</v>
      </c>
      <c r="C3251" s="14">
        <v>770.7661982</v>
      </c>
      <c r="D3251" s="14">
        <v>349.6904068</v>
      </c>
      <c r="E3251" s="14">
        <v>0.453824665</v>
      </c>
      <c r="F3251" s="14">
        <v>-1.139793076</v>
      </c>
      <c r="G3251" s="51" t="s">
        <v>6118</v>
      </c>
      <c r="H3251" s="51" t="s">
        <v>15162</v>
      </c>
      <c r="I3251" s="14" t="s">
        <v>147</v>
      </c>
      <c r="J3251" s="14">
        <v>7.020025612</v>
      </c>
      <c r="K3251" s="14">
        <v>8.239886186</v>
      </c>
      <c r="L3251" s="14">
        <v>7.611930281</v>
      </c>
      <c r="M3251" s="14">
        <v>14.34118846</v>
      </c>
      <c r="N3251" s="14">
        <v>15.23027783</v>
      </c>
      <c r="O3251" s="14">
        <v>11.62635014</v>
      </c>
      <c r="P3251" s="14" t="s">
        <v>15163</v>
      </c>
      <c r="Q3251" s="14" t="s">
        <v>15164</v>
      </c>
      <c r="T3251" s="14" t="s">
        <v>2121</v>
      </c>
      <c r="U3251" s="14" t="s">
        <v>2122</v>
      </c>
    </row>
    <row r="3252" spans="1:21">
      <c r="A3252" s="14" t="s">
        <v>15165</v>
      </c>
      <c r="B3252" s="14">
        <v>342.9069869</v>
      </c>
      <c r="C3252" s="14">
        <v>116.4957443</v>
      </c>
      <c r="D3252" s="14">
        <v>569.3182296</v>
      </c>
      <c r="E3252" s="14">
        <v>4.881722778</v>
      </c>
      <c r="F3252" s="14">
        <v>2.28739037</v>
      </c>
      <c r="G3252" s="14">
        <v>0.002687734</v>
      </c>
      <c r="H3252" s="14">
        <v>0.008645756</v>
      </c>
      <c r="I3252" s="14" t="s">
        <v>164</v>
      </c>
      <c r="J3252" s="14">
        <v>11.73776188</v>
      </c>
      <c r="K3252" s="14">
        <v>10.35471274</v>
      </c>
      <c r="L3252" s="14">
        <v>17.08345381</v>
      </c>
      <c r="M3252" s="14">
        <v>0.71734049</v>
      </c>
      <c r="N3252" s="14">
        <v>0.688203038</v>
      </c>
      <c r="O3252" s="14">
        <v>5.557765838</v>
      </c>
      <c r="P3252" s="14" t="s">
        <v>15166</v>
      </c>
      <c r="Q3252" s="14" t="s">
        <v>15167</v>
      </c>
      <c r="T3252" s="14" t="s">
        <v>1121</v>
      </c>
      <c r="U3252" s="14" t="s">
        <v>1122</v>
      </c>
    </row>
    <row r="3253" spans="1:21">
      <c r="A3253" s="14" t="s">
        <v>15168</v>
      </c>
      <c r="B3253" s="14">
        <v>16.12016648</v>
      </c>
      <c r="C3253" s="14">
        <v>30.9895679</v>
      </c>
      <c r="D3253" s="14">
        <v>1.250765047</v>
      </c>
      <c r="E3253" s="14">
        <v>0.040998012</v>
      </c>
      <c r="F3253" s="14">
        <v>-4.608302245</v>
      </c>
      <c r="G3253" s="14">
        <v>0.004368123</v>
      </c>
      <c r="H3253" s="14">
        <v>0.013154585</v>
      </c>
      <c r="I3253" s="14" t="s">
        <v>147</v>
      </c>
      <c r="J3253" s="14">
        <v>0</v>
      </c>
      <c r="K3253" s="14">
        <v>0</v>
      </c>
      <c r="L3253" s="14">
        <v>0.049597307</v>
      </c>
      <c r="M3253" s="14">
        <v>0.451743246</v>
      </c>
      <c r="N3253" s="14">
        <v>0.465105771</v>
      </c>
      <c r="O3253" s="14">
        <v>0.043119807</v>
      </c>
      <c r="P3253" s="14" t="s">
        <v>15169</v>
      </c>
      <c r="Q3253" s="14" t="s">
        <v>15170</v>
      </c>
      <c r="T3253" s="14" t="s">
        <v>15171</v>
      </c>
      <c r="U3253" s="14" t="s">
        <v>15172</v>
      </c>
    </row>
    <row r="3254" spans="1:21">
      <c r="A3254" s="14" t="s">
        <v>15173</v>
      </c>
      <c r="B3254" s="14">
        <v>143.0675279</v>
      </c>
      <c r="C3254" s="14">
        <v>53.05997136</v>
      </c>
      <c r="D3254" s="14">
        <v>233.0750845</v>
      </c>
      <c r="E3254" s="14">
        <v>4.38349741</v>
      </c>
      <c r="F3254" s="14">
        <v>2.132082395</v>
      </c>
      <c r="G3254" s="14">
        <v>0.012583158</v>
      </c>
      <c r="H3254" s="14">
        <v>0.032817539</v>
      </c>
      <c r="I3254" s="14" t="s">
        <v>164</v>
      </c>
      <c r="J3254" s="14">
        <v>5.202246348</v>
      </c>
      <c r="K3254" s="14">
        <v>4.991533332</v>
      </c>
      <c r="L3254" s="14">
        <v>6.998528086</v>
      </c>
      <c r="M3254" s="14">
        <v>0.187192195</v>
      </c>
      <c r="N3254" s="14">
        <v>0.43899457</v>
      </c>
      <c r="O3254" s="14">
        <v>2.787884629</v>
      </c>
      <c r="P3254" s="14" t="s">
        <v>15174</v>
      </c>
      <c r="Q3254" s="14" t="s">
        <v>15175</v>
      </c>
      <c r="T3254" s="14" t="s">
        <v>7885</v>
      </c>
      <c r="U3254" s="14" t="s">
        <v>7886</v>
      </c>
    </row>
    <row r="3255" spans="1:21">
      <c r="A3255" s="14" t="s">
        <v>15176</v>
      </c>
      <c r="B3255" s="14">
        <v>5.831328273</v>
      </c>
      <c r="C3255" s="14">
        <v>0.927266538</v>
      </c>
      <c r="D3255" s="14">
        <v>10.73539001</v>
      </c>
      <c r="E3255" s="14">
        <v>11.1009232</v>
      </c>
      <c r="F3255" s="14">
        <v>3.472607757</v>
      </c>
      <c r="G3255" s="14">
        <v>0.017224795</v>
      </c>
      <c r="H3255" s="14">
        <v>0.042864664</v>
      </c>
      <c r="I3255" s="14" t="s">
        <v>164</v>
      </c>
      <c r="J3255" s="14">
        <v>0.197479105</v>
      </c>
      <c r="K3255" s="14">
        <v>0.132512412</v>
      </c>
      <c r="L3255" s="14">
        <v>0.205987866</v>
      </c>
      <c r="M3255" s="14">
        <v>0</v>
      </c>
      <c r="N3255" s="14">
        <v>0</v>
      </c>
      <c r="O3255" s="14">
        <v>0.041327416</v>
      </c>
      <c r="P3255" s="14" t="s">
        <v>15177</v>
      </c>
      <c r="Q3255" s="14" t="s">
        <v>15178</v>
      </c>
      <c r="T3255" s="14" t="s">
        <v>15179</v>
      </c>
      <c r="U3255" s="14" t="s">
        <v>15180</v>
      </c>
    </row>
    <row r="3256" spans="1:21">
      <c r="A3256" s="14" t="s">
        <v>15181</v>
      </c>
      <c r="B3256" s="14">
        <v>50.25267084</v>
      </c>
      <c r="C3256" s="14">
        <v>13.68492029</v>
      </c>
      <c r="D3256" s="14">
        <v>86.8204214</v>
      </c>
      <c r="E3256" s="14">
        <v>6.36713585</v>
      </c>
      <c r="F3256" s="14">
        <v>2.670644546</v>
      </c>
      <c r="G3256" s="51" t="s">
        <v>15182</v>
      </c>
      <c r="H3256" s="14">
        <v>0.000384821</v>
      </c>
      <c r="I3256" s="14" t="s">
        <v>164</v>
      </c>
      <c r="J3256" s="14">
        <v>1.170967652</v>
      </c>
      <c r="K3256" s="14">
        <v>0.785742612</v>
      </c>
      <c r="L3256" s="14">
        <v>0.540816806</v>
      </c>
      <c r="M3256" s="14">
        <v>0.097743777</v>
      </c>
      <c r="N3256" s="14">
        <v>0.179732638</v>
      </c>
      <c r="O3256" s="14">
        <v>0.039846197</v>
      </c>
      <c r="P3256" s="14" t="s">
        <v>15183</v>
      </c>
      <c r="Q3256" s="14" t="s">
        <v>15184</v>
      </c>
      <c r="T3256" s="14" t="s">
        <v>15185</v>
      </c>
      <c r="U3256" s="14" t="s">
        <v>15186</v>
      </c>
    </row>
    <row r="3257" spans="1:21">
      <c r="A3257" s="14" t="s">
        <v>15187</v>
      </c>
      <c r="B3257" s="14">
        <v>633.2355976</v>
      </c>
      <c r="C3257" s="14">
        <v>92.01784066</v>
      </c>
      <c r="D3257" s="14">
        <v>1174.453355</v>
      </c>
      <c r="E3257" s="14">
        <v>12.73854085</v>
      </c>
      <c r="F3257" s="14">
        <v>3.671128127</v>
      </c>
      <c r="G3257" s="51" t="s">
        <v>15188</v>
      </c>
      <c r="H3257" s="51" t="s">
        <v>15189</v>
      </c>
      <c r="I3257" s="14" t="s">
        <v>164</v>
      </c>
      <c r="J3257" s="14">
        <v>12.83637759</v>
      </c>
      <c r="K3257" s="14">
        <v>15.19566179</v>
      </c>
      <c r="L3257" s="14">
        <v>11.13841442</v>
      </c>
      <c r="M3257" s="14">
        <v>0.764262602</v>
      </c>
      <c r="N3257" s="14">
        <v>0.642698341</v>
      </c>
      <c r="O3257" s="14">
        <v>1.153922406</v>
      </c>
      <c r="P3257" s="14" t="s">
        <v>15190</v>
      </c>
      <c r="Q3257" s="14" t="s">
        <v>15191</v>
      </c>
      <c r="T3257" s="14" t="s">
        <v>7960</v>
      </c>
      <c r="U3257" s="14" t="s">
        <v>7961</v>
      </c>
    </row>
    <row r="3258" spans="1:21">
      <c r="A3258" s="14" t="s">
        <v>15192</v>
      </c>
      <c r="B3258" s="14">
        <v>1163.282986</v>
      </c>
      <c r="C3258" s="14">
        <v>1823.898311</v>
      </c>
      <c r="D3258" s="14">
        <v>502.6676614</v>
      </c>
      <c r="E3258" s="14">
        <v>0.275606106</v>
      </c>
      <c r="F3258" s="14">
        <v>-1.859320243</v>
      </c>
      <c r="G3258" s="51" t="s">
        <v>15193</v>
      </c>
      <c r="H3258" s="51" t="s">
        <v>15194</v>
      </c>
      <c r="I3258" s="14" t="s">
        <v>147</v>
      </c>
      <c r="J3258" s="14">
        <v>6.923961753</v>
      </c>
      <c r="K3258" s="14">
        <v>10.90006328</v>
      </c>
      <c r="L3258" s="14">
        <v>8.111738775</v>
      </c>
      <c r="M3258" s="14">
        <v>27.9279235</v>
      </c>
      <c r="N3258" s="14">
        <v>28.78134355</v>
      </c>
      <c r="O3258" s="14">
        <v>20.05774199</v>
      </c>
      <c r="Q3258" s="14" t="s">
        <v>15195</v>
      </c>
      <c r="T3258" s="14" t="s">
        <v>1945</v>
      </c>
      <c r="U3258" s="14" t="s">
        <v>1946</v>
      </c>
    </row>
    <row r="3259" spans="1:21">
      <c r="A3259" s="14" t="s">
        <v>15196</v>
      </c>
      <c r="B3259" s="14">
        <v>276.9696567</v>
      </c>
      <c r="C3259" s="14">
        <v>419.5197508</v>
      </c>
      <c r="D3259" s="14">
        <v>134.4195626</v>
      </c>
      <c r="E3259" s="14">
        <v>0.320668455</v>
      </c>
      <c r="F3259" s="14">
        <v>-1.640845657</v>
      </c>
      <c r="G3259" s="51" t="s">
        <v>15197</v>
      </c>
      <c r="H3259" s="51" t="s">
        <v>15198</v>
      </c>
      <c r="I3259" s="14" t="s">
        <v>147</v>
      </c>
      <c r="J3259" s="14">
        <v>0.810110505</v>
      </c>
      <c r="K3259" s="14">
        <v>1.111095078</v>
      </c>
      <c r="L3259" s="14">
        <v>1.714317458</v>
      </c>
      <c r="M3259" s="14">
        <v>2.985774636</v>
      </c>
      <c r="N3259" s="14">
        <v>2.893725848</v>
      </c>
      <c r="O3259" s="14">
        <v>3.457784646</v>
      </c>
      <c r="Q3259" s="14" t="s">
        <v>15199</v>
      </c>
      <c r="R3259" s="14" t="s">
        <v>294</v>
      </c>
      <c r="S3259" s="14" t="s">
        <v>295</v>
      </c>
      <c r="T3259" s="14" t="s">
        <v>4773</v>
      </c>
      <c r="U3259" s="14" t="s">
        <v>4774</v>
      </c>
    </row>
    <row r="3260" spans="1:21">
      <c r="A3260" s="14" t="s">
        <v>15200</v>
      </c>
      <c r="B3260" s="14">
        <v>930.1923816</v>
      </c>
      <c r="C3260" s="14">
        <v>1498.183571</v>
      </c>
      <c r="D3260" s="14">
        <v>362.201192</v>
      </c>
      <c r="E3260" s="14">
        <v>0.241747676</v>
      </c>
      <c r="F3260" s="14">
        <v>-2.048426076</v>
      </c>
      <c r="G3260" s="51" t="s">
        <v>15201</v>
      </c>
      <c r="H3260" s="51" t="s">
        <v>15202</v>
      </c>
      <c r="I3260" s="14" t="s">
        <v>147</v>
      </c>
      <c r="J3260" s="14">
        <v>2.677205462</v>
      </c>
      <c r="K3260" s="14">
        <v>2.763979222</v>
      </c>
      <c r="L3260" s="14">
        <v>2.953360156</v>
      </c>
      <c r="M3260" s="14">
        <v>8.566854495</v>
      </c>
      <c r="N3260" s="14">
        <v>9.11674066</v>
      </c>
      <c r="O3260" s="14">
        <v>11.02614996</v>
      </c>
      <c r="P3260" s="14" t="s">
        <v>12726</v>
      </c>
      <c r="Q3260" s="14" t="s">
        <v>12727</v>
      </c>
      <c r="T3260" s="14" t="s">
        <v>12728</v>
      </c>
      <c r="U3260" s="14" t="s">
        <v>12729</v>
      </c>
    </row>
    <row r="3261" spans="1:21">
      <c r="A3261" s="14" t="s">
        <v>15203</v>
      </c>
      <c r="B3261" s="14">
        <v>9.258323149</v>
      </c>
      <c r="C3261" s="14">
        <v>17.84868767</v>
      </c>
      <c r="D3261" s="14">
        <v>0.667958632</v>
      </c>
      <c r="E3261" s="14">
        <v>0.036713624</v>
      </c>
      <c r="F3261" s="14">
        <v>-4.767540674</v>
      </c>
      <c r="G3261" s="14">
        <v>0.000202729</v>
      </c>
      <c r="H3261" s="14">
        <v>0.000887273</v>
      </c>
      <c r="I3261" s="14" t="s">
        <v>147</v>
      </c>
      <c r="J3261" s="14">
        <v>0.037551357</v>
      </c>
      <c r="K3261" s="14">
        <v>0.037796562</v>
      </c>
      <c r="L3261" s="14">
        <v>0</v>
      </c>
      <c r="M3261" s="14">
        <v>0.449802383</v>
      </c>
      <c r="N3261" s="14">
        <v>0.431531986</v>
      </c>
      <c r="O3261" s="14">
        <v>0.817289779</v>
      </c>
      <c r="P3261" s="14" t="s">
        <v>14870</v>
      </c>
      <c r="Q3261" s="14" t="s">
        <v>14871</v>
      </c>
      <c r="T3261" s="14" t="s">
        <v>14872</v>
      </c>
      <c r="U3261" s="14" t="s">
        <v>14873</v>
      </c>
    </row>
    <row r="3262" spans="1:21">
      <c r="A3262" s="14" t="s">
        <v>15204</v>
      </c>
      <c r="B3262" s="14">
        <v>2829.167912</v>
      </c>
      <c r="C3262" s="14">
        <v>5143.019691</v>
      </c>
      <c r="D3262" s="14">
        <v>515.3161325</v>
      </c>
      <c r="E3262" s="14">
        <v>0.100194569</v>
      </c>
      <c r="F3262" s="14">
        <v>-3.31912378</v>
      </c>
      <c r="G3262" s="51" t="s">
        <v>15205</v>
      </c>
      <c r="H3262" s="51" t="s">
        <v>15206</v>
      </c>
      <c r="I3262" s="14" t="s">
        <v>147</v>
      </c>
      <c r="J3262" s="14">
        <v>13.61974378</v>
      </c>
      <c r="K3262" s="14">
        <v>24.92487078</v>
      </c>
      <c r="L3262" s="14">
        <v>18.23303895</v>
      </c>
      <c r="M3262" s="14">
        <v>173.9846088</v>
      </c>
      <c r="N3262" s="14">
        <v>174.9884482</v>
      </c>
      <c r="O3262" s="14">
        <v>112.2122427</v>
      </c>
      <c r="Q3262" s="14" t="s">
        <v>4402</v>
      </c>
      <c r="R3262" s="14" t="s">
        <v>15207</v>
      </c>
      <c r="S3262" s="14" t="s">
        <v>15208</v>
      </c>
      <c r="T3262" s="14" t="s">
        <v>4403</v>
      </c>
      <c r="U3262" s="14" t="s">
        <v>4404</v>
      </c>
    </row>
    <row r="3263" spans="1:21">
      <c r="A3263" s="14" t="s">
        <v>15209</v>
      </c>
      <c r="B3263" s="14">
        <v>2454.830133</v>
      </c>
      <c r="C3263" s="14">
        <v>3388.723055</v>
      </c>
      <c r="D3263" s="14">
        <v>1520.937211</v>
      </c>
      <c r="E3263" s="14">
        <v>0.448820031</v>
      </c>
      <c r="F3263" s="14">
        <v>-1.155791029</v>
      </c>
      <c r="G3263" s="51" t="s">
        <v>15210</v>
      </c>
      <c r="H3263" s="51" t="s">
        <v>15211</v>
      </c>
      <c r="I3263" s="14" t="s">
        <v>147</v>
      </c>
      <c r="J3263" s="14">
        <v>17.70978933</v>
      </c>
      <c r="K3263" s="14">
        <v>24.43324774</v>
      </c>
      <c r="L3263" s="14">
        <v>17.53905671</v>
      </c>
      <c r="M3263" s="14">
        <v>38.9855205</v>
      </c>
      <c r="N3263" s="14">
        <v>36.28375315</v>
      </c>
      <c r="O3263" s="14">
        <v>33.83108173</v>
      </c>
      <c r="P3263" s="14" t="s">
        <v>15212</v>
      </c>
      <c r="Q3263" s="14" t="s">
        <v>15213</v>
      </c>
      <c r="T3263" s="14" t="s">
        <v>15214</v>
      </c>
      <c r="U3263" s="14" t="s">
        <v>15215</v>
      </c>
    </row>
    <row r="3264" spans="1:15">
      <c r="A3264" s="14" t="s">
        <v>15216</v>
      </c>
      <c r="B3264" s="14">
        <v>1477.719816</v>
      </c>
      <c r="C3264" s="14">
        <v>499.8914992</v>
      </c>
      <c r="D3264" s="14">
        <v>2455.548132</v>
      </c>
      <c r="E3264" s="14">
        <v>4.914877688</v>
      </c>
      <c r="F3264" s="14">
        <v>2.297155514</v>
      </c>
      <c r="G3264" s="51" t="s">
        <v>15217</v>
      </c>
      <c r="H3264" s="51" t="s">
        <v>11465</v>
      </c>
      <c r="I3264" s="14" t="s">
        <v>164</v>
      </c>
      <c r="J3264" s="14">
        <v>71.26579375</v>
      </c>
      <c r="K3264" s="14">
        <v>63.60257045</v>
      </c>
      <c r="L3264" s="14">
        <v>76.03936594</v>
      </c>
      <c r="M3264" s="14">
        <v>12.70405924</v>
      </c>
      <c r="N3264" s="14">
        <v>13.65339217</v>
      </c>
      <c r="O3264" s="14">
        <v>8.539308972</v>
      </c>
    </row>
    <row r="3265" spans="1:15">
      <c r="A3265" s="14" t="s">
        <v>15218</v>
      </c>
      <c r="B3265" s="14">
        <v>815.4725049</v>
      </c>
      <c r="C3265" s="14">
        <v>526.7537428</v>
      </c>
      <c r="D3265" s="14">
        <v>1104.191267</v>
      </c>
      <c r="E3265" s="14">
        <v>2.096779026</v>
      </c>
      <c r="F3265" s="14">
        <v>1.068174828</v>
      </c>
      <c r="G3265" s="14">
        <v>0.001784449</v>
      </c>
      <c r="H3265" s="14">
        <v>0.0060719</v>
      </c>
      <c r="I3265" s="14" t="s">
        <v>164</v>
      </c>
      <c r="J3265" s="14">
        <v>8.561944717</v>
      </c>
      <c r="K3265" s="14">
        <v>14.99137241</v>
      </c>
      <c r="L3265" s="14">
        <v>8.6528039</v>
      </c>
      <c r="M3265" s="14">
        <v>5.054384861</v>
      </c>
      <c r="N3265" s="14">
        <v>4.231061938</v>
      </c>
      <c r="O3265" s="14">
        <v>3.248268662</v>
      </c>
    </row>
    <row r="3266" spans="1:21">
      <c r="A3266" s="14" t="s">
        <v>15219</v>
      </c>
      <c r="B3266" s="14">
        <v>345.4885067</v>
      </c>
      <c r="C3266" s="14">
        <v>158.8711251</v>
      </c>
      <c r="D3266" s="14">
        <v>532.1058883</v>
      </c>
      <c r="E3266" s="14">
        <v>3.346585847</v>
      </c>
      <c r="F3266" s="14">
        <v>1.742690023</v>
      </c>
      <c r="G3266" s="14">
        <v>0.011899792</v>
      </c>
      <c r="H3266" s="14">
        <v>0.03131959</v>
      </c>
      <c r="I3266" s="14" t="s">
        <v>164</v>
      </c>
      <c r="J3266" s="14">
        <v>5.15683288</v>
      </c>
      <c r="K3266" s="14">
        <v>5.262029051</v>
      </c>
      <c r="L3266" s="14">
        <v>5.95243989</v>
      </c>
      <c r="M3266" s="14">
        <v>0.703513523</v>
      </c>
      <c r="N3266" s="14">
        <v>0.358300263</v>
      </c>
      <c r="O3266" s="14">
        <v>3.161108296</v>
      </c>
      <c r="P3266" s="14" t="s">
        <v>15220</v>
      </c>
      <c r="Q3266" s="14" t="s">
        <v>15221</v>
      </c>
      <c r="T3266" s="14" t="s">
        <v>15222</v>
      </c>
      <c r="U3266" s="14" t="s">
        <v>15223</v>
      </c>
    </row>
    <row r="3267" spans="1:21">
      <c r="A3267" s="14" t="s">
        <v>15224</v>
      </c>
      <c r="B3267" s="14">
        <v>5435.488266</v>
      </c>
      <c r="C3267" s="14">
        <v>3107.189848</v>
      </c>
      <c r="D3267" s="14">
        <v>7763.786684</v>
      </c>
      <c r="E3267" s="14">
        <v>2.498488824</v>
      </c>
      <c r="F3267" s="14">
        <v>1.321055765</v>
      </c>
      <c r="G3267" s="51" t="s">
        <v>15225</v>
      </c>
      <c r="H3267" s="51" t="s">
        <v>8202</v>
      </c>
      <c r="I3267" s="14" t="s">
        <v>164</v>
      </c>
      <c r="J3267" s="14">
        <v>180.5925535</v>
      </c>
      <c r="K3267" s="14">
        <v>122.1751188</v>
      </c>
      <c r="L3267" s="14">
        <v>146.7768341</v>
      </c>
      <c r="M3267" s="14">
        <v>42.81063977</v>
      </c>
      <c r="N3267" s="14">
        <v>46.29589941</v>
      </c>
      <c r="O3267" s="14">
        <v>60.01200594</v>
      </c>
      <c r="P3267" s="14" t="s">
        <v>15226</v>
      </c>
      <c r="Q3267" s="14" t="s">
        <v>15227</v>
      </c>
      <c r="T3267" s="14" t="s">
        <v>15228</v>
      </c>
      <c r="U3267" s="14" t="s">
        <v>15229</v>
      </c>
    </row>
    <row r="3268" spans="1:15">
      <c r="A3268" s="14" t="s">
        <v>15230</v>
      </c>
      <c r="B3268" s="14">
        <v>1865.825995</v>
      </c>
      <c r="C3268" s="14">
        <v>915.7815376</v>
      </c>
      <c r="D3268" s="14">
        <v>2815.870452</v>
      </c>
      <c r="E3268" s="14">
        <v>3.074261488</v>
      </c>
      <c r="F3268" s="14">
        <v>1.620239882</v>
      </c>
      <c r="G3268" s="51" t="s">
        <v>15231</v>
      </c>
      <c r="H3268" s="51" t="s">
        <v>15232</v>
      </c>
      <c r="I3268" s="14" t="s">
        <v>164</v>
      </c>
      <c r="J3268" s="14">
        <v>30.92416923</v>
      </c>
      <c r="K3268" s="14">
        <v>32.47190701</v>
      </c>
      <c r="L3268" s="14">
        <v>34.09967236</v>
      </c>
      <c r="M3268" s="14">
        <v>8.516408606</v>
      </c>
      <c r="N3268" s="14">
        <v>7.082336007</v>
      </c>
      <c r="O3268" s="14">
        <v>10.66650659</v>
      </c>
    </row>
    <row r="3269" spans="1:21">
      <c r="A3269" s="14" t="s">
        <v>15233</v>
      </c>
      <c r="B3269" s="14">
        <v>2003.437468</v>
      </c>
      <c r="C3269" s="14">
        <v>3481.404742</v>
      </c>
      <c r="D3269" s="14">
        <v>525.4701939</v>
      </c>
      <c r="E3269" s="14">
        <v>0.150923124</v>
      </c>
      <c r="F3269" s="14">
        <v>-2.728114227</v>
      </c>
      <c r="G3269" s="51" t="s">
        <v>15234</v>
      </c>
      <c r="H3269" s="51" t="s">
        <v>15235</v>
      </c>
      <c r="I3269" s="14" t="s">
        <v>147</v>
      </c>
      <c r="J3269" s="14">
        <v>23.7922775</v>
      </c>
      <c r="K3269" s="14">
        <v>37.67833784</v>
      </c>
      <c r="L3269" s="14">
        <v>23.83919558</v>
      </c>
      <c r="M3269" s="14">
        <v>165.149951</v>
      </c>
      <c r="N3269" s="14">
        <v>177.9273762</v>
      </c>
      <c r="O3269" s="14">
        <v>118.1952344</v>
      </c>
      <c r="P3269" s="14" t="s">
        <v>10745</v>
      </c>
      <c r="Q3269" s="14" t="s">
        <v>15236</v>
      </c>
      <c r="R3269" s="14" t="s">
        <v>480</v>
      </c>
      <c r="S3269" s="14" t="s">
        <v>481</v>
      </c>
      <c r="T3269" s="14" t="s">
        <v>482</v>
      </c>
      <c r="U3269" s="14" t="s">
        <v>483</v>
      </c>
    </row>
    <row r="3270" spans="1:15">
      <c r="A3270" s="14" t="s">
        <v>15237</v>
      </c>
      <c r="B3270" s="14">
        <v>151.6216729</v>
      </c>
      <c r="C3270" s="14">
        <v>61.93069454</v>
      </c>
      <c r="D3270" s="14">
        <v>241.3126513</v>
      </c>
      <c r="E3270" s="14">
        <v>3.886149195</v>
      </c>
      <c r="F3270" s="14">
        <v>1.958341289</v>
      </c>
      <c r="G3270" s="14">
        <v>0.000138644</v>
      </c>
      <c r="H3270" s="14">
        <v>0.000635201</v>
      </c>
      <c r="I3270" s="14" t="s">
        <v>164</v>
      </c>
      <c r="J3270" s="14">
        <v>3.857905382</v>
      </c>
      <c r="K3270" s="14">
        <v>3.781356468</v>
      </c>
      <c r="L3270" s="14">
        <v>4.687834958</v>
      </c>
      <c r="M3270" s="14">
        <v>0.504489603</v>
      </c>
      <c r="N3270" s="14">
        <v>0.483997881</v>
      </c>
      <c r="O3270" s="14">
        <v>1.706390991</v>
      </c>
    </row>
    <row r="3271" spans="1:15">
      <c r="A3271" s="14" t="s">
        <v>15238</v>
      </c>
      <c r="B3271" s="14">
        <v>337.309275</v>
      </c>
      <c r="C3271" s="14">
        <v>120.9425459</v>
      </c>
      <c r="D3271" s="14">
        <v>553.6760042</v>
      </c>
      <c r="E3271" s="14">
        <v>4.571584023</v>
      </c>
      <c r="F3271" s="14">
        <v>2.192694136</v>
      </c>
      <c r="G3271" s="51" t="s">
        <v>15239</v>
      </c>
      <c r="H3271" s="14">
        <v>0.00043501</v>
      </c>
      <c r="I3271" s="14" t="s">
        <v>164</v>
      </c>
      <c r="J3271" s="14">
        <v>12.25062534</v>
      </c>
      <c r="K3271" s="14">
        <v>7.231742191</v>
      </c>
      <c r="L3271" s="14">
        <v>8.272795275</v>
      </c>
      <c r="M3271" s="14">
        <v>0.764871333</v>
      </c>
      <c r="N3271" s="14">
        <v>0.991993268</v>
      </c>
      <c r="O3271" s="14">
        <v>3.436808302</v>
      </c>
    </row>
    <row r="3272" spans="1:21">
      <c r="A3272" s="14" t="s">
        <v>15240</v>
      </c>
      <c r="B3272" s="14">
        <v>37283.52926</v>
      </c>
      <c r="C3272" s="14">
        <v>58036.11197</v>
      </c>
      <c r="D3272" s="14">
        <v>16530.94654</v>
      </c>
      <c r="E3272" s="14">
        <v>0.28483889</v>
      </c>
      <c r="F3272" s="14">
        <v>-1.811781958</v>
      </c>
      <c r="G3272" s="51" t="s">
        <v>15241</v>
      </c>
      <c r="H3272" s="51" t="s">
        <v>354</v>
      </c>
      <c r="I3272" s="14" t="s">
        <v>147</v>
      </c>
      <c r="J3272" s="14">
        <v>244.1224574</v>
      </c>
      <c r="K3272" s="14">
        <v>316.9656216</v>
      </c>
      <c r="L3272" s="14">
        <v>226.5581868</v>
      </c>
      <c r="M3272" s="14">
        <v>827.6207861</v>
      </c>
      <c r="N3272" s="14">
        <v>834.9733886</v>
      </c>
      <c r="O3272" s="14">
        <v>594.3763598</v>
      </c>
      <c r="P3272" s="14" t="s">
        <v>15242</v>
      </c>
      <c r="Q3272" s="14" t="s">
        <v>15243</v>
      </c>
      <c r="R3272" s="14" t="s">
        <v>2587</v>
      </c>
      <c r="S3272" s="14" t="s">
        <v>2588</v>
      </c>
      <c r="T3272" s="14" t="s">
        <v>15244</v>
      </c>
      <c r="U3272" s="14" t="s">
        <v>15245</v>
      </c>
    </row>
    <row r="3273" spans="1:21">
      <c r="A3273" s="14" t="s">
        <v>15246</v>
      </c>
      <c r="B3273" s="14">
        <v>760.8917375</v>
      </c>
      <c r="C3273" s="14">
        <v>503.3615933</v>
      </c>
      <c r="D3273" s="14">
        <v>1018.421882</v>
      </c>
      <c r="E3273" s="14">
        <v>2.022418352</v>
      </c>
      <c r="F3273" s="14">
        <v>1.01608146</v>
      </c>
      <c r="G3273" s="14">
        <v>0.000164169</v>
      </c>
      <c r="H3273" s="14">
        <v>0.000738097</v>
      </c>
      <c r="I3273" s="14" t="s">
        <v>164</v>
      </c>
      <c r="J3273" s="14">
        <v>7.505428466</v>
      </c>
      <c r="K3273" s="14">
        <v>6.504011327</v>
      </c>
      <c r="L3273" s="14">
        <v>8.059376913</v>
      </c>
      <c r="M3273" s="14">
        <v>2.642031699</v>
      </c>
      <c r="N3273" s="14">
        <v>2.106395731</v>
      </c>
      <c r="O3273" s="14">
        <v>4.362051703</v>
      </c>
      <c r="P3273" s="14" t="s">
        <v>15247</v>
      </c>
      <c r="Q3273" s="14" t="s">
        <v>15248</v>
      </c>
      <c r="T3273" s="14" t="s">
        <v>15249</v>
      </c>
      <c r="U3273" s="14" t="s">
        <v>15250</v>
      </c>
    </row>
    <row r="3274" spans="1:15">
      <c r="A3274" s="14" t="s">
        <v>15251</v>
      </c>
      <c r="B3274" s="14">
        <v>1774.300078</v>
      </c>
      <c r="C3274" s="14">
        <v>945.8670606</v>
      </c>
      <c r="D3274" s="14">
        <v>2602.733095</v>
      </c>
      <c r="E3274" s="14">
        <v>2.752491881</v>
      </c>
      <c r="F3274" s="14">
        <v>1.460738308</v>
      </c>
      <c r="G3274" s="51" t="s">
        <v>10614</v>
      </c>
      <c r="H3274" s="51" t="s">
        <v>15252</v>
      </c>
      <c r="I3274" s="14" t="s">
        <v>164</v>
      </c>
      <c r="J3274" s="14">
        <v>38.06791753</v>
      </c>
      <c r="K3274" s="14">
        <v>31.74600245</v>
      </c>
      <c r="L3274" s="14">
        <v>37.22863255</v>
      </c>
      <c r="M3274" s="14">
        <v>10.57822298</v>
      </c>
      <c r="N3274" s="14">
        <v>12.15375091</v>
      </c>
      <c r="O3274" s="14">
        <v>9.054441462</v>
      </c>
    </row>
    <row r="3275" spans="1:21">
      <c r="A3275" s="14" t="s">
        <v>15253</v>
      </c>
      <c r="B3275" s="14">
        <v>12018.01219</v>
      </c>
      <c r="C3275" s="14">
        <v>8005.955559</v>
      </c>
      <c r="D3275" s="14">
        <v>16030.06883</v>
      </c>
      <c r="E3275" s="14">
        <v>2.002200011</v>
      </c>
      <c r="F3275" s="14">
        <v>1.0015861</v>
      </c>
      <c r="G3275" s="14">
        <v>0.000407507</v>
      </c>
      <c r="H3275" s="14">
        <v>0.001658803</v>
      </c>
      <c r="I3275" s="14" t="s">
        <v>164</v>
      </c>
      <c r="J3275" s="14">
        <v>139.8599757</v>
      </c>
      <c r="K3275" s="14">
        <v>119.0496085</v>
      </c>
      <c r="L3275" s="14">
        <v>152.6242036</v>
      </c>
      <c r="M3275" s="14">
        <v>43.30718782</v>
      </c>
      <c r="N3275" s="14">
        <v>41.77746087</v>
      </c>
      <c r="O3275" s="14">
        <v>87.25114386</v>
      </c>
      <c r="P3275" s="14" t="s">
        <v>15254</v>
      </c>
      <c r="Q3275" s="14" t="s">
        <v>15255</v>
      </c>
      <c r="R3275" s="14" t="s">
        <v>15256</v>
      </c>
      <c r="S3275" s="14" t="s">
        <v>15257</v>
      </c>
      <c r="T3275" s="14" t="s">
        <v>15258</v>
      </c>
      <c r="U3275" s="14" t="s">
        <v>15259</v>
      </c>
    </row>
    <row r="3276" spans="1:15">
      <c r="A3276" s="14" t="s">
        <v>15260</v>
      </c>
      <c r="B3276" s="14">
        <v>49.85952859</v>
      </c>
      <c r="C3276" s="14">
        <v>24.32088609</v>
      </c>
      <c r="D3276" s="14">
        <v>75.39817109</v>
      </c>
      <c r="E3276" s="14">
        <v>3.112305334</v>
      </c>
      <c r="F3276" s="14">
        <v>1.637983603</v>
      </c>
      <c r="G3276" s="14">
        <v>0.002307746</v>
      </c>
      <c r="H3276" s="14">
        <v>0.007587281</v>
      </c>
      <c r="I3276" s="14" t="s">
        <v>164</v>
      </c>
      <c r="J3276" s="14">
        <v>4.761666857</v>
      </c>
      <c r="K3276" s="14">
        <v>9.01038865</v>
      </c>
      <c r="L3276" s="14">
        <v>7.97749676</v>
      </c>
      <c r="M3276" s="14">
        <v>2.281471881</v>
      </c>
      <c r="N3276" s="14">
        <v>2.345144373</v>
      </c>
      <c r="O3276" s="14">
        <v>1.036357143</v>
      </c>
    </row>
    <row r="3277" spans="1:21">
      <c r="A3277" s="14" t="s">
        <v>15261</v>
      </c>
      <c r="B3277" s="14">
        <v>854.8008864</v>
      </c>
      <c r="C3277" s="14">
        <v>549.3089584</v>
      </c>
      <c r="D3277" s="14">
        <v>1160.292814</v>
      </c>
      <c r="E3277" s="14">
        <v>2.111801013</v>
      </c>
      <c r="F3277" s="14">
        <v>1.078473901</v>
      </c>
      <c r="G3277" s="14">
        <v>0.000387255</v>
      </c>
      <c r="H3277" s="14">
        <v>0.001587979</v>
      </c>
      <c r="I3277" s="14" t="s">
        <v>164</v>
      </c>
      <c r="J3277" s="14">
        <v>13.59125533</v>
      </c>
      <c r="K3277" s="14">
        <v>9.431417704</v>
      </c>
      <c r="L3277" s="14">
        <v>15.89510636</v>
      </c>
      <c r="M3277" s="14">
        <v>4.509630146</v>
      </c>
      <c r="N3277" s="14">
        <v>3.628054293</v>
      </c>
      <c r="O3277" s="14">
        <v>7.214830826</v>
      </c>
      <c r="P3277" s="14" t="s">
        <v>15262</v>
      </c>
      <c r="Q3277" s="14" t="s">
        <v>15263</v>
      </c>
      <c r="T3277" s="14" t="s">
        <v>15264</v>
      </c>
      <c r="U3277" s="14" t="s">
        <v>15265</v>
      </c>
    </row>
    <row r="3278" spans="1:21">
      <c r="A3278" s="14" t="s">
        <v>15266</v>
      </c>
      <c r="B3278" s="14">
        <v>1878.32664</v>
      </c>
      <c r="C3278" s="14">
        <v>454.9696737</v>
      </c>
      <c r="D3278" s="14">
        <v>3301.683607</v>
      </c>
      <c r="E3278" s="14">
        <v>7.254588724</v>
      </c>
      <c r="F3278" s="14">
        <v>2.858893828</v>
      </c>
      <c r="G3278" s="51" t="s">
        <v>15267</v>
      </c>
      <c r="H3278" s="51" t="s">
        <v>15268</v>
      </c>
      <c r="I3278" s="14" t="s">
        <v>164</v>
      </c>
      <c r="J3278" s="14">
        <v>79.57186936</v>
      </c>
      <c r="K3278" s="14">
        <v>28.35142768</v>
      </c>
      <c r="L3278" s="14">
        <v>67.32285273</v>
      </c>
      <c r="M3278" s="14">
        <v>4.113897865</v>
      </c>
      <c r="N3278" s="14">
        <v>4.44911617</v>
      </c>
      <c r="O3278" s="14">
        <v>11.85536239</v>
      </c>
      <c r="P3278" s="14" t="s">
        <v>12773</v>
      </c>
      <c r="Q3278" s="14" t="s">
        <v>15269</v>
      </c>
      <c r="T3278" s="14" t="s">
        <v>15270</v>
      </c>
      <c r="U3278" s="14" t="s">
        <v>15271</v>
      </c>
    </row>
    <row r="3279" spans="1:21">
      <c r="A3279" s="14" t="s">
        <v>15272</v>
      </c>
      <c r="B3279" s="14">
        <v>5460.005746</v>
      </c>
      <c r="C3279" s="14">
        <v>7433.105406</v>
      </c>
      <c r="D3279" s="14">
        <v>3486.906087</v>
      </c>
      <c r="E3279" s="14">
        <v>0.469067066</v>
      </c>
      <c r="F3279" s="14">
        <v>-1.092133885</v>
      </c>
      <c r="G3279" s="51" t="s">
        <v>15273</v>
      </c>
      <c r="H3279" s="51" t="s">
        <v>15274</v>
      </c>
      <c r="I3279" s="14" t="s">
        <v>147</v>
      </c>
      <c r="J3279" s="14">
        <v>97.48725212</v>
      </c>
      <c r="K3279" s="14">
        <v>91.47622836</v>
      </c>
      <c r="L3279" s="14">
        <v>84.4141532</v>
      </c>
      <c r="M3279" s="14">
        <v>142.4876662</v>
      </c>
      <c r="N3279" s="14">
        <v>141.2920992</v>
      </c>
      <c r="O3279" s="14">
        <v>200.1354652</v>
      </c>
      <c r="P3279" s="14" t="s">
        <v>15275</v>
      </c>
      <c r="Q3279" s="14" t="s">
        <v>15276</v>
      </c>
      <c r="T3279" s="14" t="s">
        <v>15277</v>
      </c>
      <c r="U3279" s="14" t="s">
        <v>15278</v>
      </c>
    </row>
    <row r="3280" spans="1:21">
      <c r="A3280" s="14" t="s">
        <v>15279</v>
      </c>
      <c r="B3280" s="14">
        <v>1084.871761</v>
      </c>
      <c r="C3280" s="14">
        <v>1641.716243</v>
      </c>
      <c r="D3280" s="14">
        <v>528.0272781</v>
      </c>
      <c r="E3280" s="14">
        <v>0.321644979</v>
      </c>
      <c r="F3280" s="14">
        <v>-1.636458928</v>
      </c>
      <c r="G3280" s="51" t="s">
        <v>15280</v>
      </c>
      <c r="H3280" s="51" t="s">
        <v>15281</v>
      </c>
      <c r="I3280" s="14" t="s">
        <v>147</v>
      </c>
      <c r="J3280" s="14">
        <v>6.346117387</v>
      </c>
      <c r="K3280" s="14">
        <v>10.01789469</v>
      </c>
      <c r="L3280" s="14">
        <v>7.956650038</v>
      </c>
      <c r="M3280" s="14">
        <v>20.96360694</v>
      </c>
      <c r="N3280" s="14">
        <v>24.07205058</v>
      </c>
      <c r="O3280" s="14">
        <v>16.72683843</v>
      </c>
      <c r="P3280" s="14" t="s">
        <v>256</v>
      </c>
      <c r="Q3280" s="14" t="s">
        <v>257</v>
      </c>
      <c r="T3280" s="14" t="s">
        <v>258</v>
      </c>
      <c r="U3280" s="14" t="s">
        <v>259</v>
      </c>
    </row>
    <row r="3281" spans="1:21">
      <c r="A3281" s="14" t="s">
        <v>15282</v>
      </c>
      <c r="B3281" s="14">
        <v>14386.89218</v>
      </c>
      <c r="C3281" s="14">
        <v>23603.80764</v>
      </c>
      <c r="D3281" s="14">
        <v>5169.976728</v>
      </c>
      <c r="E3281" s="14">
        <v>0.219034197</v>
      </c>
      <c r="F3281" s="14">
        <v>-2.190771965</v>
      </c>
      <c r="G3281" s="51" t="s">
        <v>15283</v>
      </c>
      <c r="H3281" s="51" t="s">
        <v>15284</v>
      </c>
      <c r="I3281" s="14" t="s">
        <v>147</v>
      </c>
      <c r="J3281" s="14">
        <v>57.429289</v>
      </c>
      <c r="K3281" s="14">
        <v>65.17020658</v>
      </c>
      <c r="L3281" s="14">
        <v>65.28757626</v>
      </c>
      <c r="M3281" s="14">
        <v>268.4271244</v>
      </c>
      <c r="N3281" s="14">
        <v>275.1609669</v>
      </c>
      <c r="O3281" s="14">
        <v>151.6636723</v>
      </c>
      <c r="P3281" s="14" t="s">
        <v>15285</v>
      </c>
      <c r="Q3281" s="14" t="s">
        <v>15286</v>
      </c>
      <c r="R3281" s="14" t="s">
        <v>1735</v>
      </c>
      <c r="S3281" s="14" t="s">
        <v>1736</v>
      </c>
      <c r="T3281" s="14" t="s">
        <v>15287</v>
      </c>
      <c r="U3281" s="14" t="s">
        <v>15288</v>
      </c>
    </row>
    <row r="3282" spans="1:21">
      <c r="A3282" s="14" t="s">
        <v>15289</v>
      </c>
      <c r="B3282" s="14">
        <v>368.9733827</v>
      </c>
      <c r="C3282" s="14">
        <v>82.19505456</v>
      </c>
      <c r="D3282" s="14">
        <v>655.7517109</v>
      </c>
      <c r="E3282" s="14">
        <v>7.963243159</v>
      </c>
      <c r="F3282" s="14">
        <v>2.993356111</v>
      </c>
      <c r="G3282" s="51" t="s">
        <v>12097</v>
      </c>
      <c r="H3282" s="51" t="s">
        <v>2158</v>
      </c>
      <c r="I3282" s="14" t="s">
        <v>164</v>
      </c>
      <c r="J3282" s="14">
        <v>14.16400225</v>
      </c>
      <c r="K3282" s="14">
        <v>7.847763421</v>
      </c>
      <c r="L3282" s="14">
        <v>11.02869166</v>
      </c>
      <c r="M3282" s="14">
        <v>0.327146527</v>
      </c>
      <c r="N3282" s="14">
        <v>0.846052685</v>
      </c>
      <c r="O3282" s="14">
        <v>2.379685653</v>
      </c>
      <c r="P3282" s="14" t="s">
        <v>15290</v>
      </c>
      <c r="Q3282" s="14" t="s">
        <v>15291</v>
      </c>
      <c r="T3282" s="14" t="s">
        <v>15292</v>
      </c>
      <c r="U3282" s="14" t="s">
        <v>15293</v>
      </c>
    </row>
    <row r="3283" spans="1:21">
      <c r="A3283" s="14" t="s">
        <v>15294</v>
      </c>
      <c r="B3283" s="14">
        <v>107.4504994</v>
      </c>
      <c r="C3283" s="14">
        <v>29.76994348</v>
      </c>
      <c r="D3283" s="14">
        <v>185.1310553</v>
      </c>
      <c r="E3283" s="14">
        <v>6.215599774</v>
      </c>
      <c r="F3283" s="14">
        <v>2.635893611</v>
      </c>
      <c r="G3283" s="51" t="s">
        <v>15295</v>
      </c>
      <c r="H3283" s="51" t="s">
        <v>15296</v>
      </c>
      <c r="I3283" s="14" t="s">
        <v>164</v>
      </c>
      <c r="J3283" s="14">
        <v>4.174803977</v>
      </c>
      <c r="K3283" s="14">
        <v>1.831250074</v>
      </c>
      <c r="L3283" s="14">
        <v>3.112536281</v>
      </c>
      <c r="M3283" s="14">
        <v>0.319667796</v>
      </c>
      <c r="N3283" s="14">
        <v>0.466691978</v>
      </c>
      <c r="O3283" s="14">
        <v>0.421542871</v>
      </c>
      <c r="P3283" s="14" t="s">
        <v>15297</v>
      </c>
      <c r="Q3283" s="14" t="s">
        <v>15298</v>
      </c>
      <c r="T3283" s="14" t="s">
        <v>15299</v>
      </c>
      <c r="U3283" s="14" t="s">
        <v>15300</v>
      </c>
    </row>
    <row r="3284" spans="1:15">
      <c r="A3284" s="14" t="s">
        <v>15301</v>
      </c>
      <c r="B3284" s="14">
        <v>176.9351028</v>
      </c>
      <c r="C3284" s="14">
        <v>58.32917957</v>
      </c>
      <c r="D3284" s="14">
        <v>295.5410261</v>
      </c>
      <c r="E3284" s="14">
        <v>5.057313056</v>
      </c>
      <c r="F3284" s="14">
        <v>2.338371086</v>
      </c>
      <c r="G3284" s="51" t="s">
        <v>15302</v>
      </c>
      <c r="H3284" s="14">
        <v>0.000308014</v>
      </c>
      <c r="I3284" s="14" t="s">
        <v>164</v>
      </c>
      <c r="J3284" s="14">
        <v>6.960152582</v>
      </c>
      <c r="K3284" s="14">
        <v>2.699406071</v>
      </c>
      <c r="L3284" s="14">
        <v>4.641919396</v>
      </c>
      <c r="M3284" s="14">
        <v>0.559995083</v>
      </c>
      <c r="N3284" s="14">
        <v>0.36690162</v>
      </c>
      <c r="O3284" s="14">
        <v>1.469948251</v>
      </c>
    </row>
    <row r="3285" spans="1:21">
      <c r="A3285" s="14" t="s">
        <v>15303</v>
      </c>
      <c r="B3285" s="14">
        <v>8333.140674</v>
      </c>
      <c r="C3285" s="14">
        <v>12497.99157</v>
      </c>
      <c r="D3285" s="14">
        <v>4168.289781</v>
      </c>
      <c r="E3285" s="14">
        <v>0.333522548</v>
      </c>
      <c r="F3285" s="14">
        <v>-1.584143796</v>
      </c>
      <c r="G3285" s="51" t="s">
        <v>15304</v>
      </c>
      <c r="H3285" s="51" t="s">
        <v>15305</v>
      </c>
      <c r="I3285" s="14" t="s">
        <v>147</v>
      </c>
      <c r="J3285" s="14">
        <v>43.23372995</v>
      </c>
      <c r="K3285" s="14">
        <v>43.4151221</v>
      </c>
      <c r="L3285" s="14">
        <v>39.87056461</v>
      </c>
      <c r="M3285" s="14">
        <v>113.4251056</v>
      </c>
      <c r="N3285" s="14">
        <v>111.3692433</v>
      </c>
      <c r="O3285" s="14">
        <v>84.87915555</v>
      </c>
      <c r="P3285" s="14" t="s">
        <v>15306</v>
      </c>
      <c r="Q3285" s="14" t="s">
        <v>12845</v>
      </c>
      <c r="T3285" s="14" t="s">
        <v>12846</v>
      </c>
      <c r="U3285" s="14" t="s">
        <v>12847</v>
      </c>
    </row>
    <row r="3286" spans="1:15">
      <c r="A3286" s="14" t="s">
        <v>15307</v>
      </c>
      <c r="B3286" s="14">
        <v>3.899015842</v>
      </c>
      <c r="C3286" s="14">
        <v>0</v>
      </c>
      <c r="D3286" s="14">
        <v>7.798031684</v>
      </c>
      <c r="E3286" s="14">
        <v>42.08106013</v>
      </c>
      <c r="F3286" s="14">
        <v>5.395099145</v>
      </c>
      <c r="G3286" s="14">
        <v>0.00295285</v>
      </c>
      <c r="H3286" s="14">
        <v>0.009370944</v>
      </c>
      <c r="I3286" s="14" t="s">
        <v>164</v>
      </c>
      <c r="J3286" s="14">
        <v>1.031177716</v>
      </c>
      <c r="K3286" s="14">
        <v>0.778433379</v>
      </c>
      <c r="L3286" s="14">
        <v>1.241086104</v>
      </c>
      <c r="M3286" s="14">
        <v>0</v>
      </c>
      <c r="N3286" s="14">
        <v>0</v>
      </c>
      <c r="O3286" s="14">
        <v>0</v>
      </c>
    </row>
    <row r="3287" spans="1:15">
      <c r="A3287" s="14" t="s">
        <v>15308</v>
      </c>
      <c r="B3287" s="14">
        <v>750.3309452</v>
      </c>
      <c r="C3287" s="14">
        <v>459.3950212</v>
      </c>
      <c r="D3287" s="14">
        <v>1041.266869</v>
      </c>
      <c r="E3287" s="14">
        <v>2.267458385</v>
      </c>
      <c r="F3287" s="14">
        <v>1.181076073</v>
      </c>
      <c r="G3287" s="14">
        <v>0.001853449</v>
      </c>
      <c r="H3287" s="14">
        <v>0.006279098</v>
      </c>
      <c r="I3287" s="14" t="s">
        <v>164</v>
      </c>
      <c r="J3287" s="14">
        <v>94.42914451</v>
      </c>
      <c r="K3287" s="14">
        <v>156.3433788</v>
      </c>
      <c r="L3287" s="14">
        <v>108.3805254</v>
      </c>
      <c r="M3287" s="14">
        <v>52.88628865</v>
      </c>
      <c r="N3287" s="14">
        <v>49.05308568</v>
      </c>
      <c r="O3287" s="14">
        <v>26.44433055</v>
      </c>
    </row>
    <row r="3288" spans="1:21">
      <c r="A3288" s="14" t="s">
        <v>15309</v>
      </c>
      <c r="B3288" s="14">
        <v>177.1665571</v>
      </c>
      <c r="C3288" s="14">
        <v>321.4703065</v>
      </c>
      <c r="D3288" s="14">
        <v>32.8628076</v>
      </c>
      <c r="E3288" s="14">
        <v>0.102128397</v>
      </c>
      <c r="F3288" s="14">
        <v>-3.291544031</v>
      </c>
      <c r="G3288" s="51" t="s">
        <v>15310</v>
      </c>
      <c r="H3288" s="51" t="s">
        <v>15311</v>
      </c>
      <c r="I3288" s="14" t="s">
        <v>147</v>
      </c>
      <c r="J3288" s="14">
        <v>0.489051196</v>
      </c>
      <c r="K3288" s="14">
        <v>0.61157667</v>
      </c>
      <c r="L3288" s="14">
        <v>0.370998466</v>
      </c>
      <c r="M3288" s="14">
        <v>4.590046044</v>
      </c>
      <c r="N3288" s="14">
        <v>4.427933558</v>
      </c>
      <c r="O3288" s="14">
        <v>2.692013348</v>
      </c>
      <c r="P3288" s="14" t="s">
        <v>12868</v>
      </c>
      <c r="Q3288" s="14" t="s">
        <v>12869</v>
      </c>
      <c r="T3288" s="14" t="s">
        <v>12870</v>
      </c>
      <c r="U3288" s="14" t="s">
        <v>12871</v>
      </c>
    </row>
    <row r="3289" spans="1:21">
      <c r="A3289" s="14" t="s">
        <v>15312</v>
      </c>
      <c r="B3289" s="14">
        <v>114.4042685</v>
      </c>
      <c r="C3289" s="14">
        <v>183.7773767</v>
      </c>
      <c r="D3289" s="14">
        <v>45.0311603</v>
      </c>
      <c r="E3289" s="14">
        <v>0.244900262</v>
      </c>
      <c r="F3289" s="14">
        <v>-2.029733776</v>
      </c>
      <c r="G3289" s="51" t="s">
        <v>9620</v>
      </c>
      <c r="H3289" s="51" t="s">
        <v>15313</v>
      </c>
      <c r="I3289" s="14" t="s">
        <v>147</v>
      </c>
      <c r="J3289" s="14">
        <v>1.756850581</v>
      </c>
      <c r="K3289" s="14">
        <v>3.878901158</v>
      </c>
      <c r="L3289" s="14">
        <v>2.073552857</v>
      </c>
      <c r="M3289" s="14">
        <v>9.843221473</v>
      </c>
      <c r="N3289" s="14">
        <v>8.606056396</v>
      </c>
      <c r="O3289" s="14">
        <v>7.305853232</v>
      </c>
      <c r="P3289" s="14" t="s">
        <v>15314</v>
      </c>
      <c r="Q3289" s="14" t="s">
        <v>15315</v>
      </c>
      <c r="T3289" s="14" t="s">
        <v>15316</v>
      </c>
      <c r="U3289" s="14" t="s">
        <v>15317</v>
      </c>
    </row>
    <row r="3290" spans="1:21">
      <c r="A3290" s="14" t="s">
        <v>15318</v>
      </c>
      <c r="B3290" s="14">
        <v>1830.490064</v>
      </c>
      <c r="C3290" s="14">
        <v>1110.734913</v>
      </c>
      <c r="D3290" s="14">
        <v>2550.245215</v>
      </c>
      <c r="E3290" s="14">
        <v>2.295358025</v>
      </c>
      <c r="F3290" s="14">
        <v>1.1987192</v>
      </c>
      <c r="G3290" s="51" t="s">
        <v>13835</v>
      </c>
      <c r="H3290" s="51" t="s">
        <v>13836</v>
      </c>
      <c r="I3290" s="14" t="s">
        <v>164</v>
      </c>
      <c r="J3290" s="14">
        <v>24.30454248</v>
      </c>
      <c r="K3290" s="14">
        <v>18.68626213</v>
      </c>
      <c r="L3290" s="14">
        <v>22.04030226</v>
      </c>
      <c r="M3290" s="14">
        <v>6.56679087</v>
      </c>
      <c r="N3290" s="14">
        <v>7.053023483</v>
      </c>
      <c r="O3290" s="14">
        <v>9.904958759</v>
      </c>
      <c r="P3290" s="14" t="s">
        <v>15319</v>
      </c>
      <c r="Q3290" s="14" t="s">
        <v>15320</v>
      </c>
      <c r="R3290" s="14" t="s">
        <v>15321</v>
      </c>
      <c r="S3290" s="14" t="s">
        <v>15322</v>
      </c>
      <c r="T3290" s="14" t="s">
        <v>15323</v>
      </c>
      <c r="U3290" s="14" t="s">
        <v>15324</v>
      </c>
    </row>
    <row r="3291" spans="1:21">
      <c r="A3291" s="14" t="s">
        <v>15325</v>
      </c>
      <c r="B3291" s="14">
        <v>220.614988</v>
      </c>
      <c r="C3291" s="14">
        <v>98.18555952</v>
      </c>
      <c r="D3291" s="14">
        <v>343.0444165</v>
      </c>
      <c r="E3291" s="14">
        <v>3.498487951</v>
      </c>
      <c r="F3291" s="14">
        <v>1.806731523</v>
      </c>
      <c r="G3291" s="14">
        <v>0.000538508</v>
      </c>
      <c r="H3291" s="14">
        <v>0.002118006</v>
      </c>
      <c r="I3291" s="14" t="s">
        <v>164</v>
      </c>
      <c r="J3291" s="14">
        <v>3.853569089</v>
      </c>
      <c r="K3291" s="14">
        <v>5.460484964</v>
      </c>
      <c r="L3291" s="14">
        <v>4.881421749</v>
      </c>
      <c r="M3291" s="14">
        <v>1.367942961</v>
      </c>
      <c r="N3291" s="14">
        <v>1.469415658</v>
      </c>
      <c r="O3291" s="14">
        <v>0.423245993</v>
      </c>
      <c r="P3291" s="14" t="s">
        <v>15326</v>
      </c>
      <c r="Q3291" s="14" t="s">
        <v>15327</v>
      </c>
      <c r="T3291" s="14" t="s">
        <v>15185</v>
      </c>
      <c r="U3291" s="14" t="s">
        <v>15186</v>
      </c>
    </row>
    <row r="3292" spans="1:21">
      <c r="A3292" s="14" t="s">
        <v>15328</v>
      </c>
      <c r="B3292" s="14">
        <v>119.1395872</v>
      </c>
      <c r="C3292" s="14">
        <v>13.66746282</v>
      </c>
      <c r="D3292" s="14">
        <v>224.6117116</v>
      </c>
      <c r="E3292" s="14">
        <v>16.33106863</v>
      </c>
      <c r="F3292" s="14">
        <v>4.029547292</v>
      </c>
      <c r="G3292" s="51" t="s">
        <v>15329</v>
      </c>
      <c r="H3292" s="51" t="s">
        <v>15330</v>
      </c>
      <c r="I3292" s="14" t="s">
        <v>164</v>
      </c>
      <c r="J3292" s="14">
        <v>3.780879906</v>
      </c>
      <c r="K3292" s="14">
        <v>1.514043405</v>
      </c>
      <c r="L3292" s="14">
        <v>3.953572334</v>
      </c>
      <c r="M3292" s="14">
        <v>0.069567759</v>
      </c>
      <c r="N3292" s="14">
        <v>0.022247335</v>
      </c>
      <c r="O3292" s="14">
        <v>0.39703959</v>
      </c>
      <c r="P3292" s="14" t="s">
        <v>15331</v>
      </c>
      <c r="Q3292" s="14" t="s">
        <v>15332</v>
      </c>
      <c r="R3292" s="14" t="s">
        <v>15333</v>
      </c>
      <c r="S3292" s="14" t="s">
        <v>15334</v>
      </c>
      <c r="T3292" s="14" t="s">
        <v>15335</v>
      </c>
      <c r="U3292" s="14" t="s">
        <v>15336</v>
      </c>
    </row>
    <row r="3293" spans="1:15">
      <c r="A3293" s="14" t="s">
        <v>15337</v>
      </c>
      <c r="B3293" s="14">
        <v>14.9673048</v>
      </c>
      <c r="C3293" s="14">
        <v>3.120787489</v>
      </c>
      <c r="D3293" s="14">
        <v>26.81382212</v>
      </c>
      <c r="E3293" s="14">
        <v>8.416991563</v>
      </c>
      <c r="F3293" s="14">
        <v>3.073304671</v>
      </c>
      <c r="G3293" s="14">
        <v>0.008160418</v>
      </c>
      <c r="H3293" s="14">
        <v>0.022652567</v>
      </c>
      <c r="I3293" s="14" t="s">
        <v>164</v>
      </c>
      <c r="J3293" s="14">
        <v>0.683956426</v>
      </c>
      <c r="K3293" s="14">
        <v>0.713919704</v>
      </c>
      <c r="L3293" s="14">
        <v>0.65854706</v>
      </c>
      <c r="M3293" s="14">
        <v>0</v>
      </c>
      <c r="N3293" s="14">
        <v>0.020793328</v>
      </c>
      <c r="O3293" s="14">
        <v>0.19084653</v>
      </c>
    </row>
    <row r="3294" spans="1:21">
      <c r="A3294" s="14" t="s">
        <v>15338</v>
      </c>
      <c r="B3294" s="14">
        <v>75.52427192</v>
      </c>
      <c r="C3294" s="14">
        <v>117.6363232</v>
      </c>
      <c r="D3294" s="14">
        <v>33.41222062</v>
      </c>
      <c r="E3294" s="14">
        <v>0.284219912</v>
      </c>
      <c r="F3294" s="14">
        <v>-1.814920461</v>
      </c>
      <c r="G3294" s="14">
        <v>0.005805276</v>
      </c>
      <c r="H3294" s="14">
        <v>0.016866642</v>
      </c>
      <c r="I3294" s="14" t="s">
        <v>147</v>
      </c>
      <c r="J3294" s="14">
        <v>1.287939314</v>
      </c>
      <c r="K3294" s="14">
        <v>1.832769827</v>
      </c>
      <c r="L3294" s="14">
        <v>1.368376986</v>
      </c>
      <c r="M3294" s="14">
        <v>6.345735405</v>
      </c>
      <c r="N3294" s="14">
        <v>4.921420764</v>
      </c>
      <c r="O3294" s="14">
        <v>1.375549477</v>
      </c>
      <c r="P3294" s="14" t="s">
        <v>12887</v>
      </c>
      <c r="Q3294" s="14" t="s">
        <v>12888</v>
      </c>
      <c r="R3294" s="14" t="s">
        <v>1313</v>
      </c>
      <c r="S3294" s="14" t="s">
        <v>1314</v>
      </c>
      <c r="T3294" s="14" t="s">
        <v>12889</v>
      </c>
      <c r="U3294" s="14" t="s">
        <v>12890</v>
      </c>
    </row>
    <row r="3295" spans="1:19">
      <c r="A3295" s="14" t="s">
        <v>15339</v>
      </c>
      <c r="B3295" s="14">
        <v>127.6846017</v>
      </c>
      <c r="C3295" s="14">
        <v>75.17213529</v>
      </c>
      <c r="D3295" s="14">
        <v>180.1970682</v>
      </c>
      <c r="E3295" s="14">
        <v>2.393561808</v>
      </c>
      <c r="F3295" s="14">
        <v>1.259159061</v>
      </c>
      <c r="G3295" s="51" t="s">
        <v>10591</v>
      </c>
      <c r="H3295" s="51" t="s">
        <v>15340</v>
      </c>
      <c r="I3295" s="14" t="s">
        <v>164</v>
      </c>
      <c r="J3295" s="14">
        <v>6.315107996</v>
      </c>
      <c r="K3295" s="14">
        <v>4.813542685</v>
      </c>
      <c r="L3295" s="14">
        <v>5.608226476</v>
      </c>
      <c r="M3295" s="14">
        <v>1.809800644</v>
      </c>
      <c r="N3295" s="14">
        <v>1.409161973</v>
      </c>
      <c r="O3295" s="14">
        <v>2.591862898</v>
      </c>
      <c r="R3295" s="14" t="s">
        <v>5042</v>
      </c>
      <c r="S3295" s="14" t="s">
        <v>5043</v>
      </c>
    </row>
    <row r="3296" spans="1:21">
      <c r="A3296" s="14" t="s">
        <v>15341</v>
      </c>
      <c r="B3296" s="14">
        <v>779.1351585</v>
      </c>
      <c r="C3296" s="14">
        <v>121.009373</v>
      </c>
      <c r="D3296" s="14">
        <v>1437.260944</v>
      </c>
      <c r="E3296" s="14">
        <v>11.86342174</v>
      </c>
      <c r="F3296" s="14">
        <v>3.568448278</v>
      </c>
      <c r="G3296" s="51" t="s">
        <v>15342</v>
      </c>
      <c r="H3296" s="51" t="s">
        <v>15343</v>
      </c>
      <c r="I3296" s="14" t="s">
        <v>164</v>
      </c>
      <c r="J3296" s="14">
        <v>27.27025351</v>
      </c>
      <c r="K3296" s="14">
        <v>15.95980851</v>
      </c>
      <c r="L3296" s="14">
        <v>25.69395144</v>
      </c>
      <c r="M3296" s="14">
        <v>0.486934631</v>
      </c>
      <c r="N3296" s="14">
        <v>0.583944962</v>
      </c>
      <c r="O3296" s="14">
        <v>3.97007234</v>
      </c>
      <c r="P3296" s="14" t="s">
        <v>15344</v>
      </c>
      <c r="Q3296" s="14" t="s">
        <v>15345</v>
      </c>
      <c r="T3296" s="14" t="s">
        <v>15346</v>
      </c>
      <c r="U3296" s="14" t="s">
        <v>15347</v>
      </c>
    </row>
    <row r="3297" spans="1:15">
      <c r="A3297" s="14" t="s">
        <v>15348</v>
      </c>
      <c r="B3297" s="14">
        <v>2324.662642</v>
      </c>
      <c r="C3297" s="14">
        <v>1548.718461</v>
      </c>
      <c r="D3297" s="14">
        <v>3100.606824</v>
      </c>
      <c r="E3297" s="14">
        <v>2.002357177</v>
      </c>
      <c r="F3297" s="14">
        <v>1.001699343</v>
      </c>
      <c r="G3297" s="51" t="s">
        <v>15349</v>
      </c>
      <c r="H3297" s="51" t="s">
        <v>15350</v>
      </c>
      <c r="I3297" s="14" t="s">
        <v>164</v>
      </c>
      <c r="J3297" s="14">
        <v>46.82998921</v>
      </c>
      <c r="K3297" s="14">
        <v>41.30783444</v>
      </c>
      <c r="L3297" s="14">
        <v>40.9850978</v>
      </c>
      <c r="M3297" s="14">
        <v>17.68617868</v>
      </c>
      <c r="N3297" s="14">
        <v>17.25002077</v>
      </c>
      <c r="O3297" s="14">
        <v>18.13278822</v>
      </c>
    </row>
    <row r="3298" spans="1:21">
      <c r="A3298" s="14" t="s">
        <v>15351</v>
      </c>
      <c r="B3298" s="14">
        <v>193.7142875</v>
      </c>
      <c r="C3298" s="14">
        <v>121.1078436</v>
      </c>
      <c r="D3298" s="14">
        <v>266.3207313</v>
      </c>
      <c r="E3298" s="14">
        <v>2.20018123</v>
      </c>
      <c r="F3298" s="14">
        <v>1.137622364</v>
      </c>
      <c r="G3298" s="14">
        <v>0.005831013</v>
      </c>
      <c r="H3298" s="14">
        <v>0.016929453</v>
      </c>
      <c r="I3298" s="14" t="s">
        <v>164</v>
      </c>
      <c r="J3298" s="14">
        <v>3.461159431</v>
      </c>
      <c r="K3298" s="14">
        <v>3.76911956</v>
      </c>
      <c r="L3298" s="14">
        <v>2.274795501</v>
      </c>
      <c r="M3298" s="14">
        <v>1.081448513</v>
      </c>
      <c r="N3298" s="14">
        <v>1.658095043</v>
      </c>
      <c r="O3298" s="14">
        <v>0.78119268</v>
      </c>
      <c r="P3298" s="14" t="s">
        <v>15352</v>
      </c>
      <c r="Q3298" s="14" t="s">
        <v>15353</v>
      </c>
      <c r="R3298" s="14" t="s">
        <v>15354</v>
      </c>
      <c r="S3298" s="14" t="s">
        <v>15355</v>
      </c>
      <c r="T3298" s="14" t="s">
        <v>15356</v>
      </c>
      <c r="U3298" s="14" t="s">
        <v>15357</v>
      </c>
    </row>
    <row r="3299" spans="1:15">
      <c r="A3299" s="14" t="s">
        <v>15358</v>
      </c>
      <c r="B3299" s="14">
        <v>16.71339293</v>
      </c>
      <c r="C3299" s="14">
        <v>26.60022136</v>
      </c>
      <c r="D3299" s="14">
        <v>6.826564502</v>
      </c>
      <c r="E3299" s="14">
        <v>0.257370744</v>
      </c>
      <c r="F3299" s="14">
        <v>-1.958080026</v>
      </c>
      <c r="G3299" s="14">
        <v>0.00124781</v>
      </c>
      <c r="H3299" s="14">
        <v>0.004442781</v>
      </c>
      <c r="I3299" s="14" t="s">
        <v>147</v>
      </c>
      <c r="J3299" s="14">
        <v>0.486191247</v>
      </c>
      <c r="K3299" s="14">
        <v>0.685112418</v>
      </c>
      <c r="L3299" s="14">
        <v>0.842632144</v>
      </c>
      <c r="M3299" s="14">
        <v>2.49589593</v>
      </c>
      <c r="N3299" s="14">
        <v>1.596343889</v>
      </c>
      <c r="O3299" s="14">
        <v>2.36054465</v>
      </c>
    </row>
    <row r="3300" spans="1:21">
      <c r="A3300" s="14" t="s">
        <v>15359</v>
      </c>
      <c r="B3300" s="14">
        <v>988.9756251</v>
      </c>
      <c r="C3300" s="14">
        <v>564.6220806</v>
      </c>
      <c r="D3300" s="14">
        <v>1413.32917</v>
      </c>
      <c r="E3300" s="14">
        <v>2.50413292</v>
      </c>
      <c r="F3300" s="14">
        <v>1.324311143</v>
      </c>
      <c r="G3300" s="14">
        <v>0.00013876</v>
      </c>
      <c r="H3300" s="14">
        <v>0.000635569</v>
      </c>
      <c r="I3300" s="14" t="s">
        <v>164</v>
      </c>
      <c r="J3300" s="14">
        <v>55.06913682</v>
      </c>
      <c r="K3300" s="14">
        <v>45.26919036</v>
      </c>
      <c r="L3300" s="14">
        <v>52.40514026</v>
      </c>
      <c r="M3300" s="14">
        <v>19.62185365</v>
      </c>
      <c r="N3300" s="14">
        <v>19.93734902</v>
      </c>
      <c r="O3300" s="14">
        <v>9.763056789</v>
      </c>
      <c r="P3300" s="14" t="s">
        <v>15360</v>
      </c>
      <c r="Q3300" s="14" t="s">
        <v>15361</v>
      </c>
      <c r="T3300" s="14" t="s">
        <v>15362</v>
      </c>
      <c r="U3300" s="14" t="s">
        <v>15363</v>
      </c>
    </row>
    <row r="3301" spans="1:21">
      <c r="A3301" s="14" t="s">
        <v>15364</v>
      </c>
      <c r="B3301" s="14">
        <v>24.49330996</v>
      </c>
      <c r="C3301" s="14">
        <v>8.562447589</v>
      </c>
      <c r="D3301" s="14">
        <v>40.42417232</v>
      </c>
      <c r="E3301" s="14">
        <v>4.703716543</v>
      </c>
      <c r="F3301" s="14">
        <v>2.233801123</v>
      </c>
      <c r="G3301" s="14">
        <v>0.007207151</v>
      </c>
      <c r="H3301" s="14">
        <v>0.020342415</v>
      </c>
      <c r="I3301" s="14" t="s">
        <v>164</v>
      </c>
      <c r="J3301" s="14">
        <v>0.688519282</v>
      </c>
      <c r="K3301" s="14">
        <v>0.115502537</v>
      </c>
      <c r="L3301" s="14">
        <v>0.368300224</v>
      </c>
      <c r="M3301" s="14">
        <v>0.049091121</v>
      </c>
      <c r="N3301" s="14">
        <v>0.054946619</v>
      </c>
      <c r="O3301" s="14">
        <v>0.104064848</v>
      </c>
      <c r="P3301" s="14" t="s">
        <v>15365</v>
      </c>
      <c r="Q3301" s="14" t="s">
        <v>15366</v>
      </c>
      <c r="T3301" s="14" t="s">
        <v>558</v>
      </c>
      <c r="U3301" s="14" t="s">
        <v>559</v>
      </c>
    </row>
    <row r="3302" spans="1:21">
      <c r="A3302" s="14" t="s">
        <v>15367</v>
      </c>
      <c r="B3302" s="14">
        <v>452.8386753</v>
      </c>
      <c r="C3302" s="14">
        <v>33.05735369</v>
      </c>
      <c r="D3302" s="14">
        <v>872.6199969</v>
      </c>
      <c r="E3302" s="14">
        <v>26.36177176</v>
      </c>
      <c r="F3302" s="14">
        <v>4.720375431</v>
      </c>
      <c r="G3302" s="14">
        <v>0.00174602</v>
      </c>
      <c r="H3302" s="14">
        <v>0.005958209</v>
      </c>
      <c r="I3302" s="14" t="s">
        <v>164</v>
      </c>
      <c r="J3302" s="14">
        <v>11.87352398</v>
      </c>
      <c r="K3302" s="14">
        <v>31.32918668</v>
      </c>
      <c r="L3302" s="14">
        <v>20.22658194</v>
      </c>
      <c r="M3302" s="14">
        <v>0.102823119</v>
      </c>
      <c r="N3302" s="14">
        <v>0.019729315</v>
      </c>
      <c r="O3302" s="14">
        <v>2.01200833</v>
      </c>
      <c r="P3302" s="14" t="s">
        <v>15368</v>
      </c>
      <c r="Q3302" s="14" t="s">
        <v>15369</v>
      </c>
      <c r="T3302" s="14" t="s">
        <v>15370</v>
      </c>
      <c r="U3302" s="14" t="s">
        <v>15371</v>
      </c>
    </row>
    <row r="3303" spans="1:21">
      <c r="A3303" s="14" t="s">
        <v>15372</v>
      </c>
      <c r="B3303" s="14">
        <v>449.0021656</v>
      </c>
      <c r="C3303" s="14">
        <v>26.18592434</v>
      </c>
      <c r="D3303" s="14">
        <v>871.818407</v>
      </c>
      <c r="E3303" s="14">
        <v>33.00617938</v>
      </c>
      <c r="F3303" s="14">
        <v>5.044664245</v>
      </c>
      <c r="G3303" s="51" t="s">
        <v>15373</v>
      </c>
      <c r="H3303" s="51" t="s">
        <v>15374</v>
      </c>
      <c r="I3303" s="14" t="s">
        <v>164</v>
      </c>
      <c r="J3303" s="14">
        <v>107.729024</v>
      </c>
      <c r="K3303" s="14">
        <v>122.9687188</v>
      </c>
      <c r="L3303" s="14">
        <v>112.7465545</v>
      </c>
      <c r="M3303" s="14">
        <v>2.003747437</v>
      </c>
      <c r="N3303" s="14">
        <v>1.815560127</v>
      </c>
      <c r="O3303" s="14">
        <v>4.901082262</v>
      </c>
      <c r="Q3303" s="14" t="s">
        <v>15375</v>
      </c>
      <c r="T3303" s="14" t="s">
        <v>1500</v>
      </c>
      <c r="U3303" s="14" t="s">
        <v>1501</v>
      </c>
    </row>
    <row r="3304" spans="1:15">
      <c r="A3304" s="14" t="s">
        <v>15376</v>
      </c>
      <c r="B3304" s="14">
        <v>313.4218322</v>
      </c>
      <c r="C3304" s="14">
        <v>456.8767156</v>
      </c>
      <c r="D3304" s="14">
        <v>169.9669489</v>
      </c>
      <c r="E3304" s="14">
        <v>0.37178397</v>
      </c>
      <c r="F3304" s="14">
        <v>-1.427463528</v>
      </c>
      <c r="G3304" s="51" t="s">
        <v>15377</v>
      </c>
      <c r="H3304" s="51" t="s">
        <v>15378</v>
      </c>
      <c r="I3304" s="14" t="s">
        <v>147</v>
      </c>
      <c r="J3304" s="14">
        <v>2.733932033</v>
      </c>
      <c r="K3304" s="14">
        <v>3.349998221</v>
      </c>
      <c r="L3304" s="14">
        <v>2.648715012</v>
      </c>
      <c r="M3304" s="14">
        <v>6.174742534</v>
      </c>
      <c r="N3304" s="14">
        <v>6.272399013</v>
      </c>
      <c r="O3304" s="14">
        <v>6.922578488</v>
      </c>
    </row>
    <row r="3305" spans="1:15">
      <c r="A3305" s="14" t="s">
        <v>15379</v>
      </c>
      <c r="B3305" s="14">
        <v>2448.05678</v>
      </c>
      <c r="C3305" s="14">
        <v>3304.747693</v>
      </c>
      <c r="D3305" s="14">
        <v>1591.365867</v>
      </c>
      <c r="E3305" s="14">
        <v>0.481508707</v>
      </c>
      <c r="F3305" s="14">
        <v>-1.05436621</v>
      </c>
      <c r="G3305" s="51" t="s">
        <v>10851</v>
      </c>
      <c r="H3305" s="51" t="s">
        <v>15380</v>
      </c>
      <c r="I3305" s="14" t="s">
        <v>147</v>
      </c>
      <c r="J3305" s="14">
        <v>29.61055454</v>
      </c>
      <c r="K3305" s="14">
        <v>26.47033873</v>
      </c>
      <c r="L3305" s="14">
        <v>30.25147378</v>
      </c>
      <c r="M3305" s="14">
        <v>44.57302518</v>
      </c>
      <c r="N3305" s="14">
        <v>37.63396187</v>
      </c>
      <c r="O3305" s="14">
        <v>67.07770623</v>
      </c>
    </row>
    <row r="3306" spans="1:15">
      <c r="A3306" s="14" t="s">
        <v>15381</v>
      </c>
      <c r="B3306" s="14">
        <v>170.8402959</v>
      </c>
      <c r="C3306" s="14">
        <v>301.1566636</v>
      </c>
      <c r="D3306" s="14">
        <v>40.52392825</v>
      </c>
      <c r="E3306" s="14">
        <v>0.134622926</v>
      </c>
      <c r="F3306" s="14">
        <v>-2.893003979</v>
      </c>
      <c r="G3306" s="51" t="s">
        <v>15382</v>
      </c>
      <c r="H3306" s="51" t="s">
        <v>15383</v>
      </c>
      <c r="I3306" s="14" t="s">
        <v>147</v>
      </c>
      <c r="J3306" s="14">
        <v>0.734116586</v>
      </c>
      <c r="K3306" s="14">
        <v>0.775855785</v>
      </c>
      <c r="L3306" s="14">
        <v>0.742185928</v>
      </c>
      <c r="M3306" s="14">
        <v>5.558740405</v>
      </c>
      <c r="N3306" s="14">
        <v>5.27269215</v>
      </c>
      <c r="O3306" s="14">
        <v>2.703926002</v>
      </c>
    </row>
    <row r="3307" spans="1:21">
      <c r="A3307" s="14" t="s">
        <v>15384</v>
      </c>
      <c r="B3307" s="14">
        <v>335.3950149</v>
      </c>
      <c r="C3307" s="14">
        <v>49.99005488</v>
      </c>
      <c r="D3307" s="14">
        <v>620.799975</v>
      </c>
      <c r="E3307" s="14">
        <v>12.39138302</v>
      </c>
      <c r="F3307" s="14">
        <v>3.631265312</v>
      </c>
      <c r="G3307" s="51" t="s">
        <v>4231</v>
      </c>
      <c r="H3307" s="14">
        <v>0.00012671</v>
      </c>
      <c r="I3307" s="14" t="s">
        <v>164</v>
      </c>
      <c r="J3307" s="14">
        <v>22.9526919</v>
      </c>
      <c r="K3307" s="14">
        <v>10.43647926</v>
      </c>
      <c r="L3307" s="14">
        <v>10.86847384</v>
      </c>
      <c r="M3307" s="14">
        <v>0.120974548</v>
      </c>
      <c r="N3307" s="14">
        <v>0.541616677</v>
      </c>
      <c r="O3307" s="14">
        <v>2.446095705</v>
      </c>
      <c r="P3307" s="14" t="s">
        <v>11316</v>
      </c>
      <c r="Q3307" s="14" t="s">
        <v>11317</v>
      </c>
      <c r="T3307" s="14" t="s">
        <v>11318</v>
      </c>
      <c r="U3307" s="14" t="s">
        <v>11319</v>
      </c>
    </row>
    <row r="3308" spans="1:21">
      <c r="A3308" s="14" t="s">
        <v>15385</v>
      </c>
      <c r="B3308" s="14">
        <v>108.1788237</v>
      </c>
      <c r="C3308" s="14">
        <v>21.60280567</v>
      </c>
      <c r="D3308" s="14">
        <v>194.7548417</v>
      </c>
      <c r="E3308" s="14">
        <v>8.966059307</v>
      </c>
      <c r="F3308" s="14">
        <v>3.164474042</v>
      </c>
      <c r="G3308" s="51" t="s">
        <v>15386</v>
      </c>
      <c r="H3308" s="51" t="s">
        <v>15387</v>
      </c>
      <c r="I3308" s="14" t="s">
        <v>164</v>
      </c>
      <c r="J3308" s="14">
        <v>3.257137355</v>
      </c>
      <c r="K3308" s="14">
        <v>1.260925399</v>
      </c>
      <c r="L3308" s="14">
        <v>1.908950442</v>
      </c>
      <c r="M3308" s="14">
        <v>0.083883295</v>
      </c>
      <c r="N3308" s="14">
        <v>0.125184987</v>
      </c>
      <c r="O3308" s="14">
        <v>0.401231158</v>
      </c>
      <c r="P3308" s="14" t="s">
        <v>2283</v>
      </c>
      <c r="Q3308" s="14" t="s">
        <v>2284</v>
      </c>
      <c r="T3308" s="14" t="s">
        <v>282</v>
      </c>
      <c r="U3308" s="14" t="s">
        <v>283</v>
      </c>
    </row>
    <row r="3309" spans="1:21">
      <c r="A3309" s="14" t="s">
        <v>15388</v>
      </c>
      <c r="B3309" s="14">
        <v>1894.15243</v>
      </c>
      <c r="C3309" s="14">
        <v>2611.704917</v>
      </c>
      <c r="D3309" s="14">
        <v>1176.599944</v>
      </c>
      <c r="E3309" s="14">
        <v>0.450540623</v>
      </c>
      <c r="F3309" s="14">
        <v>-1.150270901</v>
      </c>
      <c r="G3309" s="51" t="s">
        <v>5775</v>
      </c>
      <c r="H3309" s="14">
        <v>0.00012618</v>
      </c>
      <c r="I3309" s="14" t="s">
        <v>147</v>
      </c>
      <c r="J3309" s="14">
        <v>21.6613957</v>
      </c>
      <c r="K3309" s="14">
        <v>30.04616696</v>
      </c>
      <c r="L3309" s="14">
        <v>24.43914962</v>
      </c>
      <c r="M3309" s="14">
        <v>51.81295069</v>
      </c>
      <c r="N3309" s="14">
        <v>51.32319508</v>
      </c>
      <c r="O3309" s="14">
        <v>34.49338333</v>
      </c>
      <c r="P3309" s="14" t="s">
        <v>15389</v>
      </c>
      <c r="Q3309" s="14" t="s">
        <v>15390</v>
      </c>
      <c r="T3309" s="14" t="s">
        <v>1845</v>
      </c>
      <c r="U3309" s="14" t="s">
        <v>1846</v>
      </c>
    </row>
    <row r="3310" spans="1:21">
      <c r="A3310" s="14" t="s">
        <v>15391</v>
      </c>
      <c r="B3310" s="14">
        <v>222.8730214</v>
      </c>
      <c r="C3310" s="14">
        <v>324.7662472</v>
      </c>
      <c r="D3310" s="14">
        <v>120.9797956</v>
      </c>
      <c r="E3310" s="14">
        <v>0.372725378</v>
      </c>
      <c r="F3310" s="14">
        <v>-1.423815043</v>
      </c>
      <c r="G3310" s="51" t="s">
        <v>15392</v>
      </c>
      <c r="H3310" s="51" t="s">
        <v>15393</v>
      </c>
      <c r="I3310" s="14" t="s">
        <v>147</v>
      </c>
      <c r="J3310" s="14">
        <v>14.02751784</v>
      </c>
      <c r="K3310" s="14">
        <v>14.34869482</v>
      </c>
      <c r="L3310" s="14">
        <v>13.39657963</v>
      </c>
      <c r="M3310" s="14">
        <v>33.85893388</v>
      </c>
      <c r="N3310" s="14">
        <v>33.32614218</v>
      </c>
      <c r="O3310" s="14">
        <v>24.24859191</v>
      </c>
      <c r="P3310" s="14" t="s">
        <v>2283</v>
      </c>
      <c r="Q3310" s="14" t="s">
        <v>2284</v>
      </c>
      <c r="T3310" s="14" t="s">
        <v>282</v>
      </c>
      <c r="U3310" s="14" t="s">
        <v>283</v>
      </c>
    </row>
    <row r="3311" spans="1:17">
      <c r="A3311" s="14" t="s">
        <v>15394</v>
      </c>
      <c r="B3311" s="14">
        <v>80.75792926</v>
      </c>
      <c r="C3311" s="14">
        <v>52.30777123</v>
      </c>
      <c r="D3311" s="14">
        <v>109.2080873</v>
      </c>
      <c r="E3311" s="14">
        <v>2.083953874</v>
      </c>
      <c r="F3311" s="14">
        <v>1.059323346</v>
      </c>
      <c r="G3311" s="14">
        <v>0.008187972</v>
      </c>
      <c r="H3311" s="14">
        <v>0.022716703</v>
      </c>
      <c r="I3311" s="14" t="s">
        <v>164</v>
      </c>
      <c r="J3311" s="14">
        <v>3.94723814</v>
      </c>
      <c r="K3311" s="14">
        <v>2.014096914</v>
      </c>
      <c r="L3311" s="14">
        <v>3.114377295</v>
      </c>
      <c r="M3311" s="14">
        <v>0.891215065</v>
      </c>
      <c r="N3311" s="14">
        <v>1.102519407</v>
      </c>
      <c r="O3311" s="14">
        <v>1.629169514</v>
      </c>
      <c r="P3311" s="14" t="s">
        <v>11505</v>
      </c>
      <c r="Q3311" s="14" t="s">
        <v>11506</v>
      </c>
    </row>
    <row r="3312" spans="1:21">
      <c r="A3312" s="14" t="s">
        <v>15395</v>
      </c>
      <c r="B3312" s="14">
        <v>1820.780975</v>
      </c>
      <c r="C3312" s="14">
        <v>314.9912525</v>
      </c>
      <c r="D3312" s="14">
        <v>3326.570696</v>
      </c>
      <c r="E3312" s="14">
        <v>10.55943142</v>
      </c>
      <c r="F3312" s="14">
        <v>3.400460249</v>
      </c>
      <c r="G3312" s="51" t="s">
        <v>15396</v>
      </c>
      <c r="H3312" s="51" t="s">
        <v>15397</v>
      </c>
      <c r="I3312" s="14" t="s">
        <v>164</v>
      </c>
      <c r="J3312" s="14">
        <v>20.71195128</v>
      </c>
      <c r="K3312" s="14">
        <v>43.45118156</v>
      </c>
      <c r="L3312" s="14">
        <v>33.47089369</v>
      </c>
      <c r="M3312" s="14">
        <v>2.306389486</v>
      </c>
      <c r="N3312" s="14">
        <v>2.435569464</v>
      </c>
      <c r="O3312" s="14">
        <v>2.905894773</v>
      </c>
      <c r="P3312" s="14" t="s">
        <v>3830</v>
      </c>
      <c r="Q3312" s="14" t="s">
        <v>3831</v>
      </c>
      <c r="T3312" s="14" t="s">
        <v>3832</v>
      </c>
      <c r="U3312" s="14" t="s">
        <v>3833</v>
      </c>
    </row>
    <row r="3313" spans="1:17">
      <c r="A3313" s="14" t="s">
        <v>15398</v>
      </c>
      <c r="B3313" s="14">
        <v>5517.807885</v>
      </c>
      <c r="C3313" s="14">
        <v>1576.476349</v>
      </c>
      <c r="D3313" s="14">
        <v>9459.13942</v>
      </c>
      <c r="E3313" s="14">
        <v>5.999844967</v>
      </c>
      <c r="F3313" s="14">
        <v>2.584925223</v>
      </c>
      <c r="G3313" s="14">
        <v>0</v>
      </c>
      <c r="H3313" s="14">
        <v>0</v>
      </c>
      <c r="I3313" s="14" t="s">
        <v>164</v>
      </c>
      <c r="J3313" s="14">
        <v>153.6952046</v>
      </c>
      <c r="K3313" s="14">
        <v>149.5846705</v>
      </c>
      <c r="L3313" s="14">
        <v>155.9949764</v>
      </c>
      <c r="M3313" s="14">
        <v>20.00830858</v>
      </c>
      <c r="N3313" s="14">
        <v>20.0113109</v>
      </c>
      <c r="O3313" s="14">
        <v>23.1313697</v>
      </c>
      <c r="P3313" s="14" t="s">
        <v>15399</v>
      </c>
      <c r="Q3313" s="14" t="s">
        <v>15400</v>
      </c>
    </row>
    <row r="3314" spans="1:21">
      <c r="A3314" s="14" t="s">
        <v>15401</v>
      </c>
      <c r="B3314" s="14">
        <v>12469.36262</v>
      </c>
      <c r="C3314" s="14">
        <v>19056.41912</v>
      </c>
      <c r="D3314" s="14">
        <v>5882.306108</v>
      </c>
      <c r="E3314" s="14">
        <v>0.308680706</v>
      </c>
      <c r="F3314" s="14">
        <v>-1.695812783</v>
      </c>
      <c r="G3314" s="51" t="s">
        <v>14675</v>
      </c>
      <c r="H3314" s="51" t="s">
        <v>12031</v>
      </c>
      <c r="I3314" s="14" t="s">
        <v>147</v>
      </c>
      <c r="J3314" s="14">
        <v>126.667349</v>
      </c>
      <c r="K3314" s="14">
        <v>125.3394051</v>
      </c>
      <c r="L3314" s="14">
        <v>107.5502422</v>
      </c>
      <c r="M3314" s="14">
        <v>361.8003078</v>
      </c>
      <c r="N3314" s="14">
        <v>357.6825479</v>
      </c>
      <c r="O3314" s="14">
        <v>227.9603384</v>
      </c>
      <c r="P3314" s="14" t="s">
        <v>10144</v>
      </c>
      <c r="Q3314" s="14" t="s">
        <v>10145</v>
      </c>
      <c r="T3314" s="14" t="s">
        <v>10146</v>
      </c>
      <c r="U3314" s="14" t="s">
        <v>10147</v>
      </c>
    </row>
    <row r="3315" spans="1:21">
      <c r="A3315" s="14" t="s">
        <v>15402</v>
      </c>
      <c r="B3315" s="14">
        <v>224.3295364</v>
      </c>
      <c r="C3315" s="14">
        <v>104.9934431</v>
      </c>
      <c r="D3315" s="14">
        <v>343.6656296</v>
      </c>
      <c r="E3315" s="14">
        <v>3.268532119</v>
      </c>
      <c r="F3315" s="14">
        <v>1.708642874</v>
      </c>
      <c r="G3315" s="14">
        <v>0.007972504</v>
      </c>
      <c r="H3315" s="14">
        <v>0.022186256</v>
      </c>
      <c r="I3315" s="14" t="s">
        <v>164</v>
      </c>
      <c r="J3315" s="14">
        <v>3.858070546</v>
      </c>
      <c r="K3315" s="14">
        <v>3.117549365</v>
      </c>
      <c r="L3315" s="14">
        <v>4.353048672</v>
      </c>
      <c r="M3315" s="14">
        <v>0.325445254</v>
      </c>
      <c r="N3315" s="14">
        <v>0.526323971</v>
      </c>
      <c r="O3315" s="14">
        <v>2.128799495</v>
      </c>
      <c r="P3315" s="14" t="s">
        <v>15403</v>
      </c>
      <c r="Q3315" s="14" t="s">
        <v>15404</v>
      </c>
      <c r="R3315" s="14" t="s">
        <v>15405</v>
      </c>
      <c r="S3315" s="14" t="s">
        <v>15406</v>
      </c>
      <c r="T3315" s="14" t="s">
        <v>15407</v>
      </c>
      <c r="U3315" s="14" t="s">
        <v>15408</v>
      </c>
    </row>
    <row r="3316" spans="1:15">
      <c r="A3316" s="14" t="s">
        <v>15409</v>
      </c>
      <c r="B3316" s="14">
        <v>23839.03928</v>
      </c>
      <c r="C3316" s="14">
        <v>39222.21644</v>
      </c>
      <c r="D3316" s="14">
        <v>8455.862122</v>
      </c>
      <c r="E3316" s="14">
        <v>0.215588668</v>
      </c>
      <c r="F3316" s="14">
        <v>-2.213646745</v>
      </c>
      <c r="G3316" s="51" t="s">
        <v>15410</v>
      </c>
      <c r="H3316" s="51" t="s">
        <v>15411</v>
      </c>
      <c r="I3316" s="14" t="s">
        <v>147</v>
      </c>
      <c r="J3316" s="14">
        <v>321.6332359</v>
      </c>
      <c r="K3316" s="14">
        <v>602.3815253</v>
      </c>
      <c r="L3316" s="14">
        <v>304.542276</v>
      </c>
      <c r="M3316" s="14">
        <v>1976.617415</v>
      </c>
      <c r="N3316" s="14">
        <v>1936.257052</v>
      </c>
      <c r="O3316" s="14">
        <v>680.8505197</v>
      </c>
    </row>
    <row r="3317" spans="1:21">
      <c r="A3317" s="14" t="s">
        <v>15412</v>
      </c>
      <c r="B3317" s="14">
        <v>2591.568765</v>
      </c>
      <c r="C3317" s="14">
        <v>4201.152452</v>
      </c>
      <c r="D3317" s="14">
        <v>981.9850766</v>
      </c>
      <c r="E3317" s="14">
        <v>0.233710873</v>
      </c>
      <c r="F3317" s="14">
        <v>-2.097203241</v>
      </c>
      <c r="G3317" s="51" t="s">
        <v>15413</v>
      </c>
      <c r="H3317" s="51" t="s">
        <v>13934</v>
      </c>
      <c r="I3317" s="14" t="s">
        <v>147</v>
      </c>
      <c r="J3317" s="14">
        <v>9.559064224</v>
      </c>
      <c r="K3317" s="14">
        <v>12.1745528</v>
      </c>
      <c r="L3317" s="14">
        <v>9.405780389</v>
      </c>
      <c r="M3317" s="14">
        <v>28.1231965</v>
      </c>
      <c r="N3317" s="14">
        <v>30.35347681</v>
      </c>
      <c r="O3317" s="14">
        <v>53.09147409</v>
      </c>
      <c r="Q3317" s="14" t="s">
        <v>15414</v>
      </c>
      <c r="R3317" s="14" t="s">
        <v>15415</v>
      </c>
      <c r="S3317" s="14" t="s">
        <v>15416</v>
      </c>
      <c r="T3317" s="14" t="s">
        <v>15417</v>
      </c>
      <c r="U3317" s="14" t="s">
        <v>15418</v>
      </c>
    </row>
    <row r="3318" spans="1:21">
      <c r="A3318" s="14" t="s">
        <v>15419</v>
      </c>
      <c r="B3318" s="14">
        <v>29152.75247</v>
      </c>
      <c r="C3318" s="14">
        <v>3025.000722</v>
      </c>
      <c r="D3318" s="14">
        <v>55280.50422</v>
      </c>
      <c r="E3318" s="14">
        <v>18.2734309</v>
      </c>
      <c r="F3318" s="14">
        <v>4.191675625</v>
      </c>
      <c r="G3318" s="51" t="s">
        <v>15420</v>
      </c>
      <c r="H3318" s="51" t="s">
        <v>15421</v>
      </c>
      <c r="I3318" s="14" t="s">
        <v>164</v>
      </c>
      <c r="J3318" s="14">
        <v>301.1387959</v>
      </c>
      <c r="K3318" s="14">
        <v>457.1069077</v>
      </c>
      <c r="L3318" s="14">
        <v>202.5151019</v>
      </c>
      <c r="M3318" s="14">
        <v>9.657851665</v>
      </c>
      <c r="N3318" s="14">
        <v>10.89649012</v>
      </c>
      <c r="O3318" s="14">
        <v>23.93124185</v>
      </c>
      <c r="P3318" s="14" t="s">
        <v>3830</v>
      </c>
      <c r="Q3318" s="14" t="s">
        <v>3831</v>
      </c>
      <c r="T3318" s="14" t="s">
        <v>3832</v>
      </c>
      <c r="U3318" s="14" t="s">
        <v>3833</v>
      </c>
    </row>
    <row r="3319" spans="1:15">
      <c r="A3319" s="14" t="s">
        <v>15422</v>
      </c>
      <c r="B3319" s="14">
        <v>4.627055226</v>
      </c>
      <c r="C3319" s="14">
        <v>0.309088846</v>
      </c>
      <c r="D3319" s="14">
        <v>8.945021606</v>
      </c>
      <c r="E3319" s="14">
        <v>24.74979584</v>
      </c>
      <c r="F3319" s="14">
        <v>4.62934472</v>
      </c>
      <c r="G3319" s="14">
        <v>0.015200602</v>
      </c>
      <c r="H3319" s="14">
        <v>0.038532564</v>
      </c>
      <c r="I3319" s="14" t="s">
        <v>164</v>
      </c>
      <c r="J3319" s="14">
        <v>0.777762365</v>
      </c>
      <c r="K3319" s="14">
        <v>0.247212964</v>
      </c>
      <c r="L3319" s="14">
        <v>0.078828216</v>
      </c>
      <c r="M3319" s="14">
        <v>0</v>
      </c>
      <c r="N3319" s="14">
        <v>0</v>
      </c>
      <c r="O3319" s="14">
        <v>0.034266552</v>
      </c>
    </row>
    <row r="3320" spans="1:21">
      <c r="A3320" s="14" t="s">
        <v>15423</v>
      </c>
      <c r="B3320" s="14">
        <v>12839.37596</v>
      </c>
      <c r="C3320" s="14">
        <v>650.1766727</v>
      </c>
      <c r="D3320" s="14">
        <v>25028.57525</v>
      </c>
      <c r="E3320" s="14">
        <v>38.49114738</v>
      </c>
      <c r="F3320" s="14">
        <v>5.266454772</v>
      </c>
      <c r="G3320" s="51" t="s">
        <v>15424</v>
      </c>
      <c r="H3320" s="51" t="s">
        <v>6916</v>
      </c>
      <c r="I3320" s="14" t="s">
        <v>164</v>
      </c>
      <c r="J3320" s="14">
        <v>219.9436596</v>
      </c>
      <c r="K3320" s="14">
        <v>457.2271992</v>
      </c>
      <c r="L3320" s="14">
        <v>221.2508849</v>
      </c>
      <c r="M3320" s="14">
        <v>1.220644084</v>
      </c>
      <c r="N3320" s="14">
        <v>1.717559191</v>
      </c>
      <c r="O3320" s="14">
        <v>17.61530124</v>
      </c>
      <c r="P3320" s="14" t="s">
        <v>3830</v>
      </c>
      <c r="Q3320" s="14" t="s">
        <v>3831</v>
      </c>
      <c r="T3320" s="14" t="s">
        <v>3832</v>
      </c>
      <c r="U3320" s="14" t="s">
        <v>3833</v>
      </c>
    </row>
    <row r="3321" spans="1:21">
      <c r="A3321" s="14" t="s">
        <v>15425</v>
      </c>
      <c r="B3321" s="14">
        <v>190.836126</v>
      </c>
      <c r="C3321" s="14">
        <v>62.11432974</v>
      </c>
      <c r="D3321" s="14">
        <v>319.5579222</v>
      </c>
      <c r="E3321" s="14">
        <v>5.127141868</v>
      </c>
      <c r="F3321" s="14">
        <v>2.358154818</v>
      </c>
      <c r="G3321" s="51" t="s">
        <v>15426</v>
      </c>
      <c r="H3321" s="51" t="s">
        <v>15427</v>
      </c>
      <c r="I3321" s="14" t="s">
        <v>164</v>
      </c>
      <c r="J3321" s="14">
        <v>6.346465902</v>
      </c>
      <c r="K3321" s="14">
        <v>6.984112197</v>
      </c>
      <c r="L3321" s="14">
        <v>7.149508613</v>
      </c>
      <c r="M3321" s="14">
        <v>0.905000433</v>
      </c>
      <c r="N3321" s="14">
        <v>0.972429331</v>
      </c>
      <c r="O3321" s="14">
        <v>1.434408351</v>
      </c>
      <c r="P3321" s="14" t="s">
        <v>15428</v>
      </c>
      <c r="Q3321" s="14" t="s">
        <v>15429</v>
      </c>
      <c r="R3321" s="14" t="s">
        <v>754</v>
      </c>
      <c r="S3321" s="14" t="s">
        <v>755</v>
      </c>
      <c r="T3321" s="14" t="s">
        <v>15430</v>
      </c>
      <c r="U3321" s="14" t="s">
        <v>15431</v>
      </c>
    </row>
    <row r="3322" spans="1:21">
      <c r="A3322" s="14" t="s">
        <v>15432</v>
      </c>
      <c r="B3322" s="14">
        <v>372.244562</v>
      </c>
      <c r="C3322" s="14">
        <v>670.7476023</v>
      </c>
      <c r="D3322" s="14">
        <v>73.74152177</v>
      </c>
      <c r="E3322" s="14">
        <v>0.110011416</v>
      </c>
      <c r="F3322" s="14">
        <v>-3.184274856</v>
      </c>
      <c r="G3322" s="51" t="s">
        <v>15433</v>
      </c>
      <c r="H3322" s="51" t="s">
        <v>15434</v>
      </c>
      <c r="I3322" s="14" t="s">
        <v>147</v>
      </c>
      <c r="J3322" s="14">
        <v>0.571559276</v>
      </c>
      <c r="K3322" s="14">
        <v>1.150582967</v>
      </c>
      <c r="L3322" s="14">
        <v>1.740218559</v>
      </c>
      <c r="M3322" s="14">
        <v>10.24305116</v>
      </c>
      <c r="N3322" s="14">
        <v>11.36127022</v>
      </c>
      <c r="O3322" s="14">
        <v>3.620717777</v>
      </c>
      <c r="P3322" s="14" t="s">
        <v>15435</v>
      </c>
      <c r="Q3322" s="14" t="s">
        <v>15436</v>
      </c>
      <c r="T3322" s="14" t="s">
        <v>15437</v>
      </c>
      <c r="U3322" s="14" t="s">
        <v>15438</v>
      </c>
    </row>
    <row r="3323" spans="1:21">
      <c r="A3323" s="14" t="s">
        <v>15439</v>
      </c>
      <c r="B3323" s="14">
        <v>1632.42197</v>
      </c>
      <c r="C3323" s="14">
        <v>2793.150819</v>
      </c>
      <c r="D3323" s="14">
        <v>471.6931209</v>
      </c>
      <c r="E3323" s="14">
        <v>0.168857453</v>
      </c>
      <c r="F3323" s="14">
        <v>-2.566122236</v>
      </c>
      <c r="G3323" s="51" t="s">
        <v>15440</v>
      </c>
      <c r="H3323" s="51" t="s">
        <v>15441</v>
      </c>
      <c r="I3323" s="14" t="s">
        <v>147</v>
      </c>
      <c r="J3323" s="14">
        <v>8.356783545</v>
      </c>
      <c r="K3323" s="14">
        <v>15.98156928</v>
      </c>
      <c r="L3323" s="14">
        <v>7.828856107</v>
      </c>
      <c r="M3323" s="14">
        <v>59.77029996</v>
      </c>
      <c r="N3323" s="14">
        <v>57.9357692</v>
      </c>
      <c r="O3323" s="14">
        <v>37.58641451</v>
      </c>
      <c r="P3323" s="14" t="s">
        <v>15442</v>
      </c>
      <c r="Q3323" s="14" t="s">
        <v>15443</v>
      </c>
      <c r="T3323" s="14" t="s">
        <v>15444</v>
      </c>
      <c r="U3323" s="14" t="s">
        <v>15445</v>
      </c>
    </row>
    <row r="3324" spans="1:21">
      <c r="A3324" s="14" t="s">
        <v>15446</v>
      </c>
      <c r="B3324" s="14">
        <v>1881.70478</v>
      </c>
      <c r="C3324" s="14">
        <v>2531.293027</v>
      </c>
      <c r="D3324" s="14">
        <v>1232.116533</v>
      </c>
      <c r="E3324" s="14">
        <v>0.486795154</v>
      </c>
      <c r="F3324" s="14">
        <v>-1.038613288</v>
      </c>
      <c r="G3324" s="14">
        <v>0.00013586</v>
      </c>
      <c r="H3324" s="14">
        <v>0.000624051</v>
      </c>
      <c r="I3324" s="14" t="s">
        <v>147</v>
      </c>
      <c r="J3324" s="14">
        <v>9.491730104</v>
      </c>
      <c r="K3324" s="14">
        <v>11.26974756</v>
      </c>
      <c r="L3324" s="14">
        <v>9.809939539</v>
      </c>
      <c r="M3324" s="14">
        <v>19.34190158</v>
      </c>
      <c r="N3324" s="14">
        <v>19.49820036</v>
      </c>
      <c r="O3324" s="14">
        <v>12.22704782</v>
      </c>
      <c r="P3324" s="14" t="s">
        <v>15447</v>
      </c>
      <c r="Q3324" s="14" t="s">
        <v>15448</v>
      </c>
      <c r="T3324" s="14" t="s">
        <v>4373</v>
      </c>
      <c r="U3324" s="14" t="s">
        <v>4374</v>
      </c>
    </row>
    <row r="3325" spans="1:15">
      <c r="A3325" s="14" t="s">
        <v>15449</v>
      </c>
      <c r="B3325" s="14">
        <v>4.906847562</v>
      </c>
      <c r="C3325" s="14">
        <v>0.618177692</v>
      </c>
      <c r="D3325" s="14">
        <v>9.195517431</v>
      </c>
      <c r="E3325" s="14">
        <v>14.11506101</v>
      </c>
      <c r="F3325" s="14">
        <v>3.819163459</v>
      </c>
      <c r="G3325" s="14">
        <v>0.013224924</v>
      </c>
      <c r="H3325" s="14">
        <v>0.034240636</v>
      </c>
      <c r="I3325" s="14" t="s">
        <v>164</v>
      </c>
      <c r="J3325" s="14">
        <v>1.49127719</v>
      </c>
      <c r="K3325" s="14">
        <v>1.125761276</v>
      </c>
      <c r="L3325" s="14">
        <v>0.837593985</v>
      </c>
      <c r="M3325" s="14">
        <v>0</v>
      </c>
      <c r="N3325" s="14">
        <v>0</v>
      </c>
      <c r="O3325" s="14">
        <v>0.208057902</v>
      </c>
    </row>
    <row r="3326" spans="1:21">
      <c r="A3326" s="14" t="s">
        <v>15450</v>
      </c>
      <c r="B3326" s="14">
        <v>95.11718646</v>
      </c>
      <c r="C3326" s="14">
        <v>152.770313</v>
      </c>
      <c r="D3326" s="14">
        <v>37.46405991</v>
      </c>
      <c r="E3326" s="14">
        <v>0.245710775</v>
      </c>
      <c r="F3326" s="14">
        <v>-2.024966968</v>
      </c>
      <c r="G3326" s="51" t="s">
        <v>15451</v>
      </c>
      <c r="H3326" s="51" t="s">
        <v>15452</v>
      </c>
      <c r="I3326" s="14" t="s">
        <v>147</v>
      </c>
      <c r="J3326" s="14">
        <v>0.402898759</v>
      </c>
      <c r="K3326" s="14">
        <v>0.372648854</v>
      </c>
      <c r="L3326" s="14">
        <v>0.461323165</v>
      </c>
      <c r="M3326" s="14">
        <v>1.611789768</v>
      </c>
      <c r="N3326" s="14">
        <v>1.358617235</v>
      </c>
      <c r="O3326" s="14">
        <v>1.139413362</v>
      </c>
      <c r="Q3326" s="14" t="s">
        <v>15453</v>
      </c>
      <c r="T3326" s="14" t="s">
        <v>15454</v>
      </c>
      <c r="U3326" s="14" t="s">
        <v>15455</v>
      </c>
    </row>
    <row r="3327" spans="1:21">
      <c r="A3327" s="14" t="s">
        <v>15456</v>
      </c>
      <c r="B3327" s="14">
        <v>4145.817822</v>
      </c>
      <c r="C3327" s="14">
        <v>6522.613451</v>
      </c>
      <c r="D3327" s="14">
        <v>1769.022193</v>
      </c>
      <c r="E3327" s="14">
        <v>0.271217818</v>
      </c>
      <c r="F3327" s="14">
        <v>-1.882476133</v>
      </c>
      <c r="G3327" s="51" t="s">
        <v>15457</v>
      </c>
      <c r="H3327" s="51" t="s">
        <v>15458</v>
      </c>
      <c r="I3327" s="14" t="s">
        <v>147</v>
      </c>
      <c r="J3327" s="14">
        <v>22.31371393</v>
      </c>
      <c r="K3327" s="14">
        <v>30.80990541</v>
      </c>
      <c r="L3327" s="14">
        <v>25.21816194</v>
      </c>
      <c r="M3327" s="14">
        <v>85.94302682</v>
      </c>
      <c r="N3327" s="14">
        <v>84.4098438</v>
      </c>
      <c r="O3327" s="14">
        <v>65.61464045</v>
      </c>
      <c r="P3327" s="14" t="s">
        <v>15459</v>
      </c>
      <c r="Q3327" s="14" t="s">
        <v>15460</v>
      </c>
      <c r="R3327" s="14" t="s">
        <v>811</v>
      </c>
      <c r="S3327" s="14" t="s">
        <v>812</v>
      </c>
      <c r="T3327" s="14" t="s">
        <v>15461</v>
      </c>
      <c r="U3327" s="14" t="s">
        <v>15462</v>
      </c>
    </row>
    <row r="3328" spans="1:21">
      <c r="A3328" s="14" t="s">
        <v>15463</v>
      </c>
      <c r="B3328" s="14">
        <v>28.84482759</v>
      </c>
      <c r="C3328" s="14">
        <v>0.309088846</v>
      </c>
      <c r="D3328" s="14">
        <v>57.38056633</v>
      </c>
      <c r="E3328" s="14">
        <v>158.9365631</v>
      </c>
      <c r="F3328" s="14">
        <v>7.312307242</v>
      </c>
      <c r="G3328" s="51" t="s">
        <v>15464</v>
      </c>
      <c r="H3328" s="51" t="s">
        <v>15465</v>
      </c>
      <c r="I3328" s="14" t="s">
        <v>164</v>
      </c>
      <c r="J3328" s="14">
        <v>0.725404244</v>
      </c>
      <c r="K3328" s="14">
        <v>0.643514136</v>
      </c>
      <c r="L3328" s="14">
        <v>0.769484397</v>
      </c>
      <c r="M3328" s="14">
        <v>0</v>
      </c>
      <c r="N3328" s="14">
        <v>0</v>
      </c>
      <c r="O3328" s="14">
        <v>0.010292128</v>
      </c>
      <c r="P3328" s="14" t="s">
        <v>15466</v>
      </c>
      <c r="Q3328" s="14" t="s">
        <v>12126</v>
      </c>
      <c r="T3328" s="14" t="s">
        <v>15467</v>
      </c>
      <c r="U3328" s="14" t="s">
        <v>15468</v>
      </c>
    </row>
    <row r="3329" spans="1:21">
      <c r="A3329" s="14" t="s">
        <v>15469</v>
      </c>
      <c r="B3329" s="14">
        <v>4878.85313</v>
      </c>
      <c r="C3329" s="14">
        <v>7694.802859</v>
      </c>
      <c r="D3329" s="14">
        <v>2062.903402</v>
      </c>
      <c r="E3329" s="14">
        <v>0.268082613</v>
      </c>
      <c r="F3329" s="14">
        <v>-1.899250444</v>
      </c>
      <c r="G3329" s="51" t="s">
        <v>15470</v>
      </c>
      <c r="H3329" s="51" t="s">
        <v>15471</v>
      </c>
      <c r="I3329" s="14" t="s">
        <v>147</v>
      </c>
      <c r="J3329" s="14">
        <v>25.96689644</v>
      </c>
      <c r="K3329" s="14">
        <v>30.15338454</v>
      </c>
      <c r="L3329" s="14">
        <v>25.8491015</v>
      </c>
      <c r="M3329" s="14">
        <v>84.13983225</v>
      </c>
      <c r="N3329" s="14">
        <v>84.13813666</v>
      </c>
      <c r="O3329" s="14">
        <v>83.09025397</v>
      </c>
      <c r="P3329" s="14" t="s">
        <v>15472</v>
      </c>
      <c r="Q3329" s="14" t="s">
        <v>15473</v>
      </c>
      <c r="T3329" s="14" t="s">
        <v>15474</v>
      </c>
      <c r="U3329" s="14" t="s">
        <v>15475</v>
      </c>
    </row>
    <row r="3330" spans="1:21">
      <c r="A3330" s="14" t="s">
        <v>15476</v>
      </c>
      <c r="B3330" s="14">
        <v>8932.530168</v>
      </c>
      <c r="C3330" s="14">
        <v>12796.99811</v>
      </c>
      <c r="D3330" s="14">
        <v>5068.062226</v>
      </c>
      <c r="E3330" s="14">
        <v>0.396043129</v>
      </c>
      <c r="F3330" s="14">
        <v>-1.336270546</v>
      </c>
      <c r="G3330" s="51" t="s">
        <v>1170</v>
      </c>
      <c r="H3330" s="51" t="s">
        <v>15477</v>
      </c>
      <c r="I3330" s="14" t="s">
        <v>147</v>
      </c>
      <c r="J3330" s="14">
        <v>45.57685452</v>
      </c>
      <c r="K3330" s="14">
        <v>54.20551057</v>
      </c>
      <c r="L3330" s="14">
        <v>49.11567837</v>
      </c>
      <c r="M3330" s="14">
        <v>118.1150414</v>
      </c>
      <c r="N3330" s="14">
        <v>113.9306609</v>
      </c>
      <c r="O3330" s="14">
        <v>73.56737268</v>
      </c>
      <c r="P3330" s="14" t="s">
        <v>15478</v>
      </c>
      <c r="Q3330" s="14" t="s">
        <v>15479</v>
      </c>
      <c r="R3330" s="14" t="s">
        <v>15480</v>
      </c>
      <c r="S3330" s="14" t="s">
        <v>15481</v>
      </c>
      <c r="T3330" s="14" t="s">
        <v>15482</v>
      </c>
      <c r="U3330" s="14" t="s">
        <v>15483</v>
      </c>
    </row>
    <row r="3331" spans="1:21">
      <c r="A3331" s="14" t="s">
        <v>15484</v>
      </c>
      <c r="B3331" s="14">
        <v>6402.533712</v>
      </c>
      <c r="C3331" s="14">
        <v>9045.571936</v>
      </c>
      <c r="D3331" s="14">
        <v>3759.495488</v>
      </c>
      <c r="E3331" s="14">
        <v>0.415627216</v>
      </c>
      <c r="F3331" s="14">
        <v>-1.266637967</v>
      </c>
      <c r="G3331" s="14">
        <v>0.000695578</v>
      </c>
      <c r="H3331" s="14">
        <v>0.002661155</v>
      </c>
      <c r="I3331" s="14" t="s">
        <v>147</v>
      </c>
      <c r="J3331" s="14">
        <v>21.3628539</v>
      </c>
      <c r="K3331" s="14">
        <v>27.747543</v>
      </c>
      <c r="L3331" s="14">
        <v>26.12983393</v>
      </c>
      <c r="M3331" s="14">
        <v>59.7750412</v>
      </c>
      <c r="N3331" s="14">
        <v>59.76612178</v>
      </c>
      <c r="O3331" s="14">
        <v>26.55598175</v>
      </c>
      <c r="P3331" s="14" t="s">
        <v>15485</v>
      </c>
      <c r="Q3331" s="14" t="s">
        <v>15486</v>
      </c>
      <c r="T3331" s="14" t="s">
        <v>15487</v>
      </c>
      <c r="U3331" s="14" t="s">
        <v>15488</v>
      </c>
    </row>
    <row r="3332" spans="1:15">
      <c r="A3332" s="14" t="s">
        <v>15489</v>
      </c>
      <c r="B3332" s="14">
        <v>34.94936048</v>
      </c>
      <c r="C3332" s="14">
        <v>10.67326211</v>
      </c>
      <c r="D3332" s="14">
        <v>59.22545884</v>
      </c>
      <c r="E3332" s="14">
        <v>5.503465471</v>
      </c>
      <c r="F3332" s="14">
        <v>2.460340354</v>
      </c>
      <c r="G3332" s="14">
        <v>0.00037564</v>
      </c>
      <c r="H3332" s="14">
        <v>0.001544973</v>
      </c>
      <c r="I3332" s="14" t="s">
        <v>164</v>
      </c>
      <c r="J3332" s="14">
        <v>1.970412693</v>
      </c>
      <c r="K3332" s="14">
        <v>1.119593114</v>
      </c>
      <c r="L3332" s="14">
        <v>2.631614915</v>
      </c>
      <c r="M3332" s="14">
        <v>0.135957634</v>
      </c>
      <c r="N3332" s="14">
        <v>0.182609292</v>
      </c>
      <c r="O3332" s="14">
        <v>0.558678414</v>
      </c>
    </row>
    <row r="3333" spans="1:15">
      <c r="A3333" s="14" t="s">
        <v>15490</v>
      </c>
      <c r="B3333" s="14">
        <v>3189.362797</v>
      </c>
      <c r="C3333" s="14">
        <v>4382.415974</v>
      </c>
      <c r="D3333" s="14">
        <v>1996.30962</v>
      </c>
      <c r="E3333" s="14">
        <v>0.455535106</v>
      </c>
      <c r="F3333" s="14">
        <v>-1.134365856</v>
      </c>
      <c r="G3333" s="51" t="s">
        <v>15491</v>
      </c>
      <c r="H3333" s="51" t="s">
        <v>13236</v>
      </c>
      <c r="I3333" s="14" t="s">
        <v>147</v>
      </c>
      <c r="J3333" s="14">
        <v>13.37492781</v>
      </c>
      <c r="K3333" s="14">
        <v>13.44950995</v>
      </c>
      <c r="L3333" s="14">
        <v>11.45053733</v>
      </c>
      <c r="M3333" s="14">
        <v>22.9412437</v>
      </c>
      <c r="N3333" s="14">
        <v>26.31558668</v>
      </c>
      <c r="O3333" s="14">
        <v>19.48585448</v>
      </c>
    </row>
    <row r="3334" spans="1:15">
      <c r="A3334" s="14" t="s">
        <v>15492</v>
      </c>
      <c r="B3334" s="14">
        <v>10298.29179</v>
      </c>
      <c r="C3334" s="14">
        <v>19480.66421</v>
      </c>
      <c r="D3334" s="14">
        <v>1115.919378</v>
      </c>
      <c r="E3334" s="14">
        <v>0.057281736</v>
      </c>
      <c r="F3334" s="14">
        <v>-4.125780981</v>
      </c>
      <c r="G3334" s="51" t="s">
        <v>15493</v>
      </c>
      <c r="H3334" s="51" t="s">
        <v>15494</v>
      </c>
      <c r="I3334" s="14" t="s">
        <v>147</v>
      </c>
      <c r="J3334" s="14">
        <v>13.60738678</v>
      </c>
      <c r="K3334" s="14">
        <v>19.73726193</v>
      </c>
      <c r="L3334" s="14">
        <v>7.545270296</v>
      </c>
      <c r="M3334" s="14">
        <v>262.6922259</v>
      </c>
      <c r="N3334" s="14">
        <v>247.903248</v>
      </c>
      <c r="O3334" s="14">
        <v>62.80160721</v>
      </c>
    </row>
    <row r="3335" spans="1:15">
      <c r="A3335" s="14" t="s">
        <v>15495</v>
      </c>
      <c r="B3335" s="14">
        <v>2134.225998</v>
      </c>
      <c r="C3335" s="14">
        <v>3435.613141</v>
      </c>
      <c r="D3335" s="14">
        <v>832.8388543</v>
      </c>
      <c r="E3335" s="14">
        <v>0.242403434</v>
      </c>
      <c r="F3335" s="14">
        <v>-2.044517955</v>
      </c>
      <c r="G3335" s="51" t="s">
        <v>15496</v>
      </c>
      <c r="H3335" s="51" t="s">
        <v>15497</v>
      </c>
      <c r="I3335" s="14" t="s">
        <v>147</v>
      </c>
      <c r="J3335" s="14">
        <v>9.434425398</v>
      </c>
      <c r="K3335" s="14">
        <v>11.11559944</v>
      </c>
      <c r="L3335" s="14">
        <v>8.615802215</v>
      </c>
      <c r="M3335" s="14">
        <v>35.48728221</v>
      </c>
      <c r="N3335" s="14">
        <v>33.90330355</v>
      </c>
      <c r="O3335" s="14">
        <v>29.13857866</v>
      </c>
    </row>
    <row r="3336" spans="1:15">
      <c r="A3336" s="14" t="s">
        <v>15498</v>
      </c>
      <c r="B3336" s="14">
        <v>653.534393</v>
      </c>
      <c r="C3336" s="14">
        <v>393.1762559</v>
      </c>
      <c r="D3336" s="14">
        <v>913.89253</v>
      </c>
      <c r="E3336" s="14">
        <v>2.322567468</v>
      </c>
      <c r="F3336" s="14">
        <v>1.215720506</v>
      </c>
      <c r="G3336" s="51" t="s">
        <v>15499</v>
      </c>
      <c r="H3336" s="51" t="s">
        <v>15500</v>
      </c>
      <c r="I3336" s="14" t="s">
        <v>164</v>
      </c>
      <c r="J3336" s="14">
        <v>11.97956214</v>
      </c>
      <c r="K3336" s="14">
        <v>12.11234724</v>
      </c>
      <c r="L3336" s="14">
        <v>13.43953632</v>
      </c>
      <c r="M3336" s="14">
        <v>3.872605274</v>
      </c>
      <c r="N3336" s="14">
        <v>3.793170681</v>
      </c>
      <c r="O3336" s="14">
        <v>5.75140206</v>
      </c>
    </row>
    <row r="3337" spans="1:21">
      <c r="A3337" s="14" t="s">
        <v>15501</v>
      </c>
      <c r="B3337" s="14">
        <v>1350.406136</v>
      </c>
      <c r="C3337" s="14">
        <v>1909.300876</v>
      </c>
      <c r="D3337" s="14">
        <v>791.5113962</v>
      </c>
      <c r="E3337" s="14">
        <v>0.41468976</v>
      </c>
      <c r="F3337" s="14">
        <v>-1.26989567</v>
      </c>
      <c r="G3337" s="51" t="s">
        <v>15502</v>
      </c>
      <c r="H3337" s="51" t="s">
        <v>15503</v>
      </c>
      <c r="I3337" s="14" t="s">
        <v>147</v>
      </c>
      <c r="J3337" s="14">
        <v>8.213552138</v>
      </c>
      <c r="K3337" s="14">
        <v>8.025270463</v>
      </c>
      <c r="L3337" s="14">
        <v>8.824019242</v>
      </c>
      <c r="M3337" s="14">
        <v>16.88023733</v>
      </c>
      <c r="N3337" s="14">
        <v>16.72639737</v>
      </c>
      <c r="O3337" s="14">
        <v>15.99048931</v>
      </c>
      <c r="P3337" s="14" t="s">
        <v>15504</v>
      </c>
      <c r="Q3337" s="14" t="s">
        <v>15505</v>
      </c>
      <c r="T3337" s="14" t="s">
        <v>15506</v>
      </c>
      <c r="U3337" s="14" t="s">
        <v>15507</v>
      </c>
    </row>
    <row r="3338" spans="1:15">
      <c r="A3338" s="14" t="s">
        <v>15508</v>
      </c>
      <c r="B3338" s="14">
        <v>8304.573221</v>
      </c>
      <c r="C3338" s="14">
        <v>11143.07683</v>
      </c>
      <c r="D3338" s="14">
        <v>5466.069614</v>
      </c>
      <c r="E3338" s="14">
        <v>0.490516566</v>
      </c>
      <c r="F3338" s="14">
        <v>-1.027626234</v>
      </c>
      <c r="G3338" s="51" t="s">
        <v>15509</v>
      </c>
      <c r="H3338" s="51" t="s">
        <v>15510</v>
      </c>
      <c r="I3338" s="14" t="s">
        <v>147</v>
      </c>
      <c r="J3338" s="14">
        <v>92.51126875</v>
      </c>
      <c r="K3338" s="14">
        <v>81.40933535</v>
      </c>
      <c r="L3338" s="14">
        <v>83.81270603</v>
      </c>
      <c r="M3338" s="14">
        <v>123.164051</v>
      </c>
      <c r="N3338" s="14">
        <v>120.8450261</v>
      </c>
      <c r="O3338" s="14">
        <v>193.6028452</v>
      </c>
    </row>
    <row r="3339" spans="1:21">
      <c r="A3339" s="14" t="s">
        <v>15511</v>
      </c>
      <c r="B3339" s="14">
        <v>1069.362827</v>
      </c>
      <c r="C3339" s="14">
        <v>1555.673449</v>
      </c>
      <c r="D3339" s="14">
        <v>583.0522054</v>
      </c>
      <c r="E3339" s="14">
        <v>0.374823846</v>
      </c>
      <c r="F3339" s="14">
        <v>-1.415715356</v>
      </c>
      <c r="G3339" s="51" t="s">
        <v>15512</v>
      </c>
      <c r="H3339" s="51" t="s">
        <v>15513</v>
      </c>
      <c r="I3339" s="14" t="s">
        <v>147</v>
      </c>
      <c r="J3339" s="14">
        <v>6.370351986</v>
      </c>
      <c r="K3339" s="14">
        <v>8.582726996</v>
      </c>
      <c r="L3339" s="14">
        <v>7.045941149</v>
      </c>
      <c r="M3339" s="14">
        <v>17.67392972</v>
      </c>
      <c r="N3339" s="14">
        <v>16.29089405</v>
      </c>
      <c r="O3339" s="14">
        <v>14.05682424</v>
      </c>
      <c r="P3339" s="14" t="s">
        <v>15514</v>
      </c>
      <c r="Q3339" s="14" t="s">
        <v>15515</v>
      </c>
      <c r="T3339" s="14" t="s">
        <v>15516</v>
      </c>
      <c r="U3339" s="14" t="s">
        <v>15517</v>
      </c>
    </row>
    <row r="3340" spans="1:21">
      <c r="A3340" s="14" t="s">
        <v>15518</v>
      </c>
      <c r="B3340" s="14">
        <v>68.64506417</v>
      </c>
      <c r="C3340" s="14">
        <v>102.8060029</v>
      </c>
      <c r="D3340" s="14">
        <v>34.48412548</v>
      </c>
      <c r="E3340" s="14">
        <v>0.335758933</v>
      </c>
      <c r="F3340" s="14">
        <v>-1.574502313</v>
      </c>
      <c r="G3340" s="51" t="s">
        <v>15519</v>
      </c>
      <c r="H3340" s="51" t="s">
        <v>2062</v>
      </c>
      <c r="I3340" s="14" t="s">
        <v>147</v>
      </c>
      <c r="J3340" s="14">
        <v>0.290377484</v>
      </c>
      <c r="K3340" s="14">
        <v>0.283140061</v>
      </c>
      <c r="L3340" s="14">
        <v>0.375698789</v>
      </c>
      <c r="M3340" s="14">
        <v>0.838503348</v>
      </c>
      <c r="N3340" s="14">
        <v>0.551193396</v>
      </c>
      <c r="O3340" s="14">
        <v>0.949511135</v>
      </c>
      <c r="P3340" s="14" t="s">
        <v>8491</v>
      </c>
      <c r="Q3340" s="14" t="s">
        <v>8492</v>
      </c>
      <c r="T3340" s="14" t="s">
        <v>8493</v>
      </c>
      <c r="U3340" s="14" t="s">
        <v>8494</v>
      </c>
    </row>
    <row r="3341" spans="1:21">
      <c r="A3341" s="14" t="s">
        <v>15520</v>
      </c>
      <c r="B3341" s="14">
        <v>1616.080544</v>
      </c>
      <c r="C3341" s="14">
        <v>656.3486469</v>
      </c>
      <c r="D3341" s="14">
        <v>2575.812441</v>
      </c>
      <c r="E3341" s="14">
        <v>3.922536407</v>
      </c>
      <c r="F3341" s="14">
        <v>1.971786838</v>
      </c>
      <c r="G3341" s="51" t="s">
        <v>15521</v>
      </c>
      <c r="H3341" s="51" t="s">
        <v>15522</v>
      </c>
      <c r="I3341" s="14" t="s">
        <v>164</v>
      </c>
      <c r="J3341" s="14">
        <v>32.96779613</v>
      </c>
      <c r="K3341" s="14">
        <v>27.39179656</v>
      </c>
      <c r="L3341" s="14">
        <v>30.15698967</v>
      </c>
      <c r="M3341" s="14">
        <v>5.39924243</v>
      </c>
      <c r="N3341" s="14">
        <v>6.255910664</v>
      </c>
      <c r="O3341" s="14">
        <v>7.438265939</v>
      </c>
      <c r="P3341" s="14" t="s">
        <v>15523</v>
      </c>
      <c r="Q3341" s="14" t="s">
        <v>15524</v>
      </c>
      <c r="T3341" s="14" t="s">
        <v>15525</v>
      </c>
      <c r="U3341" s="14" t="s">
        <v>15526</v>
      </c>
    </row>
    <row r="3342" spans="1:21">
      <c r="A3342" s="14" t="s">
        <v>15527</v>
      </c>
      <c r="B3342" s="14">
        <v>543.3274224</v>
      </c>
      <c r="C3342" s="14">
        <v>281.7216028</v>
      </c>
      <c r="D3342" s="14">
        <v>804.933242</v>
      </c>
      <c r="E3342" s="14">
        <v>2.856433795</v>
      </c>
      <c r="F3342" s="14">
        <v>1.514215092</v>
      </c>
      <c r="G3342" s="14">
        <v>0.009289454</v>
      </c>
      <c r="H3342" s="14">
        <v>0.025359853</v>
      </c>
      <c r="I3342" s="14" t="s">
        <v>164</v>
      </c>
      <c r="J3342" s="14">
        <v>24.00854799</v>
      </c>
      <c r="K3342" s="14">
        <v>7.472684704</v>
      </c>
      <c r="L3342" s="14">
        <v>6.208206998</v>
      </c>
      <c r="M3342" s="14">
        <v>3.063335357</v>
      </c>
      <c r="N3342" s="14">
        <v>2.366392326</v>
      </c>
      <c r="O3342" s="14">
        <v>5.66986873</v>
      </c>
      <c r="P3342" s="14" t="s">
        <v>15528</v>
      </c>
      <c r="Q3342" s="14" t="s">
        <v>15529</v>
      </c>
      <c r="T3342" s="14" t="s">
        <v>15530</v>
      </c>
      <c r="U3342" s="14" t="s">
        <v>15531</v>
      </c>
    </row>
    <row r="3343" spans="1:21">
      <c r="A3343" s="14" t="s">
        <v>15532</v>
      </c>
      <c r="B3343" s="14">
        <v>76622.23105</v>
      </c>
      <c r="C3343" s="14">
        <v>105529.2922</v>
      </c>
      <c r="D3343" s="14">
        <v>47715.16988</v>
      </c>
      <c r="E3343" s="14">
        <v>0.452152576</v>
      </c>
      <c r="F3343" s="14">
        <v>-1.145118412</v>
      </c>
      <c r="G3343" s="51" t="s">
        <v>15533</v>
      </c>
      <c r="H3343" s="51" t="s">
        <v>13785</v>
      </c>
      <c r="I3343" s="14" t="s">
        <v>147</v>
      </c>
      <c r="J3343" s="14">
        <v>304.7186132</v>
      </c>
      <c r="K3343" s="14">
        <v>261.4635951</v>
      </c>
      <c r="L3343" s="14">
        <v>282.4591019</v>
      </c>
      <c r="M3343" s="14">
        <v>524.4403496</v>
      </c>
      <c r="N3343" s="14">
        <v>554.4993506</v>
      </c>
      <c r="O3343" s="14">
        <v>457.1078825</v>
      </c>
      <c r="P3343" s="14" t="s">
        <v>15534</v>
      </c>
      <c r="Q3343" s="14" t="s">
        <v>15535</v>
      </c>
      <c r="R3343" s="14" t="s">
        <v>7127</v>
      </c>
      <c r="S3343" s="14" t="s">
        <v>7128</v>
      </c>
      <c r="T3343" s="14" t="s">
        <v>15536</v>
      </c>
      <c r="U3343" s="14" t="s">
        <v>15537</v>
      </c>
    </row>
    <row r="3344" spans="1:21">
      <c r="A3344" s="14" t="s">
        <v>15538</v>
      </c>
      <c r="B3344" s="14">
        <v>336.2458089</v>
      </c>
      <c r="C3344" s="14">
        <v>88.55621565</v>
      </c>
      <c r="D3344" s="14">
        <v>583.9354021</v>
      </c>
      <c r="E3344" s="14">
        <v>6.58229452</v>
      </c>
      <c r="F3344" s="14">
        <v>2.71859058</v>
      </c>
      <c r="G3344" s="51" t="s">
        <v>5325</v>
      </c>
      <c r="H3344" s="14">
        <v>0.000127948</v>
      </c>
      <c r="I3344" s="14" t="s">
        <v>164</v>
      </c>
      <c r="J3344" s="14">
        <v>11.01880315</v>
      </c>
      <c r="K3344" s="14">
        <v>9.350683665</v>
      </c>
      <c r="L3344" s="14">
        <v>10.52537988</v>
      </c>
      <c r="M3344" s="14">
        <v>0.493045604</v>
      </c>
      <c r="N3344" s="14">
        <v>0.573356028</v>
      </c>
      <c r="O3344" s="14">
        <v>2.982032156</v>
      </c>
      <c r="P3344" s="14" t="s">
        <v>15539</v>
      </c>
      <c r="Q3344" s="14" t="s">
        <v>15540</v>
      </c>
      <c r="T3344" s="14" t="s">
        <v>15541</v>
      </c>
      <c r="U3344" s="14" t="s">
        <v>15542</v>
      </c>
    </row>
    <row r="3345" spans="1:21">
      <c r="A3345" s="14" t="s">
        <v>15543</v>
      </c>
      <c r="B3345" s="14">
        <v>437.0896656</v>
      </c>
      <c r="C3345" s="14">
        <v>211.1128058</v>
      </c>
      <c r="D3345" s="14">
        <v>663.0665253</v>
      </c>
      <c r="E3345" s="14">
        <v>3.137294125</v>
      </c>
      <c r="F3345" s="14">
        <v>1.64952079</v>
      </c>
      <c r="G3345" s="51" t="s">
        <v>15544</v>
      </c>
      <c r="H3345" s="51" t="s">
        <v>11544</v>
      </c>
      <c r="I3345" s="14" t="s">
        <v>164</v>
      </c>
      <c r="J3345" s="14">
        <v>6.694062004</v>
      </c>
      <c r="K3345" s="14">
        <v>4.610055454</v>
      </c>
      <c r="L3345" s="14">
        <v>5.965487206</v>
      </c>
      <c r="M3345" s="14">
        <v>1.110189988</v>
      </c>
      <c r="N3345" s="14">
        <v>1.255543031</v>
      </c>
      <c r="O3345" s="14">
        <v>2.237122427</v>
      </c>
      <c r="P3345" s="14" t="s">
        <v>15545</v>
      </c>
      <c r="Q3345" s="14" t="s">
        <v>15546</v>
      </c>
      <c r="T3345" s="14" t="s">
        <v>15547</v>
      </c>
      <c r="U3345" s="14" t="s">
        <v>15548</v>
      </c>
    </row>
    <row r="3346" spans="1:21">
      <c r="A3346" s="14" t="s">
        <v>15549</v>
      </c>
      <c r="B3346" s="14">
        <v>1043.368365</v>
      </c>
      <c r="C3346" s="14">
        <v>556.1653763</v>
      </c>
      <c r="D3346" s="14">
        <v>1530.571354</v>
      </c>
      <c r="E3346" s="14">
        <v>2.752413842</v>
      </c>
      <c r="F3346" s="14">
        <v>1.460697404</v>
      </c>
      <c r="G3346" s="14">
        <v>0.014002073</v>
      </c>
      <c r="H3346" s="14">
        <v>0.035991187</v>
      </c>
      <c r="I3346" s="14" t="s">
        <v>164</v>
      </c>
      <c r="J3346" s="14">
        <v>25.57282528</v>
      </c>
      <c r="K3346" s="14">
        <v>9.68234705</v>
      </c>
      <c r="L3346" s="14">
        <v>14.86108641</v>
      </c>
      <c r="M3346" s="14">
        <v>4.919757421</v>
      </c>
      <c r="N3346" s="14">
        <v>7.931600224</v>
      </c>
      <c r="O3346" s="14">
        <v>1.773360914</v>
      </c>
      <c r="P3346" s="14" t="s">
        <v>15550</v>
      </c>
      <c r="Q3346" s="14" t="s">
        <v>15551</v>
      </c>
      <c r="R3346" s="14" t="s">
        <v>4929</v>
      </c>
      <c r="S3346" s="14" t="s">
        <v>4930</v>
      </c>
      <c r="T3346" s="14" t="s">
        <v>10913</v>
      </c>
      <c r="U3346" s="14" t="s">
        <v>10914</v>
      </c>
    </row>
    <row r="3347" spans="1:21">
      <c r="A3347" s="14" t="s">
        <v>15552</v>
      </c>
      <c r="B3347" s="14">
        <v>1674.67584</v>
      </c>
      <c r="C3347" s="14">
        <v>2297.118421</v>
      </c>
      <c r="D3347" s="14">
        <v>1052.233259</v>
      </c>
      <c r="E3347" s="14">
        <v>0.458145959</v>
      </c>
      <c r="F3347" s="14">
        <v>-1.126120801</v>
      </c>
      <c r="G3347" s="51" t="s">
        <v>15553</v>
      </c>
      <c r="H3347" s="51" t="s">
        <v>15554</v>
      </c>
      <c r="I3347" s="14" t="s">
        <v>147</v>
      </c>
      <c r="J3347" s="14">
        <v>6.95291603</v>
      </c>
      <c r="K3347" s="14">
        <v>7.024826444</v>
      </c>
      <c r="L3347" s="14">
        <v>7.005251393</v>
      </c>
      <c r="M3347" s="14">
        <v>12.87233568</v>
      </c>
      <c r="N3347" s="14">
        <v>12.87912728</v>
      </c>
      <c r="O3347" s="14">
        <v>11.81142582</v>
      </c>
      <c r="P3347" s="14" t="s">
        <v>15555</v>
      </c>
      <c r="Q3347" s="14" t="s">
        <v>15556</v>
      </c>
      <c r="T3347" s="14" t="s">
        <v>15557</v>
      </c>
      <c r="U3347" s="14" t="s">
        <v>15558</v>
      </c>
    </row>
    <row r="3348" spans="1:21">
      <c r="A3348" s="14" t="s">
        <v>15559</v>
      </c>
      <c r="B3348" s="14">
        <v>17191.71675</v>
      </c>
      <c r="C3348" s="14">
        <v>26194.08382</v>
      </c>
      <c r="D3348" s="14">
        <v>8189.349684</v>
      </c>
      <c r="E3348" s="14">
        <v>0.312642511</v>
      </c>
      <c r="F3348" s="14">
        <v>-1.677414133</v>
      </c>
      <c r="G3348" s="51" t="s">
        <v>15560</v>
      </c>
      <c r="H3348" s="51" t="s">
        <v>12725</v>
      </c>
      <c r="I3348" s="14" t="s">
        <v>147</v>
      </c>
      <c r="J3348" s="14">
        <v>97.84893517</v>
      </c>
      <c r="K3348" s="14">
        <v>137.525196</v>
      </c>
      <c r="L3348" s="14">
        <v>111.5310176</v>
      </c>
      <c r="M3348" s="14">
        <v>322.8529624</v>
      </c>
      <c r="N3348" s="14">
        <v>334.5779576</v>
      </c>
      <c r="O3348" s="14">
        <v>248.8678812</v>
      </c>
      <c r="P3348" s="14" t="s">
        <v>15561</v>
      </c>
      <c r="Q3348" s="14" t="s">
        <v>15562</v>
      </c>
      <c r="R3348" s="14" t="s">
        <v>15563</v>
      </c>
      <c r="S3348" s="14" t="s">
        <v>15564</v>
      </c>
      <c r="T3348" s="14" t="s">
        <v>15565</v>
      </c>
      <c r="U3348" s="14" t="s">
        <v>15566</v>
      </c>
    </row>
    <row r="3349" spans="1:21">
      <c r="A3349" s="14" t="s">
        <v>15567</v>
      </c>
      <c r="B3349" s="14">
        <v>7934.194868</v>
      </c>
      <c r="C3349" s="14">
        <v>14331.67946</v>
      </c>
      <c r="D3349" s="14">
        <v>1536.710277</v>
      </c>
      <c r="E3349" s="14">
        <v>0.107214052</v>
      </c>
      <c r="F3349" s="14">
        <v>-3.221434095</v>
      </c>
      <c r="G3349" s="51" t="s">
        <v>15568</v>
      </c>
      <c r="H3349" s="51" t="s">
        <v>15569</v>
      </c>
      <c r="I3349" s="14" t="s">
        <v>147</v>
      </c>
      <c r="J3349" s="14">
        <v>217.7002342</v>
      </c>
      <c r="K3349" s="14">
        <v>305.2828311</v>
      </c>
      <c r="L3349" s="14">
        <v>192.1201289</v>
      </c>
      <c r="M3349" s="14">
        <v>1753.824472</v>
      </c>
      <c r="N3349" s="14">
        <v>1604.106111</v>
      </c>
      <c r="O3349" s="14">
        <v>2172.664289</v>
      </c>
      <c r="P3349" s="14" t="s">
        <v>15570</v>
      </c>
      <c r="Q3349" s="14" t="s">
        <v>15571</v>
      </c>
      <c r="T3349" s="14" t="s">
        <v>1429</v>
      </c>
      <c r="U3349" s="14" t="s">
        <v>1430</v>
      </c>
    </row>
    <row r="3350" spans="1:21">
      <c r="A3350" s="14" t="s">
        <v>15572</v>
      </c>
      <c r="B3350" s="14">
        <v>8992.660882</v>
      </c>
      <c r="C3350" s="14">
        <v>12184.34627</v>
      </c>
      <c r="D3350" s="14">
        <v>5800.975491</v>
      </c>
      <c r="E3350" s="14">
        <v>0.476103033</v>
      </c>
      <c r="F3350" s="14">
        <v>-1.070654274</v>
      </c>
      <c r="G3350" s="51" t="s">
        <v>10709</v>
      </c>
      <c r="H3350" s="51" t="s">
        <v>1765</v>
      </c>
      <c r="I3350" s="14" t="s">
        <v>147</v>
      </c>
      <c r="J3350" s="14">
        <v>103.3359123</v>
      </c>
      <c r="K3350" s="14">
        <v>135.696703</v>
      </c>
      <c r="L3350" s="14">
        <v>101.7594936</v>
      </c>
      <c r="M3350" s="14">
        <v>212.3855269</v>
      </c>
      <c r="N3350" s="14">
        <v>198.4822061</v>
      </c>
      <c r="O3350" s="14">
        <v>175.5572017</v>
      </c>
      <c r="P3350" s="14" t="s">
        <v>15573</v>
      </c>
      <c r="Q3350" s="14" t="s">
        <v>15574</v>
      </c>
      <c r="T3350" s="14" t="s">
        <v>15575</v>
      </c>
      <c r="U3350" s="14" t="s">
        <v>15576</v>
      </c>
    </row>
    <row r="3351" spans="1:21">
      <c r="A3351" s="14" t="s">
        <v>15577</v>
      </c>
      <c r="B3351" s="14">
        <v>133.5627873</v>
      </c>
      <c r="C3351" s="14">
        <v>60.33628732</v>
      </c>
      <c r="D3351" s="14">
        <v>206.7892872</v>
      </c>
      <c r="E3351" s="14">
        <v>3.431357861</v>
      </c>
      <c r="F3351" s="14">
        <v>1.778779594</v>
      </c>
      <c r="G3351" s="51" t="s">
        <v>15578</v>
      </c>
      <c r="H3351" s="51" t="s">
        <v>15579</v>
      </c>
      <c r="I3351" s="14" t="s">
        <v>164</v>
      </c>
      <c r="J3351" s="14">
        <v>4.085168689</v>
      </c>
      <c r="K3351" s="14">
        <v>4.445237089</v>
      </c>
      <c r="L3351" s="14">
        <v>5.315408612</v>
      </c>
      <c r="M3351" s="14">
        <v>0.92576857</v>
      </c>
      <c r="N3351" s="14">
        <v>1.468191182</v>
      </c>
      <c r="O3351" s="14">
        <v>0.905756451</v>
      </c>
      <c r="P3351" s="14" t="s">
        <v>15580</v>
      </c>
      <c r="Q3351" s="14" t="s">
        <v>15581</v>
      </c>
      <c r="R3351" s="14" t="s">
        <v>15582</v>
      </c>
      <c r="S3351" s="14" t="s">
        <v>15583</v>
      </c>
      <c r="T3351" s="14" t="s">
        <v>1938</v>
      </c>
      <c r="U3351" s="14" t="s">
        <v>1939</v>
      </c>
    </row>
    <row r="3352" spans="1:21">
      <c r="A3352" s="14" t="s">
        <v>15584</v>
      </c>
      <c r="B3352" s="14">
        <v>352.3474277</v>
      </c>
      <c r="C3352" s="14">
        <v>213.2277846</v>
      </c>
      <c r="D3352" s="14">
        <v>491.4670708</v>
      </c>
      <c r="E3352" s="14">
        <v>2.305613598</v>
      </c>
      <c r="F3352" s="14">
        <v>1.205150749</v>
      </c>
      <c r="G3352" s="14">
        <v>0.000869901</v>
      </c>
      <c r="H3352" s="14">
        <v>0.00324039</v>
      </c>
      <c r="I3352" s="14" t="s">
        <v>164</v>
      </c>
      <c r="J3352" s="14">
        <v>11.61425425</v>
      </c>
      <c r="K3352" s="14">
        <v>5.812574424</v>
      </c>
      <c r="L3352" s="14">
        <v>6.569882172</v>
      </c>
      <c r="M3352" s="14">
        <v>2.746502477</v>
      </c>
      <c r="N3352" s="14">
        <v>3.402916419</v>
      </c>
      <c r="O3352" s="14">
        <v>2.363055767</v>
      </c>
      <c r="P3352" s="14" t="s">
        <v>15585</v>
      </c>
      <c r="Q3352" s="14" t="s">
        <v>15586</v>
      </c>
      <c r="T3352" s="14" t="s">
        <v>15587</v>
      </c>
      <c r="U3352" s="14" t="s">
        <v>15588</v>
      </c>
    </row>
    <row r="3353" spans="1:21">
      <c r="A3353" s="14" t="s">
        <v>15589</v>
      </c>
      <c r="B3353" s="14">
        <v>215.7824307</v>
      </c>
      <c r="C3353" s="14">
        <v>17.15321608</v>
      </c>
      <c r="D3353" s="14">
        <v>414.4116452</v>
      </c>
      <c r="E3353" s="14">
        <v>24.2750881</v>
      </c>
      <c r="F3353" s="14">
        <v>4.601404626</v>
      </c>
      <c r="G3353" s="51" t="s">
        <v>15590</v>
      </c>
      <c r="H3353" s="51" t="s">
        <v>15591</v>
      </c>
      <c r="I3353" s="14" t="s">
        <v>164</v>
      </c>
      <c r="J3353" s="14">
        <v>6.23819478</v>
      </c>
      <c r="K3353" s="14">
        <v>8.848312244</v>
      </c>
      <c r="L3353" s="14">
        <v>4.885034941</v>
      </c>
      <c r="M3353" s="14">
        <v>0.341263836</v>
      </c>
      <c r="N3353" s="14">
        <v>0.301209965</v>
      </c>
      <c r="O3353" s="14">
        <v>0.013355473</v>
      </c>
      <c r="P3353" s="14" t="s">
        <v>15592</v>
      </c>
      <c r="Q3353" s="14" t="s">
        <v>15593</v>
      </c>
      <c r="T3353" s="14" t="s">
        <v>15594</v>
      </c>
      <c r="U3353" s="14" t="s">
        <v>15595</v>
      </c>
    </row>
    <row r="3354" spans="1:21">
      <c r="A3354" s="14" t="s">
        <v>15596</v>
      </c>
      <c r="B3354" s="14">
        <v>6921.363609</v>
      </c>
      <c r="C3354" s="14">
        <v>10312.83922</v>
      </c>
      <c r="D3354" s="14">
        <v>3529.887997</v>
      </c>
      <c r="E3354" s="14">
        <v>0.342285672</v>
      </c>
      <c r="F3354" s="14">
        <v>-1.546727191</v>
      </c>
      <c r="G3354" s="51" t="s">
        <v>11110</v>
      </c>
      <c r="H3354" s="51" t="s">
        <v>15597</v>
      </c>
      <c r="I3354" s="14" t="s">
        <v>147</v>
      </c>
      <c r="J3354" s="14">
        <v>18.28328938</v>
      </c>
      <c r="K3354" s="14">
        <v>20.72672627</v>
      </c>
      <c r="L3354" s="14">
        <v>16.91340325</v>
      </c>
      <c r="M3354" s="14">
        <v>51.68668973</v>
      </c>
      <c r="N3354" s="14">
        <v>52.82773323</v>
      </c>
      <c r="O3354" s="14">
        <v>27.94070608</v>
      </c>
      <c r="P3354" s="14" t="s">
        <v>15598</v>
      </c>
      <c r="Q3354" s="14" t="s">
        <v>15599</v>
      </c>
      <c r="R3354" s="14" t="s">
        <v>798</v>
      </c>
      <c r="S3354" s="14" t="s">
        <v>799</v>
      </c>
      <c r="T3354" s="14" t="s">
        <v>15600</v>
      </c>
      <c r="U3354" s="14" t="s">
        <v>15601</v>
      </c>
    </row>
    <row r="3355" spans="1:21">
      <c r="A3355" s="14" t="s">
        <v>15602</v>
      </c>
      <c r="B3355" s="14">
        <v>32.61442377</v>
      </c>
      <c r="C3355" s="14">
        <v>53.60468955</v>
      </c>
      <c r="D3355" s="14">
        <v>11.62415799</v>
      </c>
      <c r="E3355" s="14">
        <v>0.216063554</v>
      </c>
      <c r="F3355" s="14">
        <v>-2.210472357</v>
      </c>
      <c r="G3355" s="14">
        <v>0.002885552</v>
      </c>
      <c r="H3355" s="14">
        <v>0.009188476</v>
      </c>
      <c r="I3355" s="14" t="s">
        <v>147</v>
      </c>
      <c r="J3355" s="14">
        <v>0.221703209</v>
      </c>
      <c r="K3355" s="14">
        <v>0.892603608</v>
      </c>
      <c r="L3355" s="14">
        <v>0.177889008</v>
      </c>
      <c r="M3355" s="14">
        <v>1.42266068</v>
      </c>
      <c r="N3355" s="14">
        <v>1.486196161</v>
      </c>
      <c r="O3355" s="14">
        <v>2.072395406</v>
      </c>
      <c r="P3355" s="14" t="s">
        <v>15603</v>
      </c>
      <c r="Q3355" s="14" t="s">
        <v>15604</v>
      </c>
      <c r="T3355" s="14" t="s">
        <v>15605</v>
      </c>
      <c r="U3355" s="14" t="s">
        <v>15606</v>
      </c>
    </row>
    <row r="3356" spans="1:21">
      <c r="A3356" s="14" t="s">
        <v>15607</v>
      </c>
      <c r="B3356" s="14">
        <v>302.3431368</v>
      </c>
      <c r="C3356" s="14">
        <v>101.8965721</v>
      </c>
      <c r="D3356" s="14">
        <v>502.7897016</v>
      </c>
      <c r="E3356" s="14">
        <v>4.939272511</v>
      </c>
      <c r="F3356" s="14">
        <v>2.304298568</v>
      </c>
      <c r="G3356" s="14">
        <v>0.000108909</v>
      </c>
      <c r="H3356" s="14">
        <v>0.000511443</v>
      </c>
      <c r="I3356" s="14" t="s">
        <v>164</v>
      </c>
      <c r="J3356" s="14">
        <v>10.37652005</v>
      </c>
      <c r="K3356" s="14">
        <v>5.567855184</v>
      </c>
      <c r="L3356" s="14">
        <v>11.66199956</v>
      </c>
      <c r="M3356" s="14">
        <v>1.716844265</v>
      </c>
      <c r="N3356" s="14">
        <v>2.255499585</v>
      </c>
      <c r="O3356" s="14">
        <v>0.49937968</v>
      </c>
      <c r="P3356" s="14" t="s">
        <v>15608</v>
      </c>
      <c r="Q3356" s="14" t="s">
        <v>15609</v>
      </c>
      <c r="R3356" s="14" t="s">
        <v>6666</v>
      </c>
      <c r="S3356" s="14" t="s">
        <v>6667</v>
      </c>
      <c r="T3356" s="14" t="s">
        <v>2051</v>
      </c>
      <c r="U3356" s="14" t="s">
        <v>2052</v>
      </c>
    </row>
    <row r="3357" spans="1:17">
      <c r="A3357" s="14" t="s">
        <v>15610</v>
      </c>
      <c r="B3357" s="14">
        <v>490.9218178</v>
      </c>
      <c r="C3357" s="14">
        <v>216.191718</v>
      </c>
      <c r="D3357" s="14">
        <v>765.6519175</v>
      </c>
      <c r="E3357" s="14">
        <v>3.540876855</v>
      </c>
      <c r="F3357" s="14">
        <v>1.82410667</v>
      </c>
      <c r="G3357" s="51" t="s">
        <v>15611</v>
      </c>
      <c r="H3357" s="51" t="s">
        <v>15612</v>
      </c>
      <c r="I3357" s="14" t="s">
        <v>164</v>
      </c>
      <c r="J3357" s="14">
        <v>7.879750455</v>
      </c>
      <c r="K3357" s="14">
        <v>6.35017554</v>
      </c>
      <c r="L3357" s="14">
        <v>5.767127298</v>
      </c>
      <c r="M3357" s="14">
        <v>1.425171344</v>
      </c>
      <c r="N3357" s="14">
        <v>1.572729335</v>
      </c>
      <c r="O3357" s="14">
        <v>1.661677013</v>
      </c>
      <c r="P3357" s="14" t="s">
        <v>6085</v>
      </c>
      <c r="Q3357" s="14" t="s">
        <v>6086</v>
      </c>
    </row>
    <row r="3358" spans="1:15">
      <c r="A3358" s="14" t="s">
        <v>15613</v>
      </c>
      <c r="B3358" s="14">
        <v>2007.865394</v>
      </c>
      <c r="C3358" s="14">
        <v>3241.233273</v>
      </c>
      <c r="D3358" s="14">
        <v>774.4975149</v>
      </c>
      <c r="E3358" s="14">
        <v>0.238956229</v>
      </c>
      <c r="F3358" s="14">
        <v>-2.065181717</v>
      </c>
      <c r="G3358" s="51" t="s">
        <v>15614</v>
      </c>
      <c r="H3358" s="51" t="s">
        <v>15615</v>
      </c>
      <c r="I3358" s="14" t="s">
        <v>147</v>
      </c>
      <c r="J3358" s="14">
        <v>6.077603276</v>
      </c>
      <c r="K3358" s="14">
        <v>7.248011577</v>
      </c>
      <c r="L3358" s="14">
        <v>5.61058508</v>
      </c>
      <c r="M3358" s="14">
        <v>25.75089128</v>
      </c>
      <c r="N3358" s="14">
        <v>24.01498965</v>
      </c>
      <c r="O3358" s="14">
        <v>14.58613917</v>
      </c>
    </row>
    <row r="3359" spans="1:21">
      <c r="A3359" s="14" t="s">
        <v>15616</v>
      </c>
      <c r="B3359" s="14">
        <v>4222.54403</v>
      </c>
      <c r="C3359" s="14">
        <v>6127.214813</v>
      </c>
      <c r="D3359" s="14">
        <v>2317.873246</v>
      </c>
      <c r="E3359" s="14">
        <v>0.37829928</v>
      </c>
      <c r="F3359" s="14">
        <v>-1.402400064</v>
      </c>
      <c r="G3359" s="51" t="s">
        <v>3454</v>
      </c>
      <c r="H3359" s="51" t="s">
        <v>2842</v>
      </c>
      <c r="I3359" s="14" t="s">
        <v>147</v>
      </c>
      <c r="J3359" s="14">
        <v>23.45851072</v>
      </c>
      <c r="K3359" s="14">
        <v>25.30464306</v>
      </c>
      <c r="L3359" s="14">
        <v>20.62458244</v>
      </c>
      <c r="M3359" s="14">
        <v>55.66712264</v>
      </c>
      <c r="N3359" s="14">
        <v>55.74494412</v>
      </c>
      <c r="O3359" s="14">
        <v>38.06501391</v>
      </c>
      <c r="P3359" s="14" t="s">
        <v>15617</v>
      </c>
      <c r="Q3359" s="14" t="s">
        <v>15618</v>
      </c>
      <c r="T3359" s="14" t="s">
        <v>5083</v>
      </c>
      <c r="U3359" s="14" t="s">
        <v>5084</v>
      </c>
    </row>
    <row r="3360" spans="1:21">
      <c r="A3360" s="14" t="s">
        <v>15619</v>
      </c>
      <c r="B3360" s="14">
        <v>38.96015527</v>
      </c>
      <c r="C3360" s="14">
        <v>3.56539016</v>
      </c>
      <c r="D3360" s="14">
        <v>74.35492038</v>
      </c>
      <c r="E3360" s="14">
        <v>20.51993282</v>
      </c>
      <c r="F3360" s="14">
        <v>4.358954103</v>
      </c>
      <c r="G3360" s="51" t="s">
        <v>15620</v>
      </c>
      <c r="H3360" s="51" t="s">
        <v>15621</v>
      </c>
      <c r="I3360" s="14" t="s">
        <v>164</v>
      </c>
      <c r="J3360" s="14">
        <v>2.411657043</v>
      </c>
      <c r="K3360" s="14">
        <v>0.80913495</v>
      </c>
      <c r="L3360" s="14">
        <v>1.548041751</v>
      </c>
      <c r="M3360" s="14">
        <v>0.036200017</v>
      </c>
      <c r="N3360" s="14">
        <v>0.034729619</v>
      </c>
      <c r="O3360" s="14">
        <v>0.123961215</v>
      </c>
      <c r="P3360" s="14" t="s">
        <v>13256</v>
      </c>
      <c r="Q3360" s="14" t="s">
        <v>13257</v>
      </c>
      <c r="T3360" s="14" t="s">
        <v>13258</v>
      </c>
      <c r="U3360" s="14" t="s">
        <v>13259</v>
      </c>
    </row>
    <row r="3361" spans="1:21">
      <c r="A3361" s="14" t="s">
        <v>15622</v>
      </c>
      <c r="B3361" s="14">
        <v>646.363758</v>
      </c>
      <c r="C3361" s="14">
        <v>968.2542484</v>
      </c>
      <c r="D3361" s="14">
        <v>324.4732676</v>
      </c>
      <c r="E3361" s="14">
        <v>0.335140411</v>
      </c>
      <c r="F3361" s="14">
        <v>-1.577162437</v>
      </c>
      <c r="G3361" s="51" t="s">
        <v>13934</v>
      </c>
      <c r="H3361" s="51" t="s">
        <v>15623</v>
      </c>
      <c r="I3361" s="14" t="s">
        <v>147</v>
      </c>
      <c r="J3361" s="14">
        <v>3.860121075</v>
      </c>
      <c r="K3361" s="14">
        <v>5.835730439</v>
      </c>
      <c r="L3361" s="14">
        <v>5.419592981</v>
      </c>
      <c r="M3361" s="14">
        <v>12.43446488</v>
      </c>
      <c r="N3361" s="14">
        <v>11.37395021</v>
      </c>
      <c r="O3361" s="14">
        <v>13.36292862</v>
      </c>
      <c r="P3361" s="14" t="s">
        <v>15624</v>
      </c>
      <c r="Q3361" s="14" t="s">
        <v>15625</v>
      </c>
      <c r="T3361" s="14" t="s">
        <v>15626</v>
      </c>
      <c r="U3361" s="14" t="s">
        <v>15627</v>
      </c>
    </row>
    <row r="3362" spans="1:21">
      <c r="A3362" s="14" t="s">
        <v>15628</v>
      </c>
      <c r="B3362" s="14">
        <v>11842.31811</v>
      </c>
      <c r="C3362" s="14">
        <v>16622.87884</v>
      </c>
      <c r="D3362" s="14">
        <v>7061.757382</v>
      </c>
      <c r="E3362" s="14">
        <v>0.424808435</v>
      </c>
      <c r="F3362" s="14">
        <v>-1.235115683</v>
      </c>
      <c r="G3362" s="51" t="s">
        <v>15629</v>
      </c>
      <c r="H3362" s="51" t="s">
        <v>15630</v>
      </c>
      <c r="I3362" s="14" t="s">
        <v>147</v>
      </c>
      <c r="J3362" s="14">
        <v>160.8290462</v>
      </c>
      <c r="K3362" s="14">
        <v>149.4888387</v>
      </c>
      <c r="L3362" s="14">
        <v>127.3424973</v>
      </c>
      <c r="M3362" s="14">
        <v>274.9811373</v>
      </c>
      <c r="N3362" s="14">
        <v>252.2780826</v>
      </c>
      <c r="O3362" s="14">
        <v>324.949844</v>
      </c>
      <c r="P3362" s="14" t="s">
        <v>15631</v>
      </c>
      <c r="Q3362" s="14" t="s">
        <v>15632</v>
      </c>
      <c r="T3362" s="14" t="s">
        <v>15633</v>
      </c>
      <c r="U3362" s="14" t="s">
        <v>15634</v>
      </c>
    </row>
    <row r="3363" spans="1:21">
      <c r="A3363" s="14" t="s">
        <v>15635</v>
      </c>
      <c r="B3363" s="14">
        <v>81.57513559</v>
      </c>
      <c r="C3363" s="14">
        <v>126.2873831</v>
      </c>
      <c r="D3363" s="14">
        <v>36.86288807</v>
      </c>
      <c r="E3363" s="14">
        <v>0.292226212</v>
      </c>
      <c r="F3363" s="14">
        <v>-1.774842506</v>
      </c>
      <c r="G3363" s="51" t="s">
        <v>15636</v>
      </c>
      <c r="H3363" s="51" t="s">
        <v>15637</v>
      </c>
      <c r="I3363" s="14" t="s">
        <v>147</v>
      </c>
      <c r="J3363" s="14">
        <v>0.220819929</v>
      </c>
      <c r="K3363" s="14">
        <v>0.164050416</v>
      </c>
      <c r="L3363" s="14">
        <v>0.202491757</v>
      </c>
      <c r="M3363" s="14">
        <v>0.593787421</v>
      </c>
      <c r="N3363" s="14">
        <v>0.491986463</v>
      </c>
      <c r="O3363" s="14">
        <v>0.567748213</v>
      </c>
      <c r="P3363" s="14" t="s">
        <v>15638</v>
      </c>
      <c r="Q3363" s="14" t="s">
        <v>15639</v>
      </c>
      <c r="R3363" s="14" t="s">
        <v>15640</v>
      </c>
      <c r="S3363" s="14" t="s">
        <v>15641</v>
      </c>
      <c r="T3363" s="14" t="s">
        <v>15642</v>
      </c>
      <c r="U3363" s="14" t="s">
        <v>15643</v>
      </c>
    </row>
    <row r="3364" spans="1:21">
      <c r="A3364" s="14" t="s">
        <v>15644</v>
      </c>
      <c r="B3364" s="14">
        <v>1955.973583</v>
      </c>
      <c r="C3364" s="14">
        <v>2997.053368</v>
      </c>
      <c r="D3364" s="14">
        <v>914.8937981</v>
      </c>
      <c r="E3364" s="14">
        <v>0.30528184</v>
      </c>
      <c r="F3364" s="14">
        <v>-1.711786325</v>
      </c>
      <c r="G3364" s="51" t="s">
        <v>15645</v>
      </c>
      <c r="H3364" s="14">
        <v>0.000300924</v>
      </c>
      <c r="I3364" s="14" t="s">
        <v>147</v>
      </c>
      <c r="J3364" s="14">
        <v>10.17954036</v>
      </c>
      <c r="K3364" s="14">
        <v>11.20183957</v>
      </c>
      <c r="L3364" s="14">
        <v>10.70456213</v>
      </c>
      <c r="M3364" s="14">
        <v>34.93732802</v>
      </c>
      <c r="N3364" s="14">
        <v>36.65520435</v>
      </c>
      <c r="O3364" s="14">
        <v>12.98066554</v>
      </c>
      <c r="P3364" s="14" t="s">
        <v>15646</v>
      </c>
      <c r="Q3364" s="14" t="s">
        <v>15647</v>
      </c>
      <c r="T3364" s="14" t="s">
        <v>15648</v>
      </c>
      <c r="U3364" s="14" t="s">
        <v>15649</v>
      </c>
    </row>
    <row r="3365" spans="1:15">
      <c r="A3365" s="14" t="s">
        <v>15650</v>
      </c>
      <c r="B3365" s="14">
        <v>408.5070106</v>
      </c>
      <c r="C3365" s="14">
        <v>252.0452109</v>
      </c>
      <c r="D3365" s="14">
        <v>564.9688103</v>
      </c>
      <c r="E3365" s="14">
        <v>2.239106163</v>
      </c>
      <c r="F3365" s="14">
        <v>1.162922933</v>
      </c>
      <c r="G3365" s="51" t="s">
        <v>15651</v>
      </c>
      <c r="H3365" s="51" t="s">
        <v>15652</v>
      </c>
      <c r="I3365" s="14" t="s">
        <v>164</v>
      </c>
      <c r="J3365" s="14">
        <v>4.256765501</v>
      </c>
      <c r="K3365" s="14">
        <v>5.160766535</v>
      </c>
      <c r="L3365" s="14">
        <v>4.237039346</v>
      </c>
      <c r="M3365" s="14">
        <v>1.455459773</v>
      </c>
      <c r="N3365" s="14">
        <v>1.494674725</v>
      </c>
      <c r="O3365" s="14">
        <v>2.11259715</v>
      </c>
    </row>
    <row r="3366" spans="1:21">
      <c r="A3366" s="14" t="s">
        <v>15653</v>
      </c>
      <c r="B3366" s="14">
        <v>72.34658015</v>
      </c>
      <c r="C3366" s="14">
        <v>31.20007098</v>
      </c>
      <c r="D3366" s="14">
        <v>113.4930893</v>
      </c>
      <c r="E3366" s="14">
        <v>3.6250005</v>
      </c>
      <c r="F3366" s="14">
        <v>1.857981194</v>
      </c>
      <c r="G3366" s="14">
        <v>0.001928461</v>
      </c>
      <c r="H3366" s="14">
        <v>0.006499844</v>
      </c>
      <c r="I3366" s="14" t="s">
        <v>164</v>
      </c>
      <c r="J3366" s="14">
        <v>1.748044531</v>
      </c>
      <c r="K3366" s="14">
        <v>2.553361281</v>
      </c>
      <c r="L3366" s="14">
        <v>3.03779691</v>
      </c>
      <c r="M3366" s="14">
        <v>0.383024029</v>
      </c>
      <c r="N3366" s="14">
        <v>0.244977389</v>
      </c>
      <c r="O3366" s="14">
        <v>1.088542937</v>
      </c>
      <c r="P3366" s="14" t="s">
        <v>15654</v>
      </c>
      <c r="Q3366" s="14" t="s">
        <v>15655</v>
      </c>
      <c r="T3366" s="14" t="s">
        <v>15656</v>
      </c>
      <c r="U3366" s="14" t="s">
        <v>15657</v>
      </c>
    </row>
    <row r="3367" spans="1:15">
      <c r="A3367" s="14" t="s">
        <v>15658</v>
      </c>
      <c r="B3367" s="14">
        <v>1565.815393</v>
      </c>
      <c r="C3367" s="14">
        <v>2107.576583</v>
      </c>
      <c r="D3367" s="14">
        <v>1024.054203</v>
      </c>
      <c r="E3367" s="14">
        <v>0.485791593</v>
      </c>
      <c r="F3367" s="14">
        <v>-1.041590571</v>
      </c>
      <c r="G3367" s="51" t="s">
        <v>15659</v>
      </c>
      <c r="H3367" s="51" t="s">
        <v>15660</v>
      </c>
      <c r="I3367" s="14" t="s">
        <v>147</v>
      </c>
      <c r="J3367" s="14">
        <v>12.94263349</v>
      </c>
      <c r="K3367" s="14">
        <v>13.06468941</v>
      </c>
      <c r="L3367" s="14">
        <v>12.54560435</v>
      </c>
      <c r="M3367" s="14">
        <v>20.83888345</v>
      </c>
      <c r="N3367" s="14">
        <v>20.04346183</v>
      </c>
      <c r="O3367" s="14">
        <v>24.67632987</v>
      </c>
    </row>
    <row r="3368" spans="1:21">
      <c r="A3368" s="14" t="s">
        <v>15661</v>
      </c>
      <c r="B3368" s="14">
        <v>60.63225499</v>
      </c>
      <c r="C3368" s="14">
        <v>21.34769573</v>
      </c>
      <c r="D3368" s="14">
        <v>99.91681425</v>
      </c>
      <c r="E3368" s="14">
        <v>4.657293069</v>
      </c>
      <c r="F3368" s="14">
        <v>2.219491669</v>
      </c>
      <c r="G3368" s="14">
        <v>0.004864029</v>
      </c>
      <c r="H3368" s="14">
        <v>0.014476103</v>
      </c>
      <c r="I3368" s="14" t="s">
        <v>164</v>
      </c>
      <c r="J3368" s="14">
        <v>0.875144245</v>
      </c>
      <c r="K3368" s="14">
        <v>1.162244281</v>
      </c>
      <c r="L3368" s="14">
        <v>1.650154616</v>
      </c>
      <c r="M3368" s="14">
        <v>0.072796965</v>
      </c>
      <c r="N3368" s="14">
        <v>0.089794344</v>
      </c>
      <c r="O3368" s="14">
        <v>0.518912832</v>
      </c>
      <c r="P3368" s="14" t="s">
        <v>15662</v>
      </c>
      <c r="Q3368" s="14" t="s">
        <v>15663</v>
      </c>
      <c r="T3368" s="14" t="s">
        <v>15664</v>
      </c>
      <c r="U3368" s="14" t="s">
        <v>15665</v>
      </c>
    </row>
    <row r="3369" spans="1:21">
      <c r="A3369" s="14" t="s">
        <v>15666</v>
      </c>
      <c r="B3369" s="14">
        <v>650.1400335</v>
      </c>
      <c r="C3369" s="14">
        <v>311.1905729</v>
      </c>
      <c r="D3369" s="14">
        <v>989.0894941</v>
      </c>
      <c r="E3369" s="14">
        <v>3.178475532</v>
      </c>
      <c r="F3369" s="14">
        <v>1.668334983</v>
      </c>
      <c r="G3369" s="51" t="s">
        <v>11149</v>
      </c>
      <c r="H3369" s="51" t="s">
        <v>15667</v>
      </c>
      <c r="I3369" s="14" t="s">
        <v>164</v>
      </c>
      <c r="J3369" s="14">
        <v>14.81987152</v>
      </c>
      <c r="K3369" s="14">
        <v>10.62127485</v>
      </c>
      <c r="L3369" s="14">
        <v>13.32299852</v>
      </c>
      <c r="M3369" s="14">
        <v>2.810357853</v>
      </c>
      <c r="N3369" s="14">
        <v>3.885082386</v>
      </c>
      <c r="O3369" s="14">
        <v>3.334169137</v>
      </c>
      <c r="P3369" s="14" t="s">
        <v>15668</v>
      </c>
      <c r="Q3369" s="14" t="s">
        <v>15669</v>
      </c>
      <c r="R3369" s="14" t="s">
        <v>15670</v>
      </c>
      <c r="S3369" s="14" t="s">
        <v>15671</v>
      </c>
      <c r="T3369" s="14" t="s">
        <v>15672</v>
      </c>
      <c r="U3369" s="14" t="s">
        <v>15673</v>
      </c>
    </row>
    <row r="3370" spans="1:21">
      <c r="A3370" s="14" t="s">
        <v>15674</v>
      </c>
      <c r="B3370" s="14">
        <v>6138.756002</v>
      </c>
      <c r="C3370" s="14">
        <v>2514.008277</v>
      </c>
      <c r="D3370" s="14">
        <v>9763.503727</v>
      </c>
      <c r="E3370" s="14">
        <v>3.883358752</v>
      </c>
      <c r="F3370" s="14">
        <v>1.957304992</v>
      </c>
      <c r="G3370" s="51" t="s">
        <v>15675</v>
      </c>
      <c r="H3370" s="51" t="s">
        <v>15676</v>
      </c>
      <c r="I3370" s="14" t="s">
        <v>164</v>
      </c>
      <c r="J3370" s="14">
        <v>164.7364313</v>
      </c>
      <c r="K3370" s="14">
        <v>93.52137164</v>
      </c>
      <c r="L3370" s="14">
        <v>106.1636537</v>
      </c>
      <c r="M3370" s="14">
        <v>14.1548831</v>
      </c>
      <c r="N3370" s="14">
        <v>29.32536273</v>
      </c>
      <c r="O3370" s="14">
        <v>34.92151924</v>
      </c>
      <c r="P3370" s="14" t="s">
        <v>15677</v>
      </c>
      <c r="Q3370" s="14" t="s">
        <v>15678</v>
      </c>
      <c r="T3370" s="14" t="s">
        <v>15679</v>
      </c>
      <c r="U3370" s="14" t="s">
        <v>15680</v>
      </c>
    </row>
    <row r="3371" spans="1:15">
      <c r="A3371" s="14" t="s">
        <v>15681</v>
      </c>
      <c r="B3371" s="14">
        <v>13.38857113</v>
      </c>
      <c r="C3371" s="14">
        <v>0.980073936</v>
      </c>
      <c r="D3371" s="14">
        <v>25.79706833</v>
      </c>
      <c r="E3371" s="14">
        <v>25.85872654</v>
      </c>
      <c r="F3371" s="14">
        <v>4.692579324</v>
      </c>
      <c r="G3371" s="51" t="s">
        <v>15682</v>
      </c>
      <c r="H3371" s="14">
        <v>0.000231513</v>
      </c>
      <c r="I3371" s="14" t="s">
        <v>164</v>
      </c>
      <c r="J3371" s="14">
        <v>5.272210454</v>
      </c>
      <c r="K3371" s="14">
        <v>2.041014347</v>
      </c>
      <c r="L3371" s="14">
        <v>3.254067223</v>
      </c>
      <c r="M3371" s="14">
        <v>0.11566347</v>
      </c>
      <c r="N3371" s="14">
        <v>0</v>
      </c>
      <c r="O3371" s="14">
        <v>0.2263264</v>
      </c>
    </row>
    <row r="3372" spans="1:21">
      <c r="A3372" s="14" t="s">
        <v>15683</v>
      </c>
      <c r="B3372" s="14">
        <v>733.8105981</v>
      </c>
      <c r="C3372" s="14">
        <v>406.4715605</v>
      </c>
      <c r="D3372" s="14">
        <v>1061.149636</v>
      </c>
      <c r="E3372" s="14">
        <v>2.611713901</v>
      </c>
      <c r="F3372" s="14">
        <v>1.384996866</v>
      </c>
      <c r="G3372" s="51" t="s">
        <v>15684</v>
      </c>
      <c r="H3372" s="51" t="s">
        <v>15685</v>
      </c>
      <c r="I3372" s="14" t="s">
        <v>164</v>
      </c>
      <c r="J3372" s="14">
        <v>10.09911781</v>
      </c>
      <c r="K3372" s="14">
        <v>9.344899663</v>
      </c>
      <c r="L3372" s="14">
        <v>6.966042689</v>
      </c>
      <c r="M3372" s="14">
        <v>2.936587979</v>
      </c>
      <c r="N3372" s="14">
        <v>3.060528331</v>
      </c>
      <c r="O3372" s="14">
        <v>2.27368295</v>
      </c>
      <c r="P3372" s="14" t="s">
        <v>15686</v>
      </c>
      <c r="Q3372" s="14" t="s">
        <v>15687</v>
      </c>
      <c r="T3372" s="14" t="s">
        <v>3007</v>
      </c>
      <c r="U3372" s="14" t="s">
        <v>3008</v>
      </c>
    </row>
    <row r="3373" spans="1:21">
      <c r="A3373" s="14" t="s">
        <v>15688</v>
      </c>
      <c r="B3373" s="14">
        <v>373.5965654</v>
      </c>
      <c r="C3373" s="14">
        <v>589.7790831</v>
      </c>
      <c r="D3373" s="14">
        <v>157.4140477</v>
      </c>
      <c r="E3373" s="14">
        <v>0.266888972</v>
      </c>
      <c r="F3373" s="14">
        <v>-1.905688403</v>
      </c>
      <c r="G3373" s="51" t="s">
        <v>15689</v>
      </c>
      <c r="H3373" s="51" t="s">
        <v>15690</v>
      </c>
      <c r="I3373" s="14" t="s">
        <v>147</v>
      </c>
      <c r="J3373" s="14">
        <v>0.42116871</v>
      </c>
      <c r="K3373" s="14">
        <v>1.121029944</v>
      </c>
      <c r="L3373" s="14">
        <v>0.684881693</v>
      </c>
      <c r="M3373" s="14">
        <v>2.494420814</v>
      </c>
      <c r="N3373" s="14">
        <v>2.489131961</v>
      </c>
      <c r="O3373" s="14">
        <v>1.833312635</v>
      </c>
      <c r="P3373" s="14" t="s">
        <v>9495</v>
      </c>
      <c r="Q3373" s="14" t="s">
        <v>9496</v>
      </c>
      <c r="T3373" s="14" t="s">
        <v>825</v>
      </c>
      <c r="U3373" s="14" t="s">
        <v>826</v>
      </c>
    </row>
    <row r="3374" spans="1:21">
      <c r="A3374" s="14" t="s">
        <v>15691</v>
      </c>
      <c r="B3374" s="14">
        <v>2.965657314</v>
      </c>
      <c r="C3374" s="14">
        <v>5.931314628</v>
      </c>
      <c r="D3374" s="14">
        <v>0</v>
      </c>
      <c r="E3374" s="14">
        <v>0.030352253</v>
      </c>
      <c r="F3374" s="14">
        <v>-5.042052585</v>
      </c>
      <c r="G3374" s="14">
        <v>0.012637488</v>
      </c>
      <c r="H3374" s="14">
        <v>0.032931659</v>
      </c>
      <c r="I3374" s="14" t="s">
        <v>147</v>
      </c>
      <c r="J3374" s="14">
        <v>0</v>
      </c>
      <c r="K3374" s="14">
        <v>0</v>
      </c>
      <c r="L3374" s="14">
        <v>0</v>
      </c>
      <c r="M3374" s="14">
        <v>0.057089112</v>
      </c>
      <c r="N3374" s="14">
        <v>0.127797193</v>
      </c>
      <c r="O3374" s="14">
        <v>0.148946748</v>
      </c>
      <c r="P3374" s="14" t="s">
        <v>15692</v>
      </c>
      <c r="Q3374" s="14" t="s">
        <v>15693</v>
      </c>
      <c r="T3374" s="14" t="s">
        <v>1608</v>
      </c>
      <c r="U3374" s="14" t="s">
        <v>1609</v>
      </c>
    </row>
    <row r="3375" spans="1:21">
      <c r="A3375" s="14" t="s">
        <v>15694</v>
      </c>
      <c r="B3375" s="14">
        <v>15908.32471</v>
      </c>
      <c r="C3375" s="14">
        <v>24613.2527</v>
      </c>
      <c r="D3375" s="14">
        <v>7203.396724</v>
      </c>
      <c r="E3375" s="14">
        <v>0.292653854</v>
      </c>
      <c r="F3375" s="14">
        <v>-1.772732819</v>
      </c>
      <c r="G3375" s="51" t="s">
        <v>15695</v>
      </c>
      <c r="H3375" s="51" t="s">
        <v>15696</v>
      </c>
      <c r="I3375" s="14" t="s">
        <v>147</v>
      </c>
      <c r="J3375" s="14">
        <v>117.0487485</v>
      </c>
      <c r="K3375" s="14">
        <v>115.3729205</v>
      </c>
      <c r="L3375" s="14">
        <v>97.84868054</v>
      </c>
      <c r="M3375" s="14">
        <v>300.4647948</v>
      </c>
      <c r="N3375" s="14">
        <v>296.2201992</v>
      </c>
      <c r="O3375" s="14">
        <v>334.519453</v>
      </c>
      <c r="P3375" s="14" t="s">
        <v>15697</v>
      </c>
      <c r="Q3375" s="14" t="s">
        <v>15698</v>
      </c>
      <c r="R3375" s="14" t="s">
        <v>6257</v>
      </c>
      <c r="S3375" s="14" t="s">
        <v>6258</v>
      </c>
      <c r="T3375" s="14" t="s">
        <v>15699</v>
      </c>
      <c r="U3375" s="14" t="s">
        <v>15700</v>
      </c>
    </row>
    <row r="3376" spans="1:15">
      <c r="A3376" s="14" t="s">
        <v>15701</v>
      </c>
      <c r="B3376" s="14">
        <v>21.8056059</v>
      </c>
      <c r="C3376" s="14">
        <v>5.261094417</v>
      </c>
      <c r="D3376" s="14">
        <v>38.35011739</v>
      </c>
      <c r="E3376" s="14">
        <v>7.403012292</v>
      </c>
      <c r="F3376" s="14">
        <v>2.888112424</v>
      </c>
      <c r="G3376" s="14">
        <v>0.000321813</v>
      </c>
      <c r="H3376" s="14">
        <v>0.001345648</v>
      </c>
      <c r="I3376" s="14" t="s">
        <v>164</v>
      </c>
      <c r="J3376" s="14">
        <v>1.43764498</v>
      </c>
      <c r="K3376" s="14">
        <v>1.139153335</v>
      </c>
      <c r="L3376" s="14">
        <v>0.971910144</v>
      </c>
      <c r="M3376" s="14">
        <v>0.235539848</v>
      </c>
      <c r="N3376" s="14">
        <v>0.125540289</v>
      </c>
      <c r="O3376" s="14">
        <v>0.02560536</v>
      </c>
    </row>
    <row r="3377" spans="1:21">
      <c r="A3377" s="14" t="s">
        <v>15702</v>
      </c>
      <c r="B3377" s="14">
        <v>940.0126543</v>
      </c>
      <c r="C3377" s="14">
        <v>1311.197551</v>
      </c>
      <c r="D3377" s="14">
        <v>568.8277578</v>
      </c>
      <c r="E3377" s="14">
        <v>0.4338739</v>
      </c>
      <c r="F3377" s="14">
        <v>-1.204652292</v>
      </c>
      <c r="G3377" s="51" t="s">
        <v>3605</v>
      </c>
      <c r="H3377" s="51" t="s">
        <v>3606</v>
      </c>
      <c r="I3377" s="14" t="s">
        <v>147</v>
      </c>
      <c r="J3377" s="14">
        <v>10.67061843</v>
      </c>
      <c r="K3377" s="14">
        <v>12.1311259</v>
      </c>
      <c r="L3377" s="14">
        <v>10.2372414</v>
      </c>
      <c r="M3377" s="14">
        <v>22.446643</v>
      </c>
      <c r="N3377" s="14">
        <v>21.75543662</v>
      </c>
      <c r="O3377" s="14">
        <v>18.10572019</v>
      </c>
      <c r="P3377" s="14" t="s">
        <v>15703</v>
      </c>
      <c r="Q3377" s="14" t="s">
        <v>15704</v>
      </c>
      <c r="T3377" s="14" t="s">
        <v>15705</v>
      </c>
      <c r="U3377" s="14" t="s">
        <v>15706</v>
      </c>
    </row>
    <row r="3378" spans="1:21">
      <c r="A3378" s="14" t="s">
        <v>15707</v>
      </c>
      <c r="B3378" s="14">
        <v>7877.034621</v>
      </c>
      <c r="C3378" s="14">
        <v>11041.17792</v>
      </c>
      <c r="D3378" s="14">
        <v>4712.891319</v>
      </c>
      <c r="E3378" s="14">
        <v>0.426852107</v>
      </c>
      <c r="F3378" s="14">
        <v>-1.228191794</v>
      </c>
      <c r="G3378" s="51" t="s">
        <v>15708</v>
      </c>
      <c r="H3378" s="14">
        <v>0.000271246</v>
      </c>
      <c r="I3378" s="14" t="s">
        <v>147</v>
      </c>
      <c r="J3378" s="14">
        <v>30.94095419</v>
      </c>
      <c r="K3378" s="14">
        <v>35.18138924</v>
      </c>
      <c r="L3378" s="14">
        <v>27.03568975</v>
      </c>
      <c r="M3378" s="14">
        <v>69.15385503</v>
      </c>
      <c r="N3378" s="14">
        <v>68.67280572</v>
      </c>
      <c r="O3378" s="14">
        <v>39.37337576</v>
      </c>
      <c r="Q3378" s="14" t="s">
        <v>15709</v>
      </c>
      <c r="R3378" s="14" t="s">
        <v>798</v>
      </c>
      <c r="S3378" s="14" t="s">
        <v>799</v>
      </c>
      <c r="T3378" s="14" t="s">
        <v>15710</v>
      </c>
      <c r="U3378" s="14" t="s">
        <v>15711</v>
      </c>
    </row>
    <row r="3379" spans="1:15">
      <c r="A3379" s="14" t="s">
        <v>15712</v>
      </c>
      <c r="B3379" s="14">
        <v>4346.649537</v>
      </c>
      <c r="C3379" s="14">
        <v>6077.076664</v>
      </c>
      <c r="D3379" s="14">
        <v>2616.222411</v>
      </c>
      <c r="E3379" s="14">
        <v>0.430517913</v>
      </c>
      <c r="F3379" s="14">
        <v>-1.215854828</v>
      </c>
      <c r="G3379" s="51" t="s">
        <v>15713</v>
      </c>
      <c r="H3379" s="51" t="s">
        <v>15714</v>
      </c>
      <c r="I3379" s="14" t="s">
        <v>147</v>
      </c>
      <c r="J3379" s="14">
        <v>32.03954516</v>
      </c>
      <c r="K3379" s="14">
        <v>36.87896522</v>
      </c>
      <c r="L3379" s="14">
        <v>29.49653541</v>
      </c>
      <c r="M3379" s="14">
        <v>71.17558404</v>
      </c>
      <c r="N3379" s="14">
        <v>67.42726697</v>
      </c>
      <c r="O3379" s="14">
        <v>47.67704223</v>
      </c>
    </row>
    <row r="3380" spans="1:15">
      <c r="A3380" s="14" t="s">
        <v>15715</v>
      </c>
      <c r="B3380" s="14">
        <v>6280.548524</v>
      </c>
      <c r="C3380" s="14">
        <v>8785.364406</v>
      </c>
      <c r="D3380" s="14">
        <v>3775.732642</v>
      </c>
      <c r="E3380" s="14">
        <v>0.429784888</v>
      </c>
      <c r="F3380" s="14">
        <v>-1.218313339</v>
      </c>
      <c r="G3380" s="51" t="s">
        <v>7026</v>
      </c>
      <c r="H3380" s="51" t="s">
        <v>15716</v>
      </c>
      <c r="I3380" s="14" t="s">
        <v>147</v>
      </c>
      <c r="J3380" s="14">
        <v>169.4191399</v>
      </c>
      <c r="K3380" s="14">
        <v>199.3160446</v>
      </c>
      <c r="L3380" s="14">
        <v>167.098279</v>
      </c>
      <c r="M3380" s="14">
        <v>382.4654332</v>
      </c>
      <c r="N3380" s="14">
        <v>373.1271517</v>
      </c>
      <c r="O3380" s="14">
        <v>260.2466388</v>
      </c>
    </row>
    <row r="3381" spans="1:21">
      <c r="A3381" s="14" t="s">
        <v>15717</v>
      </c>
      <c r="B3381" s="14">
        <v>4259.458337</v>
      </c>
      <c r="C3381" s="14">
        <v>1962.722675</v>
      </c>
      <c r="D3381" s="14">
        <v>6556.193998</v>
      </c>
      <c r="E3381" s="14">
        <v>3.340856047</v>
      </c>
      <c r="F3381" s="14">
        <v>1.74021782</v>
      </c>
      <c r="G3381" s="51" t="s">
        <v>15718</v>
      </c>
      <c r="H3381" s="51" t="s">
        <v>1980</v>
      </c>
      <c r="I3381" s="14" t="s">
        <v>164</v>
      </c>
      <c r="J3381" s="14">
        <v>44.00896412</v>
      </c>
      <c r="K3381" s="14">
        <v>51.93886904</v>
      </c>
      <c r="L3381" s="14">
        <v>39.96564254</v>
      </c>
      <c r="M3381" s="14">
        <v>12.72913096</v>
      </c>
      <c r="N3381" s="14">
        <v>10.64831244</v>
      </c>
      <c r="O3381" s="14">
        <v>9.935639432</v>
      </c>
      <c r="Q3381" s="14" t="s">
        <v>9415</v>
      </c>
      <c r="R3381" s="14" t="s">
        <v>9416</v>
      </c>
      <c r="S3381" s="14" t="s">
        <v>9417</v>
      </c>
      <c r="T3381" s="14" t="s">
        <v>9418</v>
      </c>
      <c r="U3381" s="14" t="s">
        <v>9419</v>
      </c>
    </row>
    <row r="3382" spans="1:15">
      <c r="A3382" s="14" t="s">
        <v>15719</v>
      </c>
      <c r="B3382" s="14">
        <v>159.797178</v>
      </c>
      <c r="C3382" s="14">
        <v>318.9453898</v>
      </c>
      <c r="D3382" s="14">
        <v>0.648966256</v>
      </c>
      <c r="E3382" s="14">
        <v>0.002041927</v>
      </c>
      <c r="F3382" s="14">
        <v>-8.935853158</v>
      </c>
      <c r="G3382" s="51" t="s">
        <v>15720</v>
      </c>
      <c r="H3382" s="51" t="s">
        <v>15721</v>
      </c>
      <c r="I3382" s="14" t="s">
        <v>147</v>
      </c>
      <c r="J3382" s="14">
        <v>0</v>
      </c>
      <c r="K3382" s="14">
        <v>0.06770355</v>
      </c>
      <c r="L3382" s="14">
        <v>0.064765416</v>
      </c>
      <c r="M3382" s="14">
        <v>25.66774528</v>
      </c>
      <c r="N3382" s="14">
        <v>25.50856795</v>
      </c>
      <c r="O3382" s="14">
        <v>0.168920796</v>
      </c>
    </row>
    <row r="3383" spans="1:17">
      <c r="A3383" s="14" t="s">
        <v>15722</v>
      </c>
      <c r="B3383" s="14">
        <v>49.57814116</v>
      </c>
      <c r="C3383" s="14">
        <v>79.72490994</v>
      </c>
      <c r="D3383" s="14">
        <v>19.43137238</v>
      </c>
      <c r="E3383" s="14">
        <v>0.243710267</v>
      </c>
      <c r="F3383" s="14">
        <v>-2.036761063</v>
      </c>
      <c r="G3383" s="14">
        <v>0.003704488</v>
      </c>
      <c r="H3383" s="14">
        <v>0.011444335</v>
      </c>
      <c r="I3383" s="14" t="s">
        <v>147</v>
      </c>
      <c r="J3383" s="14">
        <v>0.285945669</v>
      </c>
      <c r="K3383" s="14">
        <v>0.767500952</v>
      </c>
      <c r="L3383" s="14">
        <v>0.344153283</v>
      </c>
      <c r="M3383" s="14">
        <v>2.140718994</v>
      </c>
      <c r="N3383" s="14">
        <v>1.819049647</v>
      </c>
      <c r="O3383" s="14">
        <v>0.658253697</v>
      </c>
      <c r="Q3383" s="14" t="s">
        <v>15723</v>
      </c>
    </row>
    <row r="3384" spans="1:21">
      <c r="A3384" s="14" t="s">
        <v>15724</v>
      </c>
      <c r="B3384" s="14">
        <v>32.79684728</v>
      </c>
      <c r="C3384" s="14">
        <v>47.64307928</v>
      </c>
      <c r="D3384" s="14">
        <v>17.95061528</v>
      </c>
      <c r="E3384" s="14">
        <v>0.377293204</v>
      </c>
      <c r="F3384" s="14">
        <v>-1.406241981</v>
      </c>
      <c r="G3384" s="14">
        <v>0.016731433</v>
      </c>
      <c r="H3384" s="14">
        <v>0.041835628</v>
      </c>
      <c r="I3384" s="14" t="s">
        <v>147</v>
      </c>
      <c r="J3384" s="14">
        <v>0.594454467</v>
      </c>
      <c r="K3384" s="14">
        <v>0.427382984</v>
      </c>
      <c r="L3384" s="14">
        <v>0.517858706</v>
      </c>
      <c r="M3384" s="14">
        <v>1.017224184</v>
      </c>
      <c r="N3384" s="14">
        <v>1.67298144</v>
      </c>
      <c r="O3384" s="14">
        <v>0.616097913</v>
      </c>
      <c r="P3384" s="14" t="s">
        <v>15725</v>
      </c>
      <c r="Q3384" s="14" t="s">
        <v>15726</v>
      </c>
      <c r="T3384" s="14" t="s">
        <v>15727</v>
      </c>
      <c r="U3384" s="14" t="s">
        <v>15728</v>
      </c>
    </row>
    <row r="3385" spans="1:21">
      <c r="A3385" s="14" t="s">
        <v>15729</v>
      </c>
      <c r="B3385" s="14">
        <v>10292.52437</v>
      </c>
      <c r="C3385" s="14">
        <v>16984.21968</v>
      </c>
      <c r="D3385" s="14">
        <v>3600.829067</v>
      </c>
      <c r="E3385" s="14">
        <v>0.212019206</v>
      </c>
      <c r="F3385" s="14">
        <v>-2.237733136</v>
      </c>
      <c r="G3385" s="51" t="s">
        <v>15730</v>
      </c>
      <c r="H3385" s="51" t="s">
        <v>15731</v>
      </c>
      <c r="I3385" s="14" t="s">
        <v>147</v>
      </c>
      <c r="J3385" s="14">
        <v>20.7415362</v>
      </c>
      <c r="K3385" s="14">
        <v>20.0027596</v>
      </c>
      <c r="L3385" s="14">
        <v>22.01459551</v>
      </c>
      <c r="M3385" s="14">
        <v>84.82912045</v>
      </c>
      <c r="N3385" s="14">
        <v>83.67809032</v>
      </c>
      <c r="O3385" s="14">
        <v>73.81326922</v>
      </c>
      <c r="P3385" s="14" t="s">
        <v>15732</v>
      </c>
      <c r="Q3385" s="14" t="s">
        <v>15733</v>
      </c>
      <c r="T3385" s="14" t="s">
        <v>15734</v>
      </c>
      <c r="U3385" s="14" t="s">
        <v>15735</v>
      </c>
    </row>
    <row r="3386" spans="1:15">
      <c r="A3386" s="14" t="s">
        <v>15736</v>
      </c>
      <c r="B3386" s="14">
        <v>41.98508846</v>
      </c>
      <c r="C3386" s="14">
        <v>71.13261169</v>
      </c>
      <c r="D3386" s="14">
        <v>12.83756524</v>
      </c>
      <c r="E3386" s="14">
        <v>0.180144788</v>
      </c>
      <c r="F3386" s="14">
        <v>-2.472771186</v>
      </c>
      <c r="G3386" s="51" t="s">
        <v>6679</v>
      </c>
      <c r="H3386" s="51" t="s">
        <v>15737</v>
      </c>
      <c r="I3386" s="14" t="s">
        <v>147</v>
      </c>
      <c r="J3386" s="14">
        <v>0.335236707</v>
      </c>
      <c r="K3386" s="14">
        <v>0.74983502</v>
      </c>
      <c r="L3386" s="14">
        <v>0.358647194</v>
      </c>
      <c r="M3386" s="14">
        <v>2.294614</v>
      </c>
      <c r="N3386" s="14">
        <v>2.476585933</v>
      </c>
      <c r="O3386" s="14">
        <v>1.777301068</v>
      </c>
    </row>
    <row r="3387" spans="1:21">
      <c r="A3387" s="14" t="s">
        <v>15738</v>
      </c>
      <c r="B3387" s="14">
        <v>388.8327124</v>
      </c>
      <c r="C3387" s="14">
        <v>234.7669478</v>
      </c>
      <c r="D3387" s="14">
        <v>542.898477</v>
      </c>
      <c r="E3387" s="14">
        <v>2.310437947</v>
      </c>
      <c r="F3387" s="14">
        <v>1.208166342</v>
      </c>
      <c r="G3387" s="51" t="s">
        <v>15739</v>
      </c>
      <c r="H3387" s="51" t="s">
        <v>15740</v>
      </c>
      <c r="I3387" s="14" t="s">
        <v>164</v>
      </c>
      <c r="J3387" s="14">
        <v>3.649635791</v>
      </c>
      <c r="K3387" s="14">
        <v>2.822447481</v>
      </c>
      <c r="L3387" s="14">
        <v>3.537476766</v>
      </c>
      <c r="M3387" s="14">
        <v>1.004439242</v>
      </c>
      <c r="N3387" s="14">
        <v>1.11342884</v>
      </c>
      <c r="O3387" s="14">
        <v>1.471543853</v>
      </c>
      <c r="P3387" s="14" t="s">
        <v>2352</v>
      </c>
      <c r="Q3387" s="14" t="s">
        <v>2353</v>
      </c>
      <c r="T3387" s="14" t="s">
        <v>2354</v>
      </c>
      <c r="U3387" s="14" t="s">
        <v>2355</v>
      </c>
    </row>
    <row r="3388" spans="1:21">
      <c r="A3388" s="14" t="s">
        <v>15741</v>
      </c>
      <c r="B3388" s="14">
        <v>4556.69834</v>
      </c>
      <c r="C3388" s="14">
        <v>2600.364786</v>
      </c>
      <c r="D3388" s="14">
        <v>6513.031894</v>
      </c>
      <c r="E3388" s="14">
        <v>2.504386356</v>
      </c>
      <c r="F3388" s="14">
        <v>1.324457146</v>
      </c>
      <c r="G3388" s="51" t="s">
        <v>5050</v>
      </c>
      <c r="H3388" s="14">
        <v>0.000102471</v>
      </c>
      <c r="I3388" s="14" t="s">
        <v>164</v>
      </c>
      <c r="J3388" s="14">
        <v>20.2504215</v>
      </c>
      <c r="K3388" s="14">
        <v>28.2109687</v>
      </c>
      <c r="L3388" s="14">
        <v>26.42020902</v>
      </c>
      <c r="M3388" s="14">
        <v>5.511243149</v>
      </c>
      <c r="N3388" s="14">
        <v>6.798509617</v>
      </c>
      <c r="O3388" s="14">
        <v>12.81459707</v>
      </c>
      <c r="P3388" s="14" t="s">
        <v>15742</v>
      </c>
      <c r="Q3388" s="14" t="s">
        <v>15743</v>
      </c>
      <c r="R3388" s="14" t="s">
        <v>15744</v>
      </c>
      <c r="S3388" s="14" t="s">
        <v>15745</v>
      </c>
      <c r="T3388" s="14" t="s">
        <v>15746</v>
      </c>
      <c r="U3388" s="14" t="s">
        <v>15747</v>
      </c>
    </row>
    <row r="3389" spans="1:21">
      <c r="A3389" s="14" t="s">
        <v>15748</v>
      </c>
      <c r="B3389" s="14">
        <v>659.4441991</v>
      </c>
      <c r="C3389" s="14">
        <v>172.3781526</v>
      </c>
      <c r="D3389" s="14">
        <v>1146.510246</v>
      </c>
      <c r="E3389" s="14">
        <v>6.644169055</v>
      </c>
      <c r="F3389" s="14">
        <v>2.732088782</v>
      </c>
      <c r="G3389" s="51" t="s">
        <v>15749</v>
      </c>
      <c r="H3389" s="51" t="s">
        <v>2211</v>
      </c>
      <c r="I3389" s="14" t="s">
        <v>164</v>
      </c>
      <c r="J3389" s="14">
        <v>15.07469636</v>
      </c>
      <c r="K3389" s="14">
        <v>28.38787169</v>
      </c>
      <c r="L3389" s="14">
        <v>17.28257537</v>
      </c>
      <c r="M3389" s="14">
        <v>1.709712392</v>
      </c>
      <c r="N3389" s="14">
        <v>1.669042662</v>
      </c>
      <c r="O3389" s="14">
        <v>4.357964228</v>
      </c>
      <c r="P3389" s="14" t="s">
        <v>15750</v>
      </c>
      <c r="Q3389" s="14" t="s">
        <v>15751</v>
      </c>
      <c r="R3389" s="14" t="s">
        <v>341</v>
      </c>
      <c r="S3389" s="14" t="s">
        <v>342</v>
      </c>
      <c r="T3389" s="14" t="s">
        <v>15752</v>
      </c>
      <c r="U3389" s="14" t="s">
        <v>15753</v>
      </c>
    </row>
    <row r="3390" spans="1:21">
      <c r="A3390" s="14" t="s">
        <v>15754</v>
      </c>
      <c r="B3390" s="14">
        <v>2.979620956</v>
      </c>
      <c r="C3390" s="14">
        <v>0</v>
      </c>
      <c r="D3390" s="14">
        <v>5.959241913</v>
      </c>
      <c r="E3390" s="14">
        <v>32.11215452</v>
      </c>
      <c r="F3390" s="14">
        <v>5.005047559</v>
      </c>
      <c r="G3390" s="14">
        <v>0.0166459</v>
      </c>
      <c r="H3390" s="14">
        <v>0.041656844</v>
      </c>
      <c r="I3390" s="14" t="s">
        <v>164</v>
      </c>
      <c r="J3390" s="14">
        <v>0.053089849</v>
      </c>
      <c r="K3390" s="14">
        <v>0.106873037</v>
      </c>
      <c r="L3390" s="14">
        <v>0.030670519</v>
      </c>
      <c r="M3390" s="14">
        <v>0</v>
      </c>
      <c r="N3390" s="14">
        <v>0</v>
      </c>
      <c r="O3390" s="14">
        <v>0</v>
      </c>
      <c r="P3390" s="14" t="s">
        <v>9275</v>
      </c>
      <c r="Q3390" s="14" t="s">
        <v>9276</v>
      </c>
      <c r="T3390" s="14" t="s">
        <v>9277</v>
      </c>
      <c r="U3390" s="14" t="s">
        <v>9278</v>
      </c>
    </row>
    <row r="3391" spans="1:21">
      <c r="A3391" s="14" t="s">
        <v>15755</v>
      </c>
      <c r="B3391" s="14">
        <v>15.55907989</v>
      </c>
      <c r="C3391" s="14">
        <v>27.87270155</v>
      </c>
      <c r="D3391" s="14">
        <v>3.24545823</v>
      </c>
      <c r="E3391" s="14">
        <v>0.116684919</v>
      </c>
      <c r="F3391" s="14">
        <v>-3.099309986</v>
      </c>
      <c r="G3391" s="51" t="s">
        <v>11264</v>
      </c>
      <c r="H3391" s="14">
        <v>0.000256153</v>
      </c>
      <c r="I3391" s="14" t="s">
        <v>147</v>
      </c>
      <c r="J3391" s="14">
        <v>0.198232483</v>
      </c>
      <c r="K3391" s="14">
        <v>0.039905383</v>
      </c>
      <c r="L3391" s="14">
        <v>0.152694428</v>
      </c>
      <c r="M3391" s="14">
        <v>0.746269312</v>
      </c>
      <c r="N3391" s="14">
        <v>0.813587283</v>
      </c>
      <c r="O3391" s="14">
        <v>1.227958331</v>
      </c>
      <c r="P3391" s="14" t="s">
        <v>15756</v>
      </c>
      <c r="Q3391" s="14" t="s">
        <v>15757</v>
      </c>
      <c r="T3391" s="14" t="s">
        <v>15758</v>
      </c>
      <c r="U3391" s="14" t="s">
        <v>15759</v>
      </c>
    </row>
    <row r="3392" spans="1:15">
      <c r="A3392" s="14" t="s">
        <v>15760</v>
      </c>
      <c r="B3392" s="14">
        <v>2139.318824</v>
      </c>
      <c r="C3392" s="14">
        <v>3592.133841</v>
      </c>
      <c r="D3392" s="14">
        <v>686.503807</v>
      </c>
      <c r="E3392" s="14">
        <v>0.191124541</v>
      </c>
      <c r="F3392" s="14">
        <v>-2.387415059</v>
      </c>
      <c r="G3392" s="51" t="s">
        <v>15761</v>
      </c>
      <c r="H3392" s="51" t="s">
        <v>15762</v>
      </c>
      <c r="I3392" s="14" t="s">
        <v>147</v>
      </c>
      <c r="J3392" s="14">
        <v>18.5030916</v>
      </c>
      <c r="K3392" s="14">
        <v>20.08022046</v>
      </c>
      <c r="L3392" s="14">
        <v>19.26237905</v>
      </c>
      <c r="M3392" s="14">
        <v>95.98674467</v>
      </c>
      <c r="N3392" s="14">
        <v>96.29030941</v>
      </c>
      <c r="O3392" s="14">
        <v>53.0350245</v>
      </c>
    </row>
    <row r="3393" spans="1:21">
      <c r="A3393" s="14" t="s">
        <v>15763</v>
      </c>
      <c r="B3393" s="14">
        <v>255.4605389</v>
      </c>
      <c r="C3393" s="14">
        <v>395.2313116</v>
      </c>
      <c r="D3393" s="14">
        <v>115.6897662</v>
      </c>
      <c r="E3393" s="14">
        <v>0.2928321</v>
      </c>
      <c r="F3393" s="14">
        <v>-1.771854384</v>
      </c>
      <c r="G3393" s="51" t="s">
        <v>15764</v>
      </c>
      <c r="H3393" s="51" t="s">
        <v>15765</v>
      </c>
      <c r="I3393" s="14" t="s">
        <v>147</v>
      </c>
      <c r="J3393" s="14">
        <v>2.117869812</v>
      </c>
      <c r="K3393" s="14">
        <v>1.784678422</v>
      </c>
      <c r="L3393" s="14">
        <v>1.849497686</v>
      </c>
      <c r="M3393" s="14">
        <v>6.222735794</v>
      </c>
      <c r="N3393" s="14">
        <v>6.549454742</v>
      </c>
      <c r="O3393" s="14">
        <v>3.119697584</v>
      </c>
      <c r="P3393" s="14" t="s">
        <v>15766</v>
      </c>
      <c r="Q3393" s="14" t="s">
        <v>15767</v>
      </c>
      <c r="T3393" s="14" t="s">
        <v>15768</v>
      </c>
      <c r="U3393" s="14" t="s">
        <v>15769</v>
      </c>
    </row>
    <row r="3394" spans="1:21">
      <c r="A3394" s="14" t="s">
        <v>15770</v>
      </c>
      <c r="B3394" s="14">
        <v>24.81338682</v>
      </c>
      <c r="C3394" s="14">
        <v>14.32212358</v>
      </c>
      <c r="D3394" s="14">
        <v>35.30465007</v>
      </c>
      <c r="E3394" s="14">
        <v>2.460551739</v>
      </c>
      <c r="F3394" s="14">
        <v>1.298981853</v>
      </c>
      <c r="G3394" s="14">
        <v>0.019541554</v>
      </c>
      <c r="H3394" s="14">
        <v>0.047650841</v>
      </c>
      <c r="I3394" s="14" t="s">
        <v>164</v>
      </c>
      <c r="J3394" s="14">
        <v>0.671297236</v>
      </c>
      <c r="K3394" s="14">
        <v>0.411283916</v>
      </c>
      <c r="L3394" s="14">
        <v>0.477742992</v>
      </c>
      <c r="M3394" s="14">
        <v>0.187290769</v>
      </c>
      <c r="N3394" s="14">
        <v>0.095831071</v>
      </c>
      <c r="O3394" s="14">
        <v>0.244322865</v>
      </c>
      <c r="P3394" s="14" t="s">
        <v>15771</v>
      </c>
      <c r="Q3394" s="14" t="s">
        <v>15772</v>
      </c>
      <c r="T3394" s="14" t="s">
        <v>15773</v>
      </c>
      <c r="U3394" s="14" t="s">
        <v>15774</v>
      </c>
    </row>
    <row r="3395" spans="1:21">
      <c r="A3395" s="14" t="s">
        <v>15775</v>
      </c>
      <c r="B3395" s="14">
        <v>168.0126821</v>
      </c>
      <c r="C3395" s="14">
        <v>92.68733435</v>
      </c>
      <c r="D3395" s="14">
        <v>243.3380298</v>
      </c>
      <c r="E3395" s="14">
        <v>2.62099632</v>
      </c>
      <c r="F3395" s="14">
        <v>1.390115328</v>
      </c>
      <c r="G3395" s="14">
        <v>0.016779985</v>
      </c>
      <c r="H3395" s="14">
        <v>0.041924625</v>
      </c>
      <c r="I3395" s="14" t="s">
        <v>164</v>
      </c>
      <c r="J3395" s="14">
        <v>5.373156372</v>
      </c>
      <c r="K3395" s="14">
        <v>7.016098225</v>
      </c>
      <c r="L3395" s="14">
        <v>5.429887194</v>
      </c>
      <c r="M3395" s="14">
        <v>1.056123649</v>
      </c>
      <c r="N3395" s="14">
        <v>0.854287963</v>
      </c>
      <c r="O3395" s="14">
        <v>3.910307437</v>
      </c>
      <c r="P3395" s="14" t="s">
        <v>15776</v>
      </c>
      <c r="Q3395" s="14" t="s">
        <v>15777</v>
      </c>
      <c r="T3395" s="14" t="s">
        <v>15778</v>
      </c>
      <c r="U3395" s="14" t="s">
        <v>15779</v>
      </c>
    </row>
    <row r="3396" spans="1:15">
      <c r="A3396" s="14" t="s">
        <v>15780</v>
      </c>
      <c r="B3396" s="14">
        <v>2122.265637</v>
      </c>
      <c r="C3396" s="14">
        <v>2844.745318</v>
      </c>
      <c r="D3396" s="14">
        <v>1399.785957</v>
      </c>
      <c r="E3396" s="14">
        <v>0.49215582</v>
      </c>
      <c r="F3396" s="14">
        <v>-1.02281294</v>
      </c>
      <c r="G3396" s="51" t="s">
        <v>15781</v>
      </c>
      <c r="H3396" s="51" t="s">
        <v>6249</v>
      </c>
      <c r="I3396" s="14" t="s">
        <v>147</v>
      </c>
      <c r="J3396" s="14">
        <v>19.41421971</v>
      </c>
      <c r="K3396" s="14">
        <v>19.01285711</v>
      </c>
      <c r="L3396" s="14">
        <v>20.12884592</v>
      </c>
      <c r="M3396" s="14">
        <v>34.7572473</v>
      </c>
      <c r="N3396" s="14">
        <v>31.871996</v>
      </c>
      <c r="O3396" s="14">
        <v>30.91971595</v>
      </c>
    </row>
    <row r="3397" spans="1:21">
      <c r="A3397" s="14" t="s">
        <v>15782</v>
      </c>
      <c r="B3397" s="14">
        <v>29.37413132</v>
      </c>
      <c r="C3397" s="14">
        <v>5.388852702</v>
      </c>
      <c r="D3397" s="14">
        <v>53.35940994</v>
      </c>
      <c r="E3397" s="14">
        <v>9.925042891</v>
      </c>
      <c r="F3397" s="14">
        <v>3.311073337</v>
      </c>
      <c r="G3397" s="51" t="s">
        <v>15783</v>
      </c>
      <c r="H3397" s="51" t="s">
        <v>15784</v>
      </c>
      <c r="I3397" s="14" t="s">
        <v>164</v>
      </c>
      <c r="J3397" s="14">
        <v>1.896288443</v>
      </c>
      <c r="K3397" s="14">
        <v>1.22700276</v>
      </c>
      <c r="L3397" s="14">
        <v>1.25200475</v>
      </c>
      <c r="M3397" s="14">
        <v>0.115889596</v>
      </c>
      <c r="N3397" s="14">
        <v>0.133418771</v>
      </c>
      <c r="O3397" s="14">
        <v>0.113384438</v>
      </c>
      <c r="P3397" s="14" t="s">
        <v>15785</v>
      </c>
      <c r="Q3397" s="14" t="s">
        <v>15786</v>
      </c>
      <c r="T3397" s="14" t="s">
        <v>15787</v>
      </c>
      <c r="U3397" s="14" t="s">
        <v>15788</v>
      </c>
    </row>
    <row r="3398" spans="1:21">
      <c r="A3398" s="14" t="s">
        <v>15789</v>
      </c>
      <c r="B3398" s="14">
        <v>8.174686514</v>
      </c>
      <c r="C3398" s="14">
        <v>1.914331135</v>
      </c>
      <c r="D3398" s="14">
        <v>14.43504189</v>
      </c>
      <c r="E3398" s="14">
        <v>7.351458879</v>
      </c>
      <c r="F3398" s="14">
        <v>2.878030578</v>
      </c>
      <c r="G3398" s="14">
        <v>0.006625085</v>
      </c>
      <c r="H3398" s="14">
        <v>0.018879001</v>
      </c>
      <c r="I3398" s="14" t="s">
        <v>164</v>
      </c>
      <c r="J3398" s="14">
        <v>0.628159092</v>
      </c>
      <c r="K3398" s="14">
        <v>0.557877255</v>
      </c>
      <c r="L3398" s="14">
        <v>0.42693362</v>
      </c>
      <c r="M3398" s="14">
        <v>0</v>
      </c>
      <c r="N3398" s="14">
        <v>0.060661068</v>
      </c>
      <c r="O3398" s="14">
        <v>0.123725099</v>
      </c>
      <c r="P3398" s="14" t="s">
        <v>15790</v>
      </c>
      <c r="Q3398" s="14" t="s">
        <v>15791</v>
      </c>
      <c r="T3398" s="14" t="s">
        <v>15792</v>
      </c>
      <c r="U3398" s="14" t="s">
        <v>15793</v>
      </c>
    </row>
    <row r="3399" spans="1:21">
      <c r="A3399" s="14" t="s">
        <v>15794</v>
      </c>
      <c r="B3399" s="14">
        <v>1472.937599</v>
      </c>
      <c r="C3399" s="14">
        <v>957.5133492</v>
      </c>
      <c r="D3399" s="14">
        <v>1988.36185</v>
      </c>
      <c r="E3399" s="14">
        <v>2.077067023</v>
      </c>
      <c r="F3399" s="14">
        <v>1.05454777</v>
      </c>
      <c r="G3399" s="14">
        <v>0.000119195</v>
      </c>
      <c r="H3399" s="14">
        <v>0.000554654</v>
      </c>
      <c r="I3399" s="14" t="s">
        <v>164</v>
      </c>
      <c r="J3399" s="14">
        <v>21.16614061</v>
      </c>
      <c r="K3399" s="14">
        <v>19.56098633</v>
      </c>
      <c r="L3399" s="14">
        <v>21.38241762</v>
      </c>
      <c r="M3399" s="14">
        <v>8.221228631</v>
      </c>
      <c r="N3399" s="14">
        <v>10.29071686</v>
      </c>
      <c r="O3399" s="14">
        <v>5.808244388</v>
      </c>
      <c r="P3399" s="14" t="s">
        <v>15795</v>
      </c>
      <c r="Q3399" s="14" t="s">
        <v>15796</v>
      </c>
      <c r="T3399" s="14" t="s">
        <v>15797</v>
      </c>
      <c r="U3399" s="14" t="s">
        <v>15798</v>
      </c>
    </row>
    <row r="3400" spans="1:21">
      <c r="A3400" s="14" t="s">
        <v>15799</v>
      </c>
      <c r="B3400" s="14">
        <v>1352.512638</v>
      </c>
      <c r="C3400" s="14">
        <v>1817.154747</v>
      </c>
      <c r="D3400" s="14">
        <v>887.8705283</v>
      </c>
      <c r="E3400" s="14">
        <v>0.488633234</v>
      </c>
      <c r="F3400" s="14">
        <v>-1.033176104</v>
      </c>
      <c r="G3400" s="14">
        <v>0.000226734</v>
      </c>
      <c r="H3400" s="14">
        <v>0.000980769</v>
      </c>
      <c r="I3400" s="14" t="s">
        <v>147</v>
      </c>
      <c r="J3400" s="14">
        <v>10.10955321</v>
      </c>
      <c r="K3400" s="14">
        <v>15.85396076</v>
      </c>
      <c r="L3400" s="14">
        <v>12.02112201</v>
      </c>
      <c r="M3400" s="14">
        <v>22.4891684</v>
      </c>
      <c r="N3400" s="14">
        <v>24.29150795</v>
      </c>
      <c r="O3400" s="14">
        <v>16.65317737</v>
      </c>
      <c r="P3400" s="14" t="s">
        <v>15800</v>
      </c>
      <c r="Q3400" s="14" t="s">
        <v>15801</v>
      </c>
      <c r="T3400" s="14" t="s">
        <v>15802</v>
      </c>
      <c r="U3400" s="14" t="s">
        <v>15803</v>
      </c>
    </row>
    <row r="3401" spans="1:15">
      <c r="A3401" s="14" t="s">
        <v>15804</v>
      </c>
      <c r="B3401" s="14">
        <v>73.11448379</v>
      </c>
      <c r="C3401" s="14">
        <v>45.93068243</v>
      </c>
      <c r="D3401" s="14">
        <v>100.2982851</v>
      </c>
      <c r="E3401" s="14">
        <v>2.178497468</v>
      </c>
      <c r="F3401" s="14">
        <v>1.123333436</v>
      </c>
      <c r="G3401" s="14">
        <v>0.000139939</v>
      </c>
      <c r="H3401" s="14">
        <v>0.000639983</v>
      </c>
      <c r="I3401" s="14" t="s">
        <v>164</v>
      </c>
      <c r="J3401" s="14">
        <v>0.9791948</v>
      </c>
      <c r="K3401" s="14">
        <v>0.756184521</v>
      </c>
      <c r="L3401" s="14">
        <v>0.829028884</v>
      </c>
      <c r="M3401" s="14">
        <v>0.260004998</v>
      </c>
      <c r="N3401" s="14">
        <v>0.318733908</v>
      </c>
      <c r="O3401" s="14">
        <v>0.395709271</v>
      </c>
    </row>
    <row r="3402" spans="1:21">
      <c r="A3402" s="14" t="s">
        <v>15805</v>
      </c>
      <c r="B3402" s="14">
        <v>397.517621</v>
      </c>
      <c r="C3402" s="14">
        <v>604.5337061</v>
      </c>
      <c r="D3402" s="14">
        <v>190.501536</v>
      </c>
      <c r="E3402" s="14">
        <v>0.315196783</v>
      </c>
      <c r="F3402" s="14">
        <v>-1.665675285</v>
      </c>
      <c r="G3402" s="51" t="s">
        <v>15806</v>
      </c>
      <c r="H3402" s="51" t="s">
        <v>15807</v>
      </c>
      <c r="I3402" s="14" t="s">
        <v>147</v>
      </c>
      <c r="J3402" s="14">
        <v>4.057525784</v>
      </c>
      <c r="K3402" s="14">
        <v>4.084020898</v>
      </c>
      <c r="L3402" s="14">
        <v>3.55517564</v>
      </c>
      <c r="M3402" s="14">
        <v>11.85550567</v>
      </c>
      <c r="N3402" s="14">
        <v>10.35812157</v>
      </c>
      <c r="O3402" s="14">
        <v>8.049830281</v>
      </c>
      <c r="P3402" s="14" t="s">
        <v>15808</v>
      </c>
      <c r="Q3402" s="14" t="s">
        <v>15809</v>
      </c>
      <c r="T3402" s="14" t="s">
        <v>15810</v>
      </c>
      <c r="U3402" s="14" t="s">
        <v>15811</v>
      </c>
    </row>
    <row r="3403" spans="1:17">
      <c r="A3403" s="14" t="s">
        <v>15812</v>
      </c>
      <c r="B3403" s="14">
        <v>8380.572205</v>
      </c>
      <c r="C3403" s="14">
        <v>4157.2633</v>
      </c>
      <c r="D3403" s="14">
        <v>12603.88111</v>
      </c>
      <c r="E3403" s="14">
        <v>3.031834301</v>
      </c>
      <c r="F3403" s="14">
        <v>1.600190908</v>
      </c>
      <c r="G3403" s="51" t="s">
        <v>15813</v>
      </c>
      <c r="H3403" s="51" t="s">
        <v>15814</v>
      </c>
      <c r="I3403" s="14" t="s">
        <v>164</v>
      </c>
      <c r="J3403" s="14">
        <v>229.7448047</v>
      </c>
      <c r="K3403" s="14">
        <v>341.843218</v>
      </c>
      <c r="L3403" s="14">
        <v>232.8340861</v>
      </c>
      <c r="M3403" s="14">
        <v>70.91633016</v>
      </c>
      <c r="N3403" s="14">
        <v>77.75519961</v>
      </c>
      <c r="O3403" s="14">
        <v>69.43635357</v>
      </c>
      <c r="P3403" s="14" t="s">
        <v>15815</v>
      </c>
      <c r="Q3403" s="14" t="s">
        <v>15816</v>
      </c>
    </row>
    <row r="3404" spans="1:21">
      <c r="A3404" s="14" t="s">
        <v>15817</v>
      </c>
      <c r="B3404" s="14">
        <v>5947.993974</v>
      </c>
      <c r="C3404" s="14">
        <v>8453.780559</v>
      </c>
      <c r="D3404" s="14">
        <v>3442.207389</v>
      </c>
      <c r="E3404" s="14">
        <v>0.407186001</v>
      </c>
      <c r="F3404" s="14">
        <v>-1.296240132</v>
      </c>
      <c r="G3404" s="51" t="s">
        <v>2072</v>
      </c>
      <c r="H3404" s="51" t="s">
        <v>11175</v>
      </c>
      <c r="I3404" s="14" t="s">
        <v>147</v>
      </c>
      <c r="J3404" s="14">
        <v>8.109421912</v>
      </c>
      <c r="K3404" s="14">
        <v>11.61600633</v>
      </c>
      <c r="L3404" s="14">
        <v>8.816166581</v>
      </c>
      <c r="M3404" s="14">
        <v>21.61707016</v>
      </c>
      <c r="N3404" s="14">
        <v>21.9672911</v>
      </c>
      <c r="O3404" s="14">
        <v>13.41390155</v>
      </c>
      <c r="P3404" s="14" t="s">
        <v>15818</v>
      </c>
      <c r="Q3404" s="14" t="s">
        <v>15819</v>
      </c>
      <c r="R3404" s="14" t="s">
        <v>1036</v>
      </c>
      <c r="S3404" s="14" t="s">
        <v>1037</v>
      </c>
      <c r="T3404" s="14" t="s">
        <v>1038</v>
      </c>
      <c r="U3404" s="14" t="s">
        <v>1039</v>
      </c>
    </row>
    <row r="3405" spans="1:21">
      <c r="A3405" s="14" t="s">
        <v>15820</v>
      </c>
      <c r="B3405" s="14">
        <v>241.2102776</v>
      </c>
      <c r="C3405" s="14">
        <v>473.9637477</v>
      </c>
      <c r="D3405" s="14">
        <v>8.456807603</v>
      </c>
      <c r="E3405" s="14">
        <v>0.017854481</v>
      </c>
      <c r="F3405" s="14">
        <v>-5.807569987</v>
      </c>
      <c r="G3405" s="51" t="s">
        <v>4012</v>
      </c>
      <c r="H3405" s="51" t="s">
        <v>11479</v>
      </c>
      <c r="I3405" s="14" t="s">
        <v>147</v>
      </c>
      <c r="J3405" s="14">
        <v>0.122623456</v>
      </c>
      <c r="K3405" s="14">
        <v>0.056101896</v>
      </c>
      <c r="L3405" s="14">
        <v>0.107334478</v>
      </c>
      <c r="M3405" s="14">
        <v>4.673529989</v>
      </c>
      <c r="N3405" s="14">
        <v>7.82359407</v>
      </c>
      <c r="O3405" s="14">
        <v>0.205296071</v>
      </c>
      <c r="P3405" s="14" t="s">
        <v>15821</v>
      </c>
      <c r="Q3405" s="14" t="s">
        <v>15822</v>
      </c>
      <c r="T3405" s="14" t="s">
        <v>3291</v>
      </c>
      <c r="U3405" s="14" t="s">
        <v>3292</v>
      </c>
    </row>
    <row r="3406" spans="1:21">
      <c r="A3406" s="14" t="s">
        <v>15823</v>
      </c>
      <c r="B3406" s="14">
        <v>2441.394004</v>
      </c>
      <c r="C3406" s="14">
        <v>4298.93464</v>
      </c>
      <c r="D3406" s="14">
        <v>583.8533681</v>
      </c>
      <c r="E3406" s="14">
        <v>0.135813677</v>
      </c>
      <c r="F3406" s="14">
        <v>-2.88029932</v>
      </c>
      <c r="G3406" s="51" t="s">
        <v>15824</v>
      </c>
      <c r="H3406" s="51" t="s">
        <v>15825</v>
      </c>
      <c r="I3406" s="14" t="s">
        <v>147</v>
      </c>
      <c r="J3406" s="14">
        <v>3.106281223</v>
      </c>
      <c r="K3406" s="14">
        <v>4.162622593</v>
      </c>
      <c r="L3406" s="14">
        <v>3.495225788</v>
      </c>
      <c r="M3406" s="14">
        <v>25.67563799</v>
      </c>
      <c r="N3406" s="14">
        <v>20.13814129</v>
      </c>
      <c r="O3406" s="14">
        <v>18.9768469</v>
      </c>
      <c r="P3406" s="14" t="s">
        <v>15826</v>
      </c>
      <c r="Q3406" s="14" t="s">
        <v>15827</v>
      </c>
      <c r="R3406" s="14" t="s">
        <v>4529</v>
      </c>
      <c r="S3406" s="14" t="s">
        <v>4530</v>
      </c>
      <c r="T3406" s="14" t="s">
        <v>15828</v>
      </c>
      <c r="U3406" s="14" t="s">
        <v>15829</v>
      </c>
    </row>
    <row r="3407" spans="1:21">
      <c r="A3407" s="14" t="s">
        <v>15830</v>
      </c>
      <c r="B3407" s="14">
        <v>3155.007039</v>
      </c>
      <c r="C3407" s="14">
        <v>1587.720502</v>
      </c>
      <c r="D3407" s="14">
        <v>4722.293577</v>
      </c>
      <c r="E3407" s="14">
        <v>2.974903553</v>
      </c>
      <c r="F3407" s="14">
        <v>1.572842897</v>
      </c>
      <c r="G3407" s="51" t="s">
        <v>4957</v>
      </c>
      <c r="H3407" s="51" t="s">
        <v>7813</v>
      </c>
      <c r="I3407" s="14" t="s">
        <v>164</v>
      </c>
      <c r="J3407" s="14">
        <v>29.77007627</v>
      </c>
      <c r="K3407" s="14">
        <v>34.01996167</v>
      </c>
      <c r="L3407" s="14">
        <v>29.86264415</v>
      </c>
      <c r="M3407" s="14">
        <v>9.04718021</v>
      </c>
      <c r="N3407" s="14">
        <v>9.007738346</v>
      </c>
      <c r="O3407" s="14">
        <v>7.73281868</v>
      </c>
      <c r="P3407" s="14" t="s">
        <v>15831</v>
      </c>
      <c r="Q3407" s="14" t="s">
        <v>15832</v>
      </c>
      <c r="T3407" s="14" t="s">
        <v>15833</v>
      </c>
      <c r="U3407" s="14" t="s">
        <v>15834</v>
      </c>
    </row>
    <row r="3408" spans="1:21">
      <c r="A3408" s="14" t="s">
        <v>15835</v>
      </c>
      <c r="B3408" s="14">
        <v>1509.972876</v>
      </c>
      <c r="C3408" s="14">
        <v>2083.344282</v>
      </c>
      <c r="D3408" s="14">
        <v>936.601469</v>
      </c>
      <c r="E3408" s="14">
        <v>0.449581111</v>
      </c>
      <c r="F3408" s="14">
        <v>-1.153346673</v>
      </c>
      <c r="G3408" s="51" t="s">
        <v>15836</v>
      </c>
      <c r="H3408" s="51" t="s">
        <v>15837</v>
      </c>
      <c r="I3408" s="14" t="s">
        <v>147</v>
      </c>
      <c r="J3408" s="14">
        <v>13.08664774</v>
      </c>
      <c r="K3408" s="14">
        <v>14.75045828</v>
      </c>
      <c r="L3408" s="14">
        <v>12.57301941</v>
      </c>
      <c r="M3408" s="14">
        <v>25.61374681</v>
      </c>
      <c r="N3408" s="14">
        <v>24.37442211</v>
      </c>
      <c r="O3408" s="14">
        <v>23.83092424</v>
      </c>
      <c r="P3408" s="14" t="s">
        <v>15838</v>
      </c>
      <c r="Q3408" s="14" t="s">
        <v>15839</v>
      </c>
      <c r="T3408" s="14" t="s">
        <v>15840</v>
      </c>
      <c r="U3408" s="14" t="s">
        <v>15841</v>
      </c>
    </row>
    <row r="3409" spans="1:21">
      <c r="A3409" s="14" t="s">
        <v>15842</v>
      </c>
      <c r="B3409" s="14">
        <v>218.6858692</v>
      </c>
      <c r="C3409" s="14">
        <v>141.6230142</v>
      </c>
      <c r="D3409" s="14">
        <v>295.7487243</v>
      </c>
      <c r="E3409" s="14">
        <v>2.088732136</v>
      </c>
      <c r="F3409" s="14">
        <v>1.06262749</v>
      </c>
      <c r="G3409" s="51" t="s">
        <v>15843</v>
      </c>
      <c r="H3409" s="14">
        <v>0.000173748</v>
      </c>
      <c r="I3409" s="14" t="s">
        <v>164</v>
      </c>
      <c r="J3409" s="14">
        <v>3.616069996</v>
      </c>
      <c r="K3409" s="14">
        <v>2.405716043</v>
      </c>
      <c r="L3409" s="14">
        <v>3.213905502</v>
      </c>
      <c r="M3409" s="14">
        <v>1.04892578</v>
      </c>
      <c r="N3409" s="14">
        <v>1.386860843</v>
      </c>
      <c r="O3409" s="14">
        <v>1.198730628</v>
      </c>
      <c r="P3409" s="14" t="s">
        <v>7936</v>
      </c>
      <c r="Q3409" s="14" t="s">
        <v>7937</v>
      </c>
      <c r="T3409" s="14" t="s">
        <v>15844</v>
      </c>
      <c r="U3409" s="14" t="s">
        <v>15845</v>
      </c>
    </row>
    <row r="3410" spans="1:21">
      <c r="A3410" s="14" t="s">
        <v>15846</v>
      </c>
      <c r="B3410" s="14">
        <v>16058.21721</v>
      </c>
      <c r="C3410" s="14">
        <v>10688.7987</v>
      </c>
      <c r="D3410" s="14">
        <v>21427.63572</v>
      </c>
      <c r="E3410" s="14">
        <v>2.004625368</v>
      </c>
      <c r="F3410" s="14">
        <v>1.003332646</v>
      </c>
      <c r="G3410" s="14">
        <v>0.000233467</v>
      </c>
      <c r="H3410" s="14">
        <v>0.001006471</v>
      </c>
      <c r="I3410" s="14" t="s">
        <v>164</v>
      </c>
      <c r="J3410" s="14">
        <v>399.2191807</v>
      </c>
      <c r="K3410" s="14">
        <v>307.151373</v>
      </c>
      <c r="L3410" s="14">
        <v>376.4728659</v>
      </c>
      <c r="M3410" s="14">
        <v>110.3945883</v>
      </c>
      <c r="N3410" s="14">
        <v>117.6676895</v>
      </c>
      <c r="O3410" s="14">
        <v>224.628612</v>
      </c>
      <c r="Q3410" s="14" t="s">
        <v>15847</v>
      </c>
      <c r="R3410" s="14" t="s">
        <v>15848</v>
      </c>
      <c r="S3410" s="14" t="s">
        <v>15849</v>
      </c>
      <c r="T3410" s="14" t="s">
        <v>15850</v>
      </c>
      <c r="U3410" s="14" t="s">
        <v>15851</v>
      </c>
    </row>
    <row r="3411" spans="1:21">
      <c r="A3411" s="14" t="s">
        <v>15852</v>
      </c>
      <c r="B3411" s="14">
        <v>164.3738116</v>
      </c>
      <c r="C3411" s="14">
        <v>247.6398215</v>
      </c>
      <c r="D3411" s="14">
        <v>81.10780161</v>
      </c>
      <c r="E3411" s="14">
        <v>0.327834453</v>
      </c>
      <c r="F3411" s="14">
        <v>-1.608960617</v>
      </c>
      <c r="G3411" s="51" t="s">
        <v>15853</v>
      </c>
      <c r="H3411" s="51" t="s">
        <v>2983</v>
      </c>
      <c r="I3411" s="14" t="s">
        <v>147</v>
      </c>
      <c r="J3411" s="14">
        <v>0.676778216</v>
      </c>
      <c r="K3411" s="14">
        <v>1.068775372</v>
      </c>
      <c r="L3411" s="14">
        <v>1.123509526</v>
      </c>
      <c r="M3411" s="14">
        <v>2.605715351</v>
      </c>
      <c r="N3411" s="14">
        <v>2.633967417</v>
      </c>
      <c r="O3411" s="14">
        <v>1.894947567</v>
      </c>
      <c r="P3411" s="14" t="s">
        <v>15854</v>
      </c>
      <c r="Q3411" s="14" t="s">
        <v>15855</v>
      </c>
      <c r="T3411" s="14" t="s">
        <v>6234</v>
      </c>
      <c r="U3411" s="14" t="s">
        <v>6235</v>
      </c>
    </row>
    <row r="3412" spans="1:21">
      <c r="A3412" s="14" t="s">
        <v>15856</v>
      </c>
      <c r="B3412" s="14">
        <v>79.56016931</v>
      </c>
      <c r="C3412" s="14">
        <v>120.2391736</v>
      </c>
      <c r="D3412" s="14">
        <v>38.88116499</v>
      </c>
      <c r="E3412" s="14">
        <v>0.323592789</v>
      </c>
      <c r="F3412" s="14">
        <v>-1.627748634</v>
      </c>
      <c r="G3412" s="51" t="s">
        <v>15857</v>
      </c>
      <c r="H3412" s="51" t="s">
        <v>15858</v>
      </c>
      <c r="I3412" s="14" t="s">
        <v>147</v>
      </c>
      <c r="J3412" s="14">
        <v>0.402380708</v>
      </c>
      <c r="K3412" s="14">
        <v>0.284367461</v>
      </c>
      <c r="L3412" s="14">
        <v>0.321486159</v>
      </c>
      <c r="M3412" s="14">
        <v>1.025499409</v>
      </c>
      <c r="N3412" s="14">
        <v>0.6605816</v>
      </c>
      <c r="O3412" s="14">
        <v>0.874331677</v>
      </c>
      <c r="P3412" s="14" t="s">
        <v>15859</v>
      </c>
      <c r="Q3412" s="14" t="s">
        <v>15860</v>
      </c>
      <c r="T3412" s="14" t="s">
        <v>15861</v>
      </c>
      <c r="U3412" s="14" t="s">
        <v>15862</v>
      </c>
    </row>
    <row r="3413" spans="1:21">
      <c r="A3413" s="14" t="s">
        <v>15863</v>
      </c>
      <c r="B3413" s="14">
        <v>2705.436354</v>
      </c>
      <c r="C3413" s="14">
        <v>3797.990176</v>
      </c>
      <c r="D3413" s="14">
        <v>1612.882532</v>
      </c>
      <c r="E3413" s="14">
        <v>0.424695331</v>
      </c>
      <c r="F3413" s="14">
        <v>-1.235499847</v>
      </c>
      <c r="G3413" s="51" t="s">
        <v>15864</v>
      </c>
      <c r="H3413" s="51" t="s">
        <v>6753</v>
      </c>
      <c r="I3413" s="14" t="s">
        <v>147</v>
      </c>
      <c r="J3413" s="14">
        <v>22.39957603</v>
      </c>
      <c r="K3413" s="14">
        <v>22.70872621</v>
      </c>
      <c r="L3413" s="14">
        <v>20.73640483</v>
      </c>
      <c r="M3413" s="14">
        <v>48.97968034</v>
      </c>
      <c r="N3413" s="14">
        <v>44.90911533</v>
      </c>
      <c r="O3413" s="14">
        <v>32.37623938</v>
      </c>
      <c r="P3413" s="14" t="s">
        <v>15865</v>
      </c>
      <c r="Q3413" s="14" t="s">
        <v>15866</v>
      </c>
      <c r="T3413" s="14" t="s">
        <v>15867</v>
      </c>
      <c r="U3413" s="14" t="s">
        <v>15868</v>
      </c>
    </row>
    <row r="3414" spans="1:21">
      <c r="A3414" s="14" t="s">
        <v>15869</v>
      </c>
      <c r="B3414" s="14">
        <v>13205.68994</v>
      </c>
      <c r="C3414" s="14">
        <v>19614.14204</v>
      </c>
      <c r="D3414" s="14">
        <v>6797.237844</v>
      </c>
      <c r="E3414" s="14">
        <v>0.346552456</v>
      </c>
      <c r="F3414" s="14">
        <v>-1.528854353</v>
      </c>
      <c r="G3414" s="51" t="s">
        <v>15870</v>
      </c>
      <c r="H3414" s="51" t="s">
        <v>6861</v>
      </c>
      <c r="I3414" s="14" t="s">
        <v>147</v>
      </c>
      <c r="J3414" s="14">
        <v>30.82323717</v>
      </c>
      <c r="K3414" s="14">
        <v>35.14198915</v>
      </c>
      <c r="L3414" s="14">
        <v>33.45417023</v>
      </c>
      <c r="M3414" s="14">
        <v>91.18284699</v>
      </c>
      <c r="N3414" s="14">
        <v>89.9172411</v>
      </c>
      <c r="O3414" s="14">
        <v>51.53550351</v>
      </c>
      <c r="P3414" s="14" t="s">
        <v>15871</v>
      </c>
      <c r="Q3414" s="14" t="s">
        <v>15872</v>
      </c>
      <c r="T3414" s="14" t="s">
        <v>15873</v>
      </c>
      <c r="U3414" s="14" t="s">
        <v>15874</v>
      </c>
    </row>
    <row r="3415" spans="1:21">
      <c r="A3415" s="14" t="s">
        <v>15875</v>
      </c>
      <c r="B3415" s="14">
        <v>1026.834269</v>
      </c>
      <c r="C3415" s="14">
        <v>623.7334361</v>
      </c>
      <c r="D3415" s="14">
        <v>1429.935102</v>
      </c>
      <c r="E3415" s="14">
        <v>2.293834103</v>
      </c>
      <c r="F3415" s="14">
        <v>1.197761055</v>
      </c>
      <c r="G3415" s="51" t="s">
        <v>15876</v>
      </c>
      <c r="H3415" s="51" t="s">
        <v>15877</v>
      </c>
      <c r="I3415" s="14" t="s">
        <v>164</v>
      </c>
      <c r="J3415" s="14">
        <v>61.40309461</v>
      </c>
      <c r="K3415" s="14">
        <v>60.20881156</v>
      </c>
      <c r="L3415" s="14">
        <v>74.73082355</v>
      </c>
      <c r="M3415" s="14">
        <v>24.05970268</v>
      </c>
      <c r="N3415" s="14">
        <v>23.00808882</v>
      </c>
      <c r="O3415" s="14">
        <v>23.19845604</v>
      </c>
      <c r="P3415" s="14" t="s">
        <v>15878</v>
      </c>
      <c r="Q3415" s="14" t="s">
        <v>15879</v>
      </c>
      <c r="T3415" s="14" t="s">
        <v>15880</v>
      </c>
      <c r="U3415" s="14" t="s">
        <v>15881</v>
      </c>
    </row>
    <row r="3416" spans="1:21">
      <c r="A3416" s="14" t="s">
        <v>15882</v>
      </c>
      <c r="B3416" s="14">
        <v>44750.12918</v>
      </c>
      <c r="C3416" s="14">
        <v>64553.43213</v>
      </c>
      <c r="D3416" s="14">
        <v>24946.82623</v>
      </c>
      <c r="E3416" s="14">
        <v>0.386451999</v>
      </c>
      <c r="F3416" s="14">
        <v>-1.371638867</v>
      </c>
      <c r="G3416" s="51" t="s">
        <v>15883</v>
      </c>
      <c r="H3416" s="51" t="s">
        <v>15884</v>
      </c>
      <c r="I3416" s="14" t="s">
        <v>147</v>
      </c>
      <c r="J3416" s="14">
        <v>363.4114897</v>
      </c>
      <c r="K3416" s="14">
        <v>431.7849978</v>
      </c>
      <c r="L3416" s="14">
        <v>329.1663946</v>
      </c>
      <c r="M3416" s="14">
        <v>845.2465626</v>
      </c>
      <c r="N3416" s="14">
        <v>799.5030894</v>
      </c>
      <c r="O3416" s="14">
        <v>742.3755379</v>
      </c>
      <c r="P3416" s="14" t="s">
        <v>15885</v>
      </c>
      <c r="Q3416" s="14" t="s">
        <v>15886</v>
      </c>
      <c r="T3416" s="14" t="s">
        <v>15887</v>
      </c>
      <c r="U3416" s="14" t="s">
        <v>15888</v>
      </c>
    </row>
    <row r="3417" spans="1:21">
      <c r="A3417" s="14" t="s">
        <v>15889</v>
      </c>
      <c r="B3417" s="14">
        <v>160.3468643</v>
      </c>
      <c r="C3417" s="14">
        <v>75.00249142</v>
      </c>
      <c r="D3417" s="14">
        <v>245.6912371</v>
      </c>
      <c r="E3417" s="14">
        <v>3.267206567</v>
      </c>
      <c r="F3417" s="14">
        <v>1.708057671</v>
      </c>
      <c r="G3417" s="51" t="s">
        <v>8437</v>
      </c>
      <c r="H3417" s="14">
        <v>0.000194554</v>
      </c>
      <c r="I3417" s="14" t="s">
        <v>164</v>
      </c>
      <c r="J3417" s="14">
        <v>1.689960386</v>
      </c>
      <c r="K3417" s="14">
        <v>1.713321662</v>
      </c>
      <c r="L3417" s="14">
        <v>1.143740641</v>
      </c>
      <c r="M3417" s="14">
        <v>0.220031479</v>
      </c>
      <c r="N3417" s="14">
        <v>0.336745322</v>
      </c>
      <c r="O3417" s="14">
        <v>0.615071747</v>
      </c>
      <c r="P3417" s="14" t="s">
        <v>15890</v>
      </c>
      <c r="Q3417" s="14" t="s">
        <v>15891</v>
      </c>
      <c r="T3417" s="14" t="s">
        <v>1510</v>
      </c>
      <c r="U3417" s="14" t="s">
        <v>1511</v>
      </c>
    </row>
    <row r="3418" spans="1:21">
      <c r="A3418" s="14" t="s">
        <v>15892</v>
      </c>
      <c r="B3418" s="14">
        <v>649.7796167</v>
      </c>
      <c r="C3418" s="14">
        <v>343.7300392</v>
      </c>
      <c r="D3418" s="14">
        <v>955.8291941</v>
      </c>
      <c r="E3418" s="14">
        <v>2.781958751</v>
      </c>
      <c r="F3418" s="14">
        <v>1.476101029</v>
      </c>
      <c r="G3418" s="14">
        <v>0.00180363</v>
      </c>
      <c r="H3418" s="14">
        <v>0.006133652</v>
      </c>
      <c r="I3418" s="14" t="s">
        <v>164</v>
      </c>
      <c r="J3418" s="14">
        <v>6.528144662</v>
      </c>
      <c r="K3418" s="14">
        <v>11.6093471</v>
      </c>
      <c r="L3418" s="14">
        <v>10.10960772</v>
      </c>
      <c r="M3418" s="14">
        <v>3.406370642</v>
      </c>
      <c r="N3418" s="14">
        <v>3.508302952</v>
      </c>
      <c r="O3418" s="14">
        <v>1.257944447</v>
      </c>
      <c r="P3418" s="14" t="s">
        <v>15893</v>
      </c>
      <c r="Q3418" s="14" t="s">
        <v>15894</v>
      </c>
      <c r="R3418" s="14" t="s">
        <v>1128</v>
      </c>
      <c r="S3418" s="14" t="s">
        <v>1129</v>
      </c>
      <c r="T3418" s="14" t="s">
        <v>15895</v>
      </c>
      <c r="U3418" s="14" t="s">
        <v>15896</v>
      </c>
    </row>
    <row r="3419" spans="1:21">
      <c r="A3419" s="14" t="s">
        <v>15897</v>
      </c>
      <c r="B3419" s="14">
        <v>630.2906663</v>
      </c>
      <c r="C3419" s="14">
        <v>384.2884819</v>
      </c>
      <c r="D3419" s="14">
        <v>876.2928507</v>
      </c>
      <c r="E3419" s="14">
        <v>2.279093459</v>
      </c>
      <c r="F3419" s="14">
        <v>1.188460087</v>
      </c>
      <c r="G3419" s="14">
        <v>0.000144698</v>
      </c>
      <c r="H3419" s="14">
        <v>0.000658031</v>
      </c>
      <c r="I3419" s="14" t="s">
        <v>164</v>
      </c>
      <c r="J3419" s="14">
        <v>15.94117969</v>
      </c>
      <c r="K3419" s="14">
        <v>9.772490985</v>
      </c>
      <c r="L3419" s="14">
        <v>13.41969711</v>
      </c>
      <c r="M3419" s="14">
        <v>3.68081622</v>
      </c>
      <c r="N3419" s="14">
        <v>3.676428351</v>
      </c>
      <c r="O3419" s="14">
        <v>7.005169076</v>
      </c>
      <c r="P3419" s="14" t="s">
        <v>15898</v>
      </c>
      <c r="Q3419" s="14" t="s">
        <v>15899</v>
      </c>
      <c r="T3419" s="14" t="s">
        <v>15900</v>
      </c>
      <c r="U3419" s="14" t="s">
        <v>15901</v>
      </c>
    </row>
    <row r="3420" spans="1:15">
      <c r="A3420" s="14" t="s">
        <v>15902</v>
      </c>
      <c r="B3420" s="14">
        <v>172.0922081</v>
      </c>
      <c r="C3420" s="14">
        <v>19.72030995</v>
      </c>
      <c r="D3420" s="14">
        <v>324.4641061</v>
      </c>
      <c r="E3420" s="14">
        <v>16.35061275</v>
      </c>
      <c r="F3420" s="14">
        <v>4.031272798</v>
      </c>
      <c r="G3420" s="51" t="s">
        <v>15903</v>
      </c>
      <c r="H3420" s="51" t="s">
        <v>15904</v>
      </c>
      <c r="I3420" s="14" t="s">
        <v>164</v>
      </c>
      <c r="J3420" s="14">
        <v>23.9892038</v>
      </c>
      <c r="K3420" s="14">
        <v>26.09193362</v>
      </c>
      <c r="L3420" s="14">
        <v>20.2021238</v>
      </c>
      <c r="M3420" s="14">
        <v>0.796493921</v>
      </c>
      <c r="N3420" s="14">
        <v>0.352680627</v>
      </c>
      <c r="O3420" s="14">
        <v>2.517661896</v>
      </c>
    </row>
    <row r="3421" spans="1:21">
      <c r="A3421" s="14" t="s">
        <v>15905</v>
      </c>
      <c r="B3421" s="14">
        <v>34.09462739</v>
      </c>
      <c r="C3421" s="14">
        <v>10.46668018</v>
      </c>
      <c r="D3421" s="14">
        <v>57.7225746</v>
      </c>
      <c r="E3421" s="14">
        <v>5.525682752</v>
      </c>
      <c r="F3421" s="14">
        <v>2.466152735</v>
      </c>
      <c r="G3421" s="14">
        <v>0.000637321</v>
      </c>
      <c r="H3421" s="14">
        <v>0.002464207</v>
      </c>
      <c r="I3421" s="14" t="s">
        <v>164</v>
      </c>
      <c r="J3421" s="14">
        <v>0.534539456</v>
      </c>
      <c r="K3421" s="14">
        <v>0.454336384</v>
      </c>
      <c r="L3421" s="14">
        <v>1.097986163</v>
      </c>
      <c r="M3421" s="14">
        <v>0.060979883</v>
      </c>
      <c r="N3421" s="14">
        <v>0.185259369</v>
      </c>
      <c r="O3421" s="14">
        <v>0.059661696</v>
      </c>
      <c r="P3421" s="14" t="s">
        <v>13225</v>
      </c>
      <c r="Q3421" s="14" t="s">
        <v>13226</v>
      </c>
      <c r="T3421" s="14" t="s">
        <v>13227</v>
      </c>
      <c r="U3421" s="14" t="s">
        <v>13228</v>
      </c>
    </row>
    <row r="3422" spans="1:21">
      <c r="A3422" s="14" t="s">
        <v>15906</v>
      </c>
      <c r="B3422" s="14">
        <v>4814.106306</v>
      </c>
      <c r="C3422" s="14">
        <v>2447.768939</v>
      </c>
      <c r="D3422" s="14">
        <v>7180.443672</v>
      </c>
      <c r="E3422" s="14">
        <v>2.93303401</v>
      </c>
      <c r="F3422" s="14">
        <v>1.5523938</v>
      </c>
      <c r="G3422" s="51" t="s">
        <v>15907</v>
      </c>
      <c r="H3422" s="51" t="s">
        <v>8257</v>
      </c>
      <c r="I3422" s="14" t="s">
        <v>164</v>
      </c>
      <c r="J3422" s="14">
        <v>80.95903694</v>
      </c>
      <c r="K3422" s="14">
        <v>95.69981688</v>
      </c>
      <c r="L3422" s="14">
        <v>83.65934019</v>
      </c>
      <c r="M3422" s="14">
        <v>19.43811085</v>
      </c>
      <c r="N3422" s="14">
        <v>20.14280379</v>
      </c>
      <c r="O3422" s="14">
        <v>34.59717882</v>
      </c>
      <c r="P3422" s="14" t="s">
        <v>15908</v>
      </c>
      <c r="Q3422" s="14" t="s">
        <v>15909</v>
      </c>
      <c r="T3422" s="14" t="s">
        <v>15910</v>
      </c>
      <c r="U3422" s="14" t="s">
        <v>15911</v>
      </c>
    </row>
    <row r="3423" spans="1:15">
      <c r="A3423" s="14" t="s">
        <v>15912</v>
      </c>
      <c r="B3423" s="14">
        <v>2148.740815</v>
      </c>
      <c r="C3423" s="14">
        <v>3087.081225</v>
      </c>
      <c r="D3423" s="14">
        <v>1210.400406</v>
      </c>
      <c r="E3423" s="14">
        <v>0.392086532</v>
      </c>
      <c r="F3423" s="14">
        <v>-1.350756009</v>
      </c>
      <c r="G3423" s="51" t="s">
        <v>15913</v>
      </c>
      <c r="H3423" s="51" t="s">
        <v>5406</v>
      </c>
      <c r="I3423" s="14" t="s">
        <v>147</v>
      </c>
      <c r="J3423" s="14">
        <v>8.048434168</v>
      </c>
      <c r="K3423" s="14">
        <v>13.96840801</v>
      </c>
      <c r="L3423" s="14">
        <v>9.220425033</v>
      </c>
      <c r="M3423" s="14">
        <v>23.35319194</v>
      </c>
      <c r="N3423" s="14">
        <v>24.21211699</v>
      </c>
      <c r="O3423" s="14">
        <v>17.52565835</v>
      </c>
    </row>
    <row r="3424" spans="1:21">
      <c r="A3424" s="14" t="s">
        <v>15914</v>
      </c>
      <c r="B3424" s="14">
        <v>32188.56973</v>
      </c>
      <c r="C3424" s="14">
        <v>43627.95837</v>
      </c>
      <c r="D3424" s="14">
        <v>20749.18108</v>
      </c>
      <c r="E3424" s="14">
        <v>0.475594337</v>
      </c>
      <c r="F3424" s="14">
        <v>-1.072196557</v>
      </c>
      <c r="G3424" s="51" t="s">
        <v>15915</v>
      </c>
      <c r="H3424" s="51" t="s">
        <v>15916</v>
      </c>
      <c r="I3424" s="14" t="s">
        <v>147</v>
      </c>
      <c r="J3424" s="14">
        <v>170.7797128</v>
      </c>
      <c r="K3424" s="14">
        <v>197.1752658</v>
      </c>
      <c r="L3424" s="14">
        <v>154.4509294</v>
      </c>
      <c r="M3424" s="14">
        <v>323.6517445</v>
      </c>
      <c r="N3424" s="14">
        <v>300.9417433</v>
      </c>
      <c r="O3424" s="14">
        <v>275.9780288</v>
      </c>
      <c r="P3424" s="14" t="s">
        <v>15917</v>
      </c>
      <c r="Q3424" s="14" t="s">
        <v>15918</v>
      </c>
      <c r="T3424" s="14" t="s">
        <v>15919</v>
      </c>
      <c r="U3424" s="14" t="s">
        <v>15920</v>
      </c>
    </row>
    <row r="3425" spans="1:21">
      <c r="A3425" s="14" t="s">
        <v>15921</v>
      </c>
      <c r="B3425" s="14">
        <v>271.0317221</v>
      </c>
      <c r="C3425" s="14">
        <v>110.0685493</v>
      </c>
      <c r="D3425" s="14">
        <v>431.9948949</v>
      </c>
      <c r="E3425" s="14">
        <v>3.920498867</v>
      </c>
      <c r="F3425" s="14">
        <v>1.971037243</v>
      </c>
      <c r="G3425" s="14">
        <v>0.011587419</v>
      </c>
      <c r="H3425" s="14">
        <v>0.030669643</v>
      </c>
      <c r="I3425" s="14" t="s">
        <v>164</v>
      </c>
      <c r="J3425" s="14">
        <v>8.521760043</v>
      </c>
      <c r="K3425" s="14">
        <v>7.660868687</v>
      </c>
      <c r="L3425" s="14">
        <v>6.269677692</v>
      </c>
      <c r="M3425" s="14">
        <v>0.661497526</v>
      </c>
      <c r="N3425" s="14">
        <v>0.352571302</v>
      </c>
      <c r="O3425" s="14">
        <v>3.969481629</v>
      </c>
      <c r="P3425" s="14" t="s">
        <v>15922</v>
      </c>
      <c r="Q3425" s="14" t="s">
        <v>15923</v>
      </c>
      <c r="T3425" s="14" t="s">
        <v>15924</v>
      </c>
      <c r="U3425" s="14" t="s">
        <v>15925</v>
      </c>
    </row>
    <row r="3426" spans="1:21">
      <c r="A3426" s="14" t="s">
        <v>15926</v>
      </c>
      <c r="B3426" s="14">
        <v>526.9879292</v>
      </c>
      <c r="C3426" s="14">
        <v>349.88637</v>
      </c>
      <c r="D3426" s="14">
        <v>704.0894883</v>
      </c>
      <c r="E3426" s="14">
        <v>2.012738394</v>
      </c>
      <c r="F3426" s="14">
        <v>1.00915967</v>
      </c>
      <c r="G3426" s="51" t="s">
        <v>15927</v>
      </c>
      <c r="H3426" s="51" t="s">
        <v>13266</v>
      </c>
      <c r="I3426" s="14" t="s">
        <v>164</v>
      </c>
      <c r="J3426" s="14">
        <v>3.256122438</v>
      </c>
      <c r="K3426" s="14">
        <v>3.084880265</v>
      </c>
      <c r="L3426" s="14">
        <v>3.867152353</v>
      </c>
      <c r="M3426" s="14">
        <v>1.3009147</v>
      </c>
      <c r="N3426" s="14">
        <v>1.365815967</v>
      </c>
      <c r="O3426" s="14">
        <v>1.512942785</v>
      </c>
      <c r="P3426" s="14" t="s">
        <v>15928</v>
      </c>
      <c r="Q3426" s="14" t="s">
        <v>15929</v>
      </c>
      <c r="T3426" s="14" t="s">
        <v>15930</v>
      </c>
      <c r="U3426" s="14" t="s">
        <v>15931</v>
      </c>
    </row>
    <row r="3427" spans="1:15">
      <c r="A3427" s="14" t="s">
        <v>15932</v>
      </c>
      <c r="B3427" s="14">
        <v>36.26207533</v>
      </c>
      <c r="C3427" s="14">
        <v>70.20299214</v>
      </c>
      <c r="D3427" s="14">
        <v>2.321158513</v>
      </c>
      <c r="E3427" s="14">
        <v>0.0327548</v>
      </c>
      <c r="F3427" s="14">
        <v>-4.932149837</v>
      </c>
      <c r="G3427" s="51" t="s">
        <v>15933</v>
      </c>
      <c r="H3427" s="51" t="s">
        <v>15934</v>
      </c>
      <c r="I3427" s="14" t="s">
        <v>147</v>
      </c>
      <c r="J3427" s="14">
        <v>0.190466674</v>
      </c>
      <c r="K3427" s="14">
        <v>0.383420794</v>
      </c>
      <c r="L3427" s="14">
        <v>0.091695365</v>
      </c>
      <c r="M3427" s="14">
        <v>7.170340197</v>
      </c>
      <c r="N3427" s="14">
        <v>4.924803184</v>
      </c>
      <c r="O3427" s="14">
        <v>4.384587911</v>
      </c>
    </row>
    <row r="3428" spans="1:21">
      <c r="A3428" s="14" t="s">
        <v>15935</v>
      </c>
      <c r="B3428" s="14">
        <v>442.0319537</v>
      </c>
      <c r="C3428" s="14">
        <v>874.4619908</v>
      </c>
      <c r="D3428" s="14">
        <v>9.601916669</v>
      </c>
      <c r="E3428" s="14">
        <v>0.010957403</v>
      </c>
      <c r="F3428" s="14">
        <v>-6.511950262</v>
      </c>
      <c r="G3428" s="51" t="s">
        <v>13331</v>
      </c>
      <c r="H3428" s="51" t="s">
        <v>11749</v>
      </c>
      <c r="I3428" s="14" t="s">
        <v>147</v>
      </c>
      <c r="J3428" s="14">
        <v>0.127040149</v>
      </c>
      <c r="K3428" s="14">
        <v>0.310540712</v>
      </c>
      <c r="L3428" s="14">
        <v>0.087371812</v>
      </c>
      <c r="M3428" s="14">
        <v>18.21415605</v>
      </c>
      <c r="N3428" s="14">
        <v>18.44263308</v>
      </c>
      <c r="O3428" s="14">
        <v>1.488833459</v>
      </c>
      <c r="P3428" s="14" t="s">
        <v>15936</v>
      </c>
      <c r="Q3428" s="14" t="s">
        <v>15937</v>
      </c>
      <c r="T3428" s="14" t="s">
        <v>15938</v>
      </c>
      <c r="U3428" s="14" t="s">
        <v>15939</v>
      </c>
    </row>
    <row r="3429" spans="1:21">
      <c r="A3429" s="14" t="s">
        <v>15940</v>
      </c>
      <c r="B3429" s="14">
        <v>25.59619104</v>
      </c>
      <c r="C3429" s="14">
        <v>7.583545158</v>
      </c>
      <c r="D3429" s="14">
        <v>43.60883692</v>
      </c>
      <c r="E3429" s="14">
        <v>5.699561462</v>
      </c>
      <c r="F3429" s="14">
        <v>2.510850919</v>
      </c>
      <c r="G3429" s="14">
        <v>0.019553218</v>
      </c>
      <c r="H3429" s="14">
        <v>0.0476603</v>
      </c>
      <c r="I3429" s="14" t="s">
        <v>164</v>
      </c>
      <c r="J3429" s="14">
        <v>0.359084847</v>
      </c>
      <c r="K3429" s="14">
        <v>1.53076076</v>
      </c>
      <c r="L3429" s="14">
        <v>0.894868486</v>
      </c>
      <c r="M3429" s="14">
        <v>0.036144834</v>
      </c>
      <c r="N3429" s="14">
        <v>0.034676677</v>
      </c>
      <c r="O3429" s="14">
        <v>0.353635001</v>
      </c>
      <c r="P3429" s="14" t="s">
        <v>5567</v>
      </c>
      <c r="Q3429" s="14" t="s">
        <v>5568</v>
      </c>
      <c r="T3429" s="14" t="s">
        <v>5569</v>
      </c>
      <c r="U3429" s="14" t="s">
        <v>5570</v>
      </c>
    </row>
    <row r="3430" spans="1:21">
      <c r="A3430" s="14" t="s">
        <v>15941</v>
      </c>
      <c r="B3430" s="14">
        <v>2681.157478</v>
      </c>
      <c r="C3430" s="14">
        <v>1583.392493</v>
      </c>
      <c r="D3430" s="14">
        <v>3778.922463</v>
      </c>
      <c r="E3430" s="14">
        <v>2.386678055</v>
      </c>
      <c r="F3430" s="14">
        <v>1.255003971</v>
      </c>
      <c r="G3430" s="51" t="s">
        <v>15942</v>
      </c>
      <c r="H3430" s="51" t="s">
        <v>15943</v>
      </c>
      <c r="I3430" s="14" t="s">
        <v>164</v>
      </c>
      <c r="J3430" s="14">
        <v>55.91642009</v>
      </c>
      <c r="K3430" s="14">
        <v>47.49152351</v>
      </c>
      <c r="L3430" s="14">
        <v>57.14583162</v>
      </c>
      <c r="M3430" s="14">
        <v>16.56292699</v>
      </c>
      <c r="N3430" s="14">
        <v>19.60668807</v>
      </c>
      <c r="O3430" s="14">
        <v>19.20883791</v>
      </c>
      <c r="P3430" s="14" t="s">
        <v>15944</v>
      </c>
      <c r="Q3430" s="14" t="s">
        <v>15945</v>
      </c>
      <c r="T3430" s="14" t="s">
        <v>15946</v>
      </c>
      <c r="U3430" s="14" t="s">
        <v>15947</v>
      </c>
    </row>
    <row r="3431" spans="1:21">
      <c r="A3431" s="14" t="s">
        <v>15948</v>
      </c>
      <c r="B3431" s="14">
        <v>2239.04947</v>
      </c>
      <c r="C3431" s="14">
        <v>1107.457068</v>
      </c>
      <c r="D3431" s="14">
        <v>3370.641873</v>
      </c>
      <c r="E3431" s="14">
        <v>3.043348576</v>
      </c>
      <c r="F3431" s="14">
        <v>1.605659585</v>
      </c>
      <c r="G3431" s="51" t="s">
        <v>15949</v>
      </c>
      <c r="H3431" s="51" t="s">
        <v>15950</v>
      </c>
      <c r="I3431" s="14" t="s">
        <v>164</v>
      </c>
      <c r="J3431" s="14">
        <v>34.09305177</v>
      </c>
      <c r="K3431" s="14">
        <v>25.80983851</v>
      </c>
      <c r="L3431" s="14">
        <v>35.86646535</v>
      </c>
      <c r="M3431" s="14">
        <v>8.208274376</v>
      </c>
      <c r="N3431" s="14">
        <v>7.474969306</v>
      </c>
      <c r="O3431" s="14">
        <v>10.33656696</v>
      </c>
      <c r="P3431" s="14" t="s">
        <v>15951</v>
      </c>
      <c r="Q3431" s="14" t="s">
        <v>15952</v>
      </c>
      <c r="T3431" s="14" t="s">
        <v>15953</v>
      </c>
      <c r="U3431" s="14" t="s">
        <v>15954</v>
      </c>
    </row>
    <row r="3432" spans="1:21">
      <c r="A3432" s="14" t="s">
        <v>15955</v>
      </c>
      <c r="B3432" s="14">
        <v>236.9219874</v>
      </c>
      <c r="C3432" s="14">
        <v>148.5739837</v>
      </c>
      <c r="D3432" s="14">
        <v>325.2699911</v>
      </c>
      <c r="E3432" s="14">
        <v>2.18895514</v>
      </c>
      <c r="F3432" s="14">
        <v>1.130242389</v>
      </c>
      <c r="G3432" s="14">
        <v>0.000667971</v>
      </c>
      <c r="H3432" s="14">
        <v>0.002567669</v>
      </c>
      <c r="I3432" s="14" t="s">
        <v>164</v>
      </c>
      <c r="J3432" s="14">
        <v>5.96208744</v>
      </c>
      <c r="K3432" s="14">
        <v>3.518721217</v>
      </c>
      <c r="L3432" s="14">
        <v>3.023297135</v>
      </c>
      <c r="M3432" s="14">
        <v>1.55535533</v>
      </c>
      <c r="N3432" s="14">
        <v>1.429569889</v>
      </c>
      <c r="O3432" s="14">
        <v>1.734563456</v>
      </c>
      <c r="P3432" s="14" t="s">
        <v>11703</v>
      </c>
      <c r="Q3432" s="14" t="s">
        <v>11704</v>
      </c>
      <c r="T3432" s="14" t="s">
        <v>11705</v>
      </c>
      <c r="U3432" s="14" t="s">
        <v>11706</v>
      </c>
    </row>
    <row r="3433" spans="1:15">
      <c r="A3433" s="14" t="s">
        <v>15956</v>
      </c>
      <c r="B3433" s="14">
        <v>254.0565553</v>
      </c>
      <c r="C3433" s="14">
        <v>89.29237296</v>
      </c>
      <c r="D3433" s="14">
        <v>418.8207376</v>
      </c>
      <c r="E3433" s="14">
        <v>4.681723492</v>
      </c>
      <c r="F3433" s="14">
        <v>2.22703973</v>
      </c>
      <c r="G3433" s="51" t="s">
        <v>15957</v>
      </c>
      <c r="H3433" s="51" t="s">
        <v>15958</v>
      </c>
      <c r="I3433" s="14" t="s">
        <v>164</v>
      </c>
      <c r="J3433" s="14">
        <v>7.454686164</v>
      </c>
      <c r="K3433" s="14">
        <v>4.338103273</v>
      </c>
      <c r="L3433" s="14">
        <v>6.028761221</v>
      </c>
      <c r="M3433" s="14">
        <v>0.756734404</v>
      </c>
      <c r="N3433" s="14">
        <v>0.967995763</v>
      </c>
      <c r="O3433" s="14">
        <v>1.445496501</v>
      </c>
    </row>
    <row r="3434" spans="1:21">
      <c r="A3434" s="14" t="s">
        <v>15959</v>
      </c>
      <c r="B3434" s="14">
        <v>1309.035617</v>
      </c>
      <c r="C3434" s="14">
        <v>498.4772581</v>
      </c>
      <c r="D3434" s="14">
        <v>2119.593976</v>
      </c>
      <c r="E3434" s="14">
        <v>4.249618728</v>
      </c>
      <c r="F3434" s="14">
        <v>2.08733341</v>
      </c>
      <c r="G3434" s="51" t="s">
        <v>15960</v>
      </c>
      <c r="H3434" s="51" t="s">
        <v>15961</v>
      </c>
      <c r="I3434" s="14" t="s">
        <v>164</v>
      </c>
      <c r="J3434" s="14">
        <v>6.927331658</v>
      </c>
      <c r="K3434" s="14">
        <v>7.386315</v>
      </c>
      <c r="L3434" s="14">
        <v>8.655827209</v>
      </c>
      <c r="M3434" s="14">
        <v>1.085697023</v>
      </c>
      <c r="N3434" s="14">
        <v>1.185367183</v>
      </c>
      <c r="O3434" s="14">
        <v>2.256111938</v>
      </c>
      <c r="P3434" s="14" t="s">
        <v>15962</v>
      </c>
      <c r="Q3434" s="14" t="s">
        <v>15963</v>
      </c>
      <c r="T3434" s="14" t="s">
        <v>15964</v>
      </c>
      <c r="U3434" s="14" t="s">
        <v>15965</v>
      </c>
    </row>
    <row r="3435" spans="1:21">
      <c r="A3435" s="14" t="s">
        <v>15966</v>
      </c>
      <c r="B3435" s="14">
        <v>1023.982581</v>
      </c>
      <c r="C3435" s="14">
        <v>450.4409902</v>
      </c>
      <c r="D3435" s="14">
        <v>1597.524171</v>
      </c>
      <c r="E3435" s="14">
        <v>3.546931851</v>
      </c>
      <c r="F3435" s="14">
        <v>1.826571611</v>
      </c>
      <c r="G3435" s="51" t="s">
        <v>15967</v>
      </c>
      <c r="H3435" s="51" t="s">
        <v>15968</v>
      </c>
      <c r="I3435" s="14" t="s">
        <v>164</v>
      </c>
      <c r="J3435" s="14">
        <v>14.3426418</v>
      </c>
      <c r="K3435" s="14">
        <v>13.44815447</v>
      </c>
      <c r="L3435" s="14">
        <v>17.50982394</v>
      </c>
      <c r="M3435" s="14">
        <v>3.43985657</v>
      </c>
      <c r="N3435" s="14">
        <v>3.161988857</v>
      </c>
      <c r="O3435" s="14">
        <v>3.929023257</v>
      </c>
      <c r="P3435" s="14" t="s">
        <v>5549</v>
      </c>
      <c r="Q3435" s="14" t="s">
        <v>5550</v>
      </c>
      <c r="T3435" s="14" t="s">
        <v>5551</v>
      </c>
      <c r="U3435" s="14" t="s">
        <v>5552</v>
      </c>
    </row>
    <row r="3436" spans="1:21">
      <c r="A3436" s="14" t="s">
        <v>15969</v>
      </c>
      <c r="B3436" s="14">
        <v>179.5944133</v>
      </c>
      <c r="C3436" s="14">
        <v>39.10276517</v>
      </c>
      <c r="D3436" s="14">
        <v>320.0860614</v>
      </c>
      <c r="E3436" s="14">
        <v>8.194794439</v>
      </c>
      <c r="F3436" s="14">
        <v>3.034707761</v>
      </c>
      <c r="G3436" s="51" t="s">
        <v>15970</v>
      </c>
      <c r="H3436" s="51" t="s">
        <v>15971</v>
      </c>
      <c r="I3436" s="14" t="s">
        <v>164</v>
      </c>
      <c r="J3436" s="14">
        <v>4.161958219</v>
      </c>
      <c r="K3436" s="14">
        <v>6.327038777</v>
      </c>
      <c r="L3436" s="14">
        <v>3.385510643</v>
      </c>
      <c r="M3436" s="14">
        <v>0.491165434</v>
      </c>
      <c r="N3436" s="14">
        <v>0.447654177</v>
      </c>
      <c r="O3436" s="14">
        <v>0.456520626</v>
      </c>
      <c r="P3436" s="14" t="s">
        <v>15972</v>
      </c>
      <c r="Q3436" s="14" t="s">
        <v>15973</v>
      </c>
      <c r="T3436" s="14" t="s">
        <v>15974</v>
      </c>
      <c r="U3436" s="14" t="s">
        <v>15975</v>
      </c>
    </row>
    <row r="3437" spans="1:21">
      <c r="A3437" s="14" t="s">
        <v>15976</v>
      </c>
      <c r="B3437" s="14">
        <v>8728.692684</v>
      </c>
      <c r="C3437" s="14">
        <v>2781.938732</v>
      </c>
      <c r="D3437" s="14">
        <v>14675.44664</v>
      </c>
      <c r="E3437" s="14">
        <v>5.27549383</v>
      </c>
      <c r="F3437" s="14">
        <v>2.399306148</v>
      </c>
      <c r="G3437" s="51" t="s">
        <v>15977</v>
      </c>
      <c r="H3437" s="14">
        <v>0.000206173</v>
      </c>
      <c r="I3437" s="14" t="s">
        <v>164</v>
      </c>
      <c r="J3437" s="14">
        <v>230.2348662</v>
      </c>
      <c r="K3437" s="14">
        <v>423.9183364</v>
      </c>
      <c r="L3437" s="14">
        <v>231.6468869</v>
      </c>
      <c r="M3437" s="14">
        <v>61.42297312</v>
      </c>
      <c r="N3437" s="14">
        <v>59.78089188</v>
      </c>
      <c r="O3437" s="14">
        <v>13.31360563</v>
      </c>
      <c r="P3437" s="14" t="s">
        <v>15972</v>
      </c>
      <c r="Q3437" s="14" t="s">
        <v>15978</v>
      </c>
      <c r="T3437" s="14" t="s">
        <v>15979</v>
      </c>
      <c r="U3437" s="14" t="s">
        <v>15980</v>
      </c>
    </row>
    <row r="3438" spans="1:21">
      <c r="A3438" s="14" t="s">
        <v>15981</v>
      </c>
      <c r="B3438" s="14">
        <v>424.6139086</v>
      </c>
      <c r="C3438" s="14">
        <v>11.61450997</v>
      </c>
      <c r="D3438" s="14">
        <v>837.6133072</v>
      </c>
      <c r="E3438" s="14">
        <v>70.93667275</v>
      </c>
      <c r="F3438" s="14">
        <v>6.148459758</v>
      </c>
      <c r="G3438" s="51" t="s">
        <v>15982</v>
      </c>
      <c r="H3438" s="51" t="s">
        <v>15983</v>
      </c>
      <c r="I3438" s="14" t="s">
        <v>164</v>
      </c>
      <c r="J3438" s="14">
        <v>17.27603732</v>
      </c>
      <c r="K3438" s="14">
        <v>15.16594336</v>
      </c>
      <c r="L3438" s="14">
        <v>12.69002565</v>
      </c>
      <c r="M3438" s="14">
        <v>0.045715317</v>
      </c>
      <c r="N3438" s="14">
        <v>0.160814206</v>
      </c>
      <c r="O3438" s="14">
        <v>0.327998736</v>
      </c>
      <c r="P3438" s="14" t="s">
        <v>15984</v>
      </c>
      <c r="Q3438" s="14" t="s">
        <v>15985</v>
      </c>
      <c r="T3438" s="14" t="s">
        <v>15986</v>
      </c>
      <c r="U3438" s="14" t="s">
        <v>15987</v>
      </c>
    </row>
    <row r="3439" spans="1:15">
      <c r="A3439" s="14" t="s">
        <v>15988</v>
      </c>
      <c r="B3439" s="14">
        <v>5191.049174</v>
      </c>
      <c r="C3439" s="14">
        <v>7606.959861</v>
      </c>
      <c r="D3439" s="14">
        <v>2775.138487</v>
      </c>
      <c r="E3439" s="14">
        <v>0.36482417</v>
      </c>
      <c r="F3439" s="14">
        <v>-1.454726782</v>
      </c>
      <c r="G3439" s="51" t="s">
        <v>12130</v>
      </c>
      <c r="H3439" s="51" t="s">
        <v>12131</v>
      </c>
      <c r="I3439" s="14" t="s">
        <v>147</v>
      </c>
      <c r="J3439" s="14">
        <v>22.43743319</v>
      </c>
      <c r="K3439" s="14">
        <v>31.97472045</v>
      </c>
      <c r="L3439" s="14">
        <v>25.70970744</v>
      </c>
      <c r="M3439" s="14">
        <v>73.03481219</v>
      </c>
      <c r="N3439" s="14">
        <v>66.71673376</v>
      </c>
      <c r="O3439" s="14">
        <v>38.25149894</v>
      </c>
    </row>
    <row r="3440" spans="1:21">
      <c r="A3440" s="14" t="s">
        <v>15989</v>
      </c>
      <c r="B3440" s="14">
        <v>92.66421725</v>
      </c>
      <c r="C3440" s="14">
        <v>59.97555257</v>
      </c>
      <c r="D3440" s="14">
        <v>125.3528819</v>
      </c>
      <c r="E3440" s="14">
        <v>2.086461291</v>
      </c>
      <c r="F3440" s="14">
        <v>1.061058155</v>
      </c>
      <c r="G3440" s="51" t="s">
        <v>15990</v>
      </c>
      <c r="H3440" s="14">
        <v>0.000309202</v>
      </c>
      <c r="I3440" s="14" t="s">
        <v>164</v>
      </c>
      <c r="J3440" s="14">
        <v>1.084379848</v>
      </c>
      <c r="K3440" s="14">
        <v>1.091460707</v>
      </c>
      <c r="L3440" s="14">
        <v>1.145135932</v>
      </c>
      <c r="M3440" s="14">
        <v>0.411519603</v>
      </c>
      <c r="N3440" s="14">
        <v>0.344556396</v>
      </c>
      <c r="O3440" s="14">
        <v>0.563673435</v>
      </c>
      <c r="P3440" s="14" t="s">
        <v>15991</v>
      </c>
      <c r="Q3440" s="14" t="s">
        <v>15992</v>
      </c>
      <c r="T3440" s="14" t="s">
        <v>15993</v>
      </c>
      <c r="U3440" s="14" t="s">
        <v>15994</v>
      </c>
    </row>
    <row r="3441" spans="1:21">
      <c r="A3441" s="14" t="s">
        <v>15995</v>
      </c>
      <c r="B3441" s="14">
        <v>52.52884697</v>
      </c>
      <c r="C3441" s="14">
        <v>26.06786799</v>
      </c>
      <c r="D3441" s="14">
        <v>78.98982596</v>
      </c>
      <c r="E3441" s="14">
        <v>3.033902818</v>
      </c>
      <c r="F3441" s="14">
        <v>1.601174874</v>
      </c>
      <c r="G3441" s="14">
        <v>0.001299488</v>
      </c>
      <c r="H3441" s="14">
        <v>0.004606523</v>
      </c>
      <c r="I3441" s="14" t="s">
        <v>164</v>
      </c>
      <c r="J3441" s="14">
        <v>1.610290523</v>
      </c>
      <c r="K3441" s="14">
        <v>2.041014347</v>
      </c>
      <c r="L3441" s="14">
        <v>1.091069598</v>
      </c>
      <c r="M3441" s="14">
        <v>0.374205344</v>
      </c>
      <c r="N3441" s="14">
        <v>0.603782149</v>
      </c>
      <c r="O3441" s="14">
        <v>0.299549648</v>
      </c>
      <c r="P3441" s="14" t="s">
        <v>15996</v>
      </c>
      <c r="Q3441" s="14" t="s">
        <v>15997</v>
      </c>
      <c r="T3441" s="14" t="s">
        <v>15998</v>
      </c>
      <c r="U3441" s="14" t="s">
        <v>15999</v>
      </c>
    </row>
    <row r="3442" spans="1:21">
      <c r="A3442" s="14" t="s">
        <v>16000</v>
      </c>
      <c r="B3442" s="14">
        <v>86.9143084</v>
      </c>
      <c r="C3442" s="14">
        <v>140.8668829</v>
      </c>
      <c r="D3442" s="14">
        <v>32.96173389</v>
      </c>
      <c r="E3442" s="14">
        <v>0.23395136</v>
      </c>
      <c r="F3442" s="14">
        <v>-2.095719477</v>
      </c>
      <c r="G3442" s="14">
        <v>0.001261279</v>
      </c>
      <c r="H3442" s="14">
        <v>0.004484463</v>
      </c>
      <c r="I3442" s="14" t="s">
        <v>147</v>
      </c>
      <c r="J3442" s="14">
        <v>1.738848697</v>
      </c>
      <c r="K3442" s="14">
        <v>2.515917031</v>
      </c>
      <c r="L3442" s="14">
        <v>1.151046524</v>
      </c>
      <c r="M3442" s="14">
        <v>8.229115698</v>
      </c>
      <c r="N3442" s="14">
        <v>8.073274463</v>
      </c>
      <c r="O3442" s="14">
        <v>2.274358435</v>
      </c>
      <c r="P3442" s="14" t="s">
        <v>1628</v>
      </c>
      <c r="Q3442" s="14" t="s">
        <v>1629</v>
      </c>
      <c r="T3442" s="14" t="s">
        <v>1630</v>
      </c>
      <c r="U3442" s="14" t="s">
        <v>1631</v>
      </c>
    </row>
    <row r="3443" spans="1:15">
      <c r="A3443" s="14" t="s">
        <v>16001</v>
      </c>
      <c r="B3443" s="14">
        <v>286.5123172</v>
      </c>
      <c r="C3443" s="14">
        <v>129.9354514</v>
      </c>
      <c r="D3443" s="14">
        <v>443.0891831</v>
      </c>
      <c r="E3443" s="14">
        <v>3.413727086</v>
      </c>
      <c r="F3443" s="14">
        <v>1.771347725</v>
      </c>
      <c r="G3443" s="51" t="s">
        <v>16002</v>
      </c>
      <c r="H3443" s="14">
        <v>0.00041724</v>
      </c>
      <c r="I3443" s="14" t="s">
        <v>164</v>
      </c>
      <c r="J3443" s="14">
        <v>8.538455005</v>
      </c>
      <c r="K3443" s="14">
        <v>10.89737298</v>
      </c>
      <c r="L3443" s="14">
        <v>8.976050873</v>
      </c>
      <c r="M3443" s="14">
        <v>2.5741312</v>
      </c>
      <c r="N3443" s="14">
        <v>3.078270928</v>
      </c>
      <c r="O3443" s="14">
        <v>1.06414936</v>
      </c>
    </row>
    <row r="3444" spans="1:21">
      <c r="A3444" s="14" t="s">
        <v>16003</v>
      </c>
      <c r="B3444" s="14">
        <v>306.357173</v>
      </c>
      <c r="C3444" s="14">
        <v>112.3140561</v>
      </c>
      <c r="D3444" s="14">
        <v>500.4002899</v>
      </c>
      <c r="E3444" s="14">
        <v>4.450992328</v>
      </c>
      <c r="F3444" s="14">
        <v>2.154127014</v>
      </c>
      <c r="G3444" s="51" t="s">
        <v>6579</v>
      </c>
      <c r="H3444" s="51" t="s">
        <v>16004</v>
      </c>
      <c r="I3444" s="14" t="s">
        <v>164</v>
      </c>
      <c r="J3444" s="14">
        <v>5.468929876</v>
      </c>
      <c r="K3444" s="14">
        <v>2.917933054</v>
      </c>
      <c r="L3444" s="14">
        <v>3.485357158</v>
      </c>
      <c r="M3444" s="14">
        <v>0.355296466</v>
      </c>
      <c r="N3444" s="14">
        <v>0.951848816</v>
      </c>
      <c r="O3444" s="14">
        <v>0.911672431</v>
      </c>
      <c r="P3444" s="14" t="s">
        <v>16005</v>
      </c>
      <c r="Q3444" s="14" t="s">
        <v>16006</v>
      </c>
      <c r="R3444" s="14" t="s">
        <v>15354</v>
      </c>
      <c r="S3444" s="14" t="s">
        <v>15355</v>
      </c>
      <c r="T3444" s="14" t="s">
        <v>16007</v>
      </c>
      <c r="U3444" s="14" t="s">
        <v>16008</v>
      </c>
    </row>
    <row r="3445" spans="1:21">
      <c r="A3445" s="14" t="s">
        <v>16009</v>
      </c>
      <c r="B3445" s="14">
        <v>8998.24481</v>
      </c>
      <c r="C3445" s="14">
        <v>12689.92333</v>
      </c>
      <c r="D3445" s="14">
        <v>5306.566295</v>
      </c>
      <c r="E3445" s="14">
        <v>0.41814757</v>
      </c>
      <c r="F3445" s="14">
        <v>-1.257915915</v>
      </c>
      <c r="G3445" s="51" t="s">
        <v>16010</v>
      </c>
      <c r="H3445" s="51" t="s">
        <v>16011</v>
      </c>
      <c r="I3445" s="14" t="s">
        <v>147</v>
      </c>
      <c r="J3445" s="14">
        <v>282.8096249</v>
      </c>
      <c r="K3445" s="14">
        <v>306.8324901</v>
      </c>
      <c r="L3445" s="14">
        <v>262.9996975</v>
      </c>
      <c r="M3445" s="14">
        <v>512.6484174</v>
      </c>
      <c r="N3445" s="14">
        <v>508.0364427</v>
      </c>
      <c r="O3445" s="14">
        <v>669.1110233</v>
      </c>
      <c r="P3445" s="14" t="s">
        <v>16012</v>
      </c>
      <c r="Q3445" s="14" t="s">
        <v>16013</v>
      </c>
      <c r="R3445" s="14" t="s">
        <v>2754</v>
      </c>
      <c r="S3445" s="14" t="s">
        <v>2755</v>
      </c>
      <c r="T3445" s="14" t="s">
        <v>16014</v>
      </c>
      <c r="U3445" s="14" t="s">
        <v>16015</v>
      </c>
    </row>
    <row r="3446" spans="1:21">
      <c r="A3446" s="14" t="s">
        <v>16016</v>
      </c>
      <c r="B3446" s="14">
        <v>2379.330639</v>
      </c>
      <c r="C3446" s="14">
        <v>3174.422253</v>
      </c>
      <c r="D3446" s="14">
        <v>1584.239024</v>
      </c>
      <c r="E3446" s="14">
        <v>0.499024254</v>
      </c>
      <c r="F3446" s="14">
        <v>-1.00281816</v>
      </c>
      <c r="G3446" s="51" t="s">
        <v>16017</v>
      </c>
      <c r="H3446" s="51" t="s">
        <v>16018</v>
      </c>
      <c r="I3446" s="14" t="s">
        <v>147</v>
      </c>
      <c r="J3446" s="14">
        <v>34.60002287</v>
      </c>
      <c r="K3446" s="14">
        <v>23.99570921</v>
      </c>
      <c r="L3446" s="14">
        <v>29.09311993</v>
      </c>
      <c r="M3446" s="14">
        <v>39.81011593</v>
      </c>
      <c r="N3446" s="14">
        <v>43.11154496</v>
      </c>
      <c r="O3446" s="14">
        <v>63.23376119</v>
      </c>
      <c r="P3446" s="14" t="s">
        <v>16019</v>
      </c>
      <c r="Q3446" s="14" t="s">
        <v>16020</v>
      </c>
      <c r="R3446" s="14" t="s">
        <v>16021</v>
      </c>
      <c r="S3446" s="14" t="s">
        <v>16022</v>
      </c>
      <c r="T3446" s="14" t="s">
        <v>16023</v>
      </c>
      <c r="U3446" s="14" t="s">
        <v>16024</v>
      </c>
    </row>
    <row r="3447" spans="1:21">
      <c r="A3447" s="14" t="s">
        <v>16025</v>
      </c>
      <c r="B3447" s="14">
        <v>2783.302872</v>
      </c>
      <c r="C3447" s="14">
        <v>1701.579471</v>
      </c>
      <c r="D3447" s="14">
        <v>3865.026273</v>
      </c>
      <c r="E3447" s="14">
        <v>2.271664624</v>
      </c>
      <c r="F3447" s="14">
        <v>1.183749859</v>
      </c>
      <c r="G3447" s="51" t="s">
        <v>16026</v>
      </c>
      <c r="H3447" s="51" t="s">
        <v>16027</v>
      </c>
      <c r="I3447" s="14" t="s">
        <v>164</v>
      </c>
      <c r="J3447" s="14">
        <v>56.68859909</v>
      </c>
      <c r="K3447" s="14">
        <v>49.76408795</v>
      </c>
      <c r="L3447" s="14">
        <v>54.26539879</v>
      </c>
      <c r="M3447" s="14">
        <v>17.75683464</v>
      </c>
      <c r="N3447" s="14">
        <v>21.6437428</v>
      </c>
      <c r="O3447" s="14">
        <v>18.70583776</v>
      </c>
      <c r="P3447" s="14" t="s">
        <v>16028</v>
      </c>
      <c r="Q3447" s="14" t="s">
        <v>16029</v>
      </c>
      <c r="T3447" s="14" t="s">
        <v>16030</v>
      </c>
      <c r="U3447" s="14" t="s">
        <v>16031</v>
      </c>
    </row>
    <row r="3448" spans="1:15">
      <c r="A3448" s="14" t="s">
        <v>16032</v>
      </c>
      <c r="B3448" s="14">
        <v>102.2379345</v>
      </c>
      <c r="C3448" s="14">
        <v>181.616786</v>
      </c>
      <c r="D3448" s="14">
        <v>22.85908305</v>
      </c>
      <c r="E3448" s="14">
        <v>0.125933186</v>
      </c>
      <c r="F3448" s="14">
        <v>-2.98926958</v>
      </c>
      <c r="G3448" s="51" t="s">
        <v>11550</v>
      </c>
      <c r="H3448" s="51" t="s">
        <v>11551</v>
      </c>
      <c r="I3448" s="14" t="s">
        <v>147</v>
      </c>
      <c r="J3448" s="14">
        <v>0.446262498</v>
      </c>
      <c r="K3448" s="14">
        <v>0.254533369</v>
      </c>
      <c r="L3448" s="14">
        <v>0.329424089</v>
      </c>
      <c r="M3448" s="14">
        <v>3.02910397</v>
      </c>
      <c r="N3448" s="14">
        <v>2.893855287</v>
      </c>
      <c r="O3448" s="14">
        <v>0.610157996</v>
      </c>
    </row>
    <row r="3449" spans="1:21">
      <c r="A3449" s="14" t="s">
        <v>16033</v>
      </c>
      <c r="B3449" s="14">
        <v>369.5810348</v>
      </c>
      <c r="C3449" s="14">
        <v>168.8197631</v>
      </c>
      <c r="D3449" s="14">
        <v>570.3423065</v>
      </c>
      <c r="E3449" s="14">
        <v>3.373997739</v>
      </c>
      <c r="F3449" s="14">
        <v>1.754459007</v>
      </c>
      <c r="G3449" s="51" t="s">
        <v>11110</v>
      </c>
      <c r="H3449" s="51" t="s">
        <v>16034</v>
      </c>
      <c r="I3449" s="14" t="s">
        <v>164</v>
      </c>
      <c r="J3449" s="14">
        <v>7.118338521</v>
      </c>
      <c r="K3449" s="14">
        <v>5.872392155</v>
      </c>
      <c r="L3449" s="14">
        <v>8.582364432</v>
      </c>
      <c r="M3449" s="14">
        <v>1.077288414</v>
      </c>
      <c r="N3449" s="14">
        <v>1.473548205</v>
      </c>
      <c r="O3449" s="14">
        <v>2.81762624</v>
      </c>
      <c r="P3449" s="14" t="s">
        <v>16035</v>
      </c>
      <c r="Q3449" s="14" t="s">
        <v>1607</v>
      </c>
      <c r="T3449" s="14" t="s">
        <v>1945</v>
      </c>
      <c r="U3449" s="14" t="s">
        <v>1946</v>
      </c>
    </row>
    <row r="3450" spans="1:21">
      <c r="A3450" s="14" t="s">
        <v>16036</v>
      </c>
      <c r="B3450" s="14">
        <v>289.1285141</v>
      </c>
      <c r="C3450" s="14">
        <v>151.2994714</v>
      </c>
      <c r="D3450" s="14">
        <v>426.9575568</v>
      </c>
      <c r="E3450" s="14">
        <v>2.823576173</v>
      </c>
      <c r="F3450" s="14">
        <v>1.497523552</v>
      </c>
      <c r="G3450" s="51" t="s">
        <v>4597</v>
      </c>
      <c r="H3450" s="51" t="s">
        <v>4598</v>
      </c>
      <c r="I3450" s="14" t="s">
        <v>164</v>
      </c>
      <c r="J3450" s="14">
        <v>6.355935325</v>
      </c>
      <c r="K3450" s="14">
        <v>5.843938017</v>
      </c>
      <c r="L3450" s="14">
        <v>4.309724472</v>
      </c>
      <c r="M3450" s="14">
        <v>1.542802306</v>
      </c>
      <c r="N3450" s="14">
        <v>1.889534876</v>
      </c>
      <c r="O3450" s="14">
        <v>1.359577258</v>
      </c>
      <c r="P3450" s="39">
        <v>45569</v>
      </c>
      <c r="Q3450" s="14" t="s">
        <v>16037</v>
      </c>
      <c r="R3450" s="14" t="s">
        <v>16038</v>
      </c>
      <c r="S3450" s="14" t="s">
        <v>16039</v>
      </c>
      <c r="T3450" s="14" t="s">
        <v>16040</v>
      </c>
      <c r="U3450" s="14" t="s">
        <v>16041</v>
      </c>
    </row>
    <row r="3451" spans="1:15">
      <c r="A3451" s="14" t="s">
        <v>16042</v>
      </c>
      <c r="B3451" s="14">
        <v>11.6092319</v>
      </c>
      <c r="C3451" s="14">
        <v>3.256301314</v>
      </c>
      <c r="D3451" s="14">
        <v>19.96216249</v>
      </c>
      <c r="E3451" s="14">
        <v>6.066602737</v>
      </c>
      <c r="F3451" s="14">
        <v>2.600888842</v>
      </c>
      <c r="G3451" s="14">
        <v>0.015530101</v>
      </c>
      <c r="H3451" s="14">
        <v>0.039244955</v>
      </c>
      <c r="I3451" s="14" t="s">
        <v>164</v>
      </c>
      <c r="J3451" s="14">
        <v>0.471231517</v>
      </c>
      <c r="K3451" s="14">
        <v>0.767928205</v>
      </c>
      <c r="L3451" s="14">
        <v>0.108029762</v>
      </c>
      <c r="M3451" s="14">
        <v>0.038398399</v>
      </c>
      <c r="N3451" s="14">
        <v>0.036838705</v>
      </c>
      <c r="O3451" s="14">
        <v>0.11270505</v>
      </c>
    </row>
    <row r="3452" spans="1:21">
      <c r="A3452" s="14" t="s">
        <v>16043</v>
      </c>
      <c r="B3452" s="14">
        <v>153.4886355</v>
      </c>
      <c r="C3452" s="14">
        <v>99.21072368</v>
      </c>
      <c r="D3452" s="14">
        <v>207.7665473</v>
      </c>
      <c r="E3452" s="14">
        <v>2.09431602</v>
      </c>
      <c r="F3452" s="14">
        <v>1.066479153</v>
      </c>
      <c r="G3452" s="14">
        <v>0.004660972</v>
      </c>
      <c r="H3452" s="14">
        <v>0.013923512</v>
      </c>
      <c r="I3452" s="14" t="s">
        <v>164</v>
      </c>
      <c r="J3452" s="14">
        <v>1.458021671</v>
      </c>
      <c r="K3452" s="14">
        <v>3.220146909</v>
      </c>
      <c r="L3452" s="14">
        <v>1.908839282</v>
      </c>
      <c r="M3452" s="14">
        <v>0.861565892</v>
      </c>
      <c r="N3452" s="14">
        <v>0.852400508</v>
      </c>
      <c r="O3452" s="14">
        <v>0.878064195</v>
      </c>
      <c r="P3452" s="14" t="s">
        <v>16044</v>
      </c>
      <c r="Q3452" s="14" t="s">
        <v>16045</v>
      </c>
      <c r="T3452" s="14" t="s">
        <v>16046</v>
      </c>
      <c r="U3452" s="14" t="s">
        <v>16047</v>
      </c>
    </row>
    <row r="3453" spans="1:21">
      <c r="A3453" s="14" t="s">
        <v>16048</v>
      </c>
      <c r="B3453" s="14">
        <v>44.36657223</v>
      </c>
      <c r="C3453" s="14">
        <v>64.48179398</v>
      </c>
      <c r="D3453" s="14">
        <v>24.25135049</v>
      </c>
      <c r="E3453" s="14">
        <v>0.376041652</v>
      </c>
      <c r="F3453" s="14">
        <v>-1.411035626</v>
      </c>
      <c r="G3453" s="14">
        <v>0.001398146</v>
      </c>
      <c r="H3453" s="14">
        <v>0.004912262</v>
      </c>
      <c r="I3453" s="14" t="s">
        <v>147</v>
      </c>
      <c r="J3453" s="14">
        <v>0.415693517</v>
      </c>
      <c r="K3453" s="14">
        <v>0.320779421</v>
      </c>
      <c r="L3453" s="14">
        <v>0.280175188</v>
      </c>
      <c r="M3453" s="14">
        <v>0.652052812</v>
      </c>
      <c r="N3453" s="14">
        <v>0.966785768</v>
      </c>
      <c r="O3453" s="14">
        <v>0.591560629</v>
      </c>
      <c r="P3453" s="14" t="s">
        <v>310</v>
      </c>
      <c r="Q3453" s="14" t="s">
        <v>311</v>
      </c>
      <c r="T3453" s="14" t="s">
        <v>312</v>
      </c>
      <c r="U3453" s="14" t="s">
        <v>313</v>
      </c>
    </row>
    <row r="3454" spans="1:21">
      <c r="A3454" s="14" t="s">
        <v>16049</v>
      </c>
      <c r="B3454" s="14">
        <v>87.4621434</v>
      </c>
      <c r="C3454" s="14">
        <v>44.19533884</v>
      </c>
      <c r="D3454" s="14">
        <v>130.728948</v>
      </c>
      <c r="E3454" s="14">
        <v>2.968068828</v>
      </c>
      <c r="F3454" s="14">
        <v>1.569524548</v>
      </c>
      <c r="G3454" s="51" t="s">
        <v>14259</v>
      </c>
      <c r="H3454" s="51" t="s">
        <v>16050</v>
      </c>
      <c r="I3454" s="14" t="s">
        <v>164</v>
      </c>
      <c r="J3454" s="14">
        <v>1.792914963</v>
      </c>
      <c r="K3454" s="14">
        <v>2.069092997</v>
      </c>
      <c r="L3454" s="14">
        <v>2.262057662</v>
      </c>
      <c r="M3454" s="14">
        <v>0.608313732</v>
      </c>
      <c r="N3454" s="14">
        <v>0.672414234</v>
      </c>
      <c r="O3454" s="14">
        <v>0.401088755</v>
      </c>
      <c r="P3454" s="14" t="s">
        <v>16051</v>
      </c>
      <c r="Q3454" s="14" t="s">
        <v>16052</v>
      </c>
      <c r="T3454" s="14" t="s">
        <v>16053</v>
      </c>
      <c r="U3454" s="14" t="s">
        <v>16054</v>
      </c>
    </row>
    <row r="3455" spans="1:15">
      <c r="A3455" s="14" t="s">
        <v>16055</v>
      </c>
      <c r="B3455" s="14">
        <v>22.57900077</v>
      </c>
      <c r="C3455" s="14">
        <v>3.641105926</v>
      </c>
      <c r="D3455" s="14">
        <v>41.51689562</v>
      </c>
      <c r="E3455" s="14">
        <v>11.33983982</v>
      </c>
      <c r="F3455" s="14">
        <v>3.503328356</v>
      </c>
      <c r="G3455" s="51" t="s">
        <v>1435</v>
      </c>
      <c r="H3455" s="51" t="s">
        <v>16056</v>
      </c>
      <c r="I3455" s="14" t="s">
        <v>164</v>
      </c>
      <c r="J3455" s="14">
        <v>0.725706085</v>
      </c>
      <c r="K3455" s="14">
        <v>0.28533002</v>
      </c>
      <c r="L3455" s="14">
        <v>0.414880256</v>
      </c>
      <c r="M3455" s="14">
        <v>0.038806893</v>
      </c>
      <c r="N3455" s="14">
        <v>0.009307652</v>
      </c>
      <c r="O3455" s="14">
        <v>0.05695202</v>
      </c>
    </row>
    <row r="3456" spans="1:21">
      <c r="A3456" s="14" t="s">
        <v>16057</v>
      </c>
      <c r="B3456" s="14">
        <v>117.7575595</v>
      </c>
      <c r="C3456" s="14">
        <v>201.5987719</v>
      </c>
      <c r="D3456" s="14">
        <v>33.91634703</v>
      </c>
      <c r="E3456" s="14">
        <v>0.168216955</v>
      </c>
      <c r="F3456" s="14">
        <v>-2.571604972</v>
      </c>
      <c r="G3456" s="14">
        <v>0.000883935</v>
      </c>
      <c r="H3456" s="14">
        <v>0.003285795</v>
      </c>
      <c r="I3456" s="14" t="s">
        <v>147</v>
      </c>
      <c r="J3456" s="14">
        <v>0.403830982</v>
      </c>
      <c r="K3456" s="14">
        <v>0.274365863</v>
      </c>
      <c r="L3456" s="14">
        <v>0.359666301</v>
      </c>
      <c r="M3456" s="14">
        <v>0.285050409</v>
      </c>
      <c r="N3456" s="14">
        <v>3.049627452</v>
      </c>
      <c r="O3456" s="14">
        <v>1.774745271</v>
      </c>
      <c r="P3456" s="14" t="s">
        <v>16058</v>
      </c>
      <c r="Q3456" s="14" t="s">
        <v>16059</v>
      </c>
      <c r="T3456" s="14" t="s">
        <v>16060</v>
      </c>
      <c r="U3456" s="14" t="s">
        <v>16061</v>
      </c>
    </row>
    <row r="3457" spans="1:21">
      <c r="A3457" s="14" t="s">
        <v>16062</v>
      </c>
      <c r="B3457" s="14">
        <v>89.25814392</v>
      </c>
      <c r="C3457" s="14">
        <v>151.1904105</v>
      </c>
      <c r="D3457" s="14">
        <v>27.32587734</v>
      </c>
      <c r="E3457" s="14">
        <v>0.180893862</v>
      </c>
      <c r="F3457" s="14">
        <v>-2.466784642</v>
      </c>
      <c r="G3457" s="51" t="s">
        <v>3580</v>
      </c>
      <c r="H3457" s="51" t="s">
        <v>783</v>
      </c>
      <c r="I3457" s="14" t="s">
        <v>147</v>
      </c>
      <c r="J3457" s="14">
        <v>0.307658168</v>
      </c>
      <c r="K3457" s="14">
        <v>0.285846587</v>
      </c>
      <c r="L3457" s="14">
        <v>0.387375722</v>
      </c>
      <c r="M3457" s="14">
        <v>1.022550019</v>
      </c>
      <c r="N3457" s="14">
        <v>2.399116739</v>
      </c>
      <c r="O3457" s="14">
        <v>0.990540395</v>
      </c>
      <c r="P3457" s="14" t="s">
        <v>315</v>
      </c>
      <c r="Q3457" s="14" t="s">
        <v>316</v>
      </c>
      <c r="T3457" s="14" t="s">
        <v>317</v>
      </c>
      <c r="U3457" s="14" t="s">
        <v>318</v>
      </c>
    </row>
    <row r="3458" spans="1:15">
      <c r="A3458" s="14" t="s">
        <v>16063</v>
      </c>
      <c r="B3458" s="14">
        <v>7.665634837</v>
      </c>
      <c r="C3458" s="14">
        <v>1.032881333</v>
      </c>
      <c r="D3458" s="14">
        <v>14.29838834</v>
      </c>
      <c r="E3458" s="14">
        <v>14.04385559</v>
      </c>
      <c r="F3458" s="14">
        <v>3.811867161</v>
      </c>
      <c r="G3458" s="14">
        <v>0.011761389</v>
      </c>
      <c r="H3458" s="14">
        <v>0.031019487</v>
      </c>
      <c r="I3458" s="14" t="s">
        <v>164</v>
      </c>
      <c r="J3458" s="14">
        <v>0.92376337</v>
      </c>
      <c r="K3458" s="14">
        <v>0.531311671</v>
      </c>
      <c r="L3458" s="14">
        <v>4.320161628</v>
      </c>
      <c r="M3458" s="14">
        <v>0.225819156</v>
      </c>
      <c r="N3458" s="14">
        <v>0</v>
      </c>
      <c r="O3458" s="14">
        <v>0.110468838</v>
      </c>
    </row>
    <row r="3459" spans="1:15">
      <c r="A3459" s="14" t="s">
        <v>16064</v>
      </c>
      <c r="B3459" s="14">
        <v>32.7283411</v>
      </c>
      <c r="C3459" s="14">
        <v>4.454595503</v>
      </c>
      <c r="D3459" s="14">
        <v>61.0020867</v>
      </c>
      <c r="E3459" s="14">
        <v>13.74708486</v>
      </c>
      <c r="F3459" s="14">
        <v>3.781053815</v>
      </c>
      <c r="G3459" s="14">
        <v>0.005798082</v>
      </c>
      <c r="H3459" s="14">
        <v>0.016848487</v>
      </c>
      <c r="I3459" s="14" t="s">
        <v>164</v>
      </c>
      <c r="J3459" s="14">
        <v>0.277129011</v>
      </c>
      <c r="K3459" s="14">
        <v>1.115754509</v>
      </c>
      <c r="L3459" s="14">
        <v>15.92106624</v>
      </c>
      <c r="M3459" s="14">
        <v>0.474220227</v>
      </c>
      <c r="N3459" s="14">
        <v>0.303305339</v>
      </c>
      <c r="O3459" s="14">
        <v>0.23198456</v>
      </c>
    </row>
    <row r="3460" spans="1:15">
      <c r="A3460" s="14" t="s">
        <v>16065</v>
      </c>
      <c r="B3460" s="14">
        <v>31.50097399</v>
      </c>
      <c r="C3460" s="14">
        <v>3.723812354</v>
      </c>
      <c r="D3460" s="14">
        <v>59.27813562</v>
      </c>
      <c r="E3460" s="14">
        <v>15.95116923</v>
      </c>
      <c r="F3460" s="14">
        <v>3.995590273</v>
      </c>
      <c r="G3460" s="14">
        <v>0.007945104</v>
      </c>
      <c r="H3460" s="14">
        <v>0.022116916</v>
      </c>
      <c r="I3460" s="14" t="s">
        <v>164</v>
      </c>
      <c r="J3460" s="14">
        <v>0.184752674</v>
      </c>
      <c r="K3460" s="14">
        <v>0.557877255</v>
      </c>
      <c r="L3460" s="14">
        <v>16.09895524</v>
      </c>
      <c r="M3460" s="14">
        <v>0.395183522</v>
      </c>
      <c r="N3460" s="14">
        <v>0.151652669</v>
      </c>
      <c r="O3460" s="14">
        <v>0.309312747</v>
      </c>
    </row>
    <row r="3461" spans="1:15">
      <c r="A3461" s="14" t="s">
        <v>16066</v>
      </c>
      <c r="B3461" s="14">
        <v>36.92061707</v>
      </c>
      <c r="C3461" s="14">
        <v>68.01890327</v>
      </c>
      <c r="D3461" s="14">
        <v>5.822330877</v>
      </c>
      <c r="E3461" s="14">
        <v>0.085696644</v>
      </c>
      <c r="F3461" s="14">
        <v>-3.544617478</v>
      </c>
      <c r="G3461" s="14">
        <v>0.010787103</v>
      </c>
      <c r="H3461" s="14">
        <v>0.028808195</v>
      </c>
      <c r="I3461" s="14" t="s">
        <v>147</v>
      </c>
      <c r="J3461" s="14">
        <v>0.369505348</v>
      </c>
      <c r="K3461" s="14">
        <v>0.464897712</v>
      </c>
      <c r="L3461" s="14">
        <v>0.800500537</v>
      </c>
      <c r="M3461" s="14">
        <v>0.316146818</v>
      </c>
      <c r="N3461" s="14">
        <v>14.4070036</v>
      </c>
      <c r="O3461" s="14">
        <v>0.541297308</v>
      </c>
    </row>
    <row r="3462" spans="1:15">
      <c r="A3462" s="14" t="s">
        <v>16067</v>
      </c>
      <c r="B3462" s="14">
        <v>7.577382028</v>
      </c>
      <c r="C3462" s="14">
        <v>1.733765453</v>
      </c>
      <c r="D3462" s="14">
        <v>13.4209986</v>
      </c>
      <c r="E3462" s="14">
        <v>7.897969519</v>
      </c>
      <c r="F3462" s="14">
        <v>2.9814818</v>
      </c>
      <c r="G3462" s="14">
        <v>0.002814642</v>
      </c>
      <c r="H3462" s="14">
        <v>0.00899161</v>
      </c>
      <c r="I3462" s="14" t="s">
        <v>164</v>
      </c>
      <c r="J3462" s="14">
        <v>0.960713905</v>
      </c>
      <c r="K3462" s="14">
        <v>1.115754509</v>
      </c>
      <c r="L3462" s="14">
        <v>0.925022843</v>
      </c>
      <c r="M3462" s="14">
        <v>0.189688091</v>
      </c>
      <c r="N3462" s="14">
        <v>0.060661068</v>
      </c>
      <c r="O3462" s="14">
        <v>0.061862549</v>
      </c>
    </row>
    <row r="3463" spans="1:15">
      <c r="A3463" s="14" t="s">
        <v>16068</v>
      </c>
      <c r="B3463" s="14">
        <v>6.746815328</v>
      </c>
      <c r="C3463" s="14">
        <v>0</v>
      </c>
      <c r="D3463" s="14">
        <v>13.49363066</v>
      </c>
      <c r="E3463" s="14">
        <v>72.75967837</v>
      </c>
      <c r="F3463" s="14">
        <v>6.185067261</v>
      </c>
      <c r="G3463" s="14">
        <v>0.000954995</v>
      </c>
      <c r="H3463" s="14">
        <v>0.003517643</v>
      </c>
      <c r="I3463" s="14" t="s">
        <v>164</v>
      </c>
      <c r="J3463" s="14">
        <v>2.66653344</v>
      </c>
      <c r="K3463" s="14">
        <v>0.57513119</v>
      </c>
      <c r="L3463" s="14">
        <v>0.641867555</v>
      </c>
      <c r="M3463" s="14">
        <v>0</v>
      </c>
      <c r="N3463" s="14">
        <v>0</v>
      </c>
      <c r="O3463" s="14">
        <v>0</v>
      </c>
    </row>
    <row r="3464" spans="1:15">
      <c r="A3464" s="14" t="s">
        <v>16069</v>
      </c>
      <c r="B3464" s="14">
        <v>16.3075348</v>
      </c>
      <c r="C3464" s="14">
        <v>0.309088846</v>
      </c>
      <c r="D3464" s="14">
        <v>32.30598075</v>
      </c>
      <c r="E3464" s="14">
        <v>89.53444381</v>
      </c>
      <c r="F3464" s="14">
        <v>6.484370887</v>
      </c>
      <c r="G3464" s="51" t="s">
        <v>16070</v>
      </c>
      <c r="H3464" s="51" t="s">
        <v>16071</v>
      </c>
      <c r="I3464" s="14" t="s">
        <v>164</v>
      </c>
      <c r="J3464" s="14">
        <v>2.952233451</v>
      </c>
      <c r="K3464" s="14">
        <v>1.82124877</v>
      </c>
      <c r="L3464" s="14">
        <v>4.584768253</v>
      </c>
      <c r="M3464" s="14">
        <v>0</v>
      </c>
      <c r="N3464" s="14">
        <v>0</v>
      </c>
      <c r="O3464" s="14">
        <v>0.07971978</v>
      </c>
    </row>
    <row r="3465" spans="1:15">
      <c r="A3465" s="14" t="s">
        <v>16072</v>
      </c>
      <c r="B3465" s="14">
        <v>5.705820909</v>
      </c>
      <c r="C3465" s="14">
        <v>0.648076722</v>
      </c>
      <c r="D3465" s="14">
        <v>10.7635651</v>
      </c>
      <c r="E3465" s="14">
        <v>16.18594449</v>
      </c>
      <c r="F3465" s="14">
        <v>4.016669648</v>
      </c>
      <c r="G3465" s="14">
        <v>0.002718672</v>
      </c>
      <c r="H3465" s="14">
        <v>0.008728859</v>
      </c>
      <c r="I3465" s="14" t="s">
        <v>164</v>
      </c>
      <c r="J3465" s="14">
        <v>1.047566708</v>
      </c>
      <c r="K3465" s="14">
        <v>0.958551984</v>
      </c>
      <c r="L3465" s="14">
        <v>1.100344381</v>
      </c>
      <c r="M3465" s="14">
        <v>0</v>
      </c>
      <c r="N3465" s="14">
        <v>0.078171479</v>
      </c>
      <c r="O3465" s="14">
        <v>0.07971978</v>
      </c>
    </row>
    <row r="3466" spans="1:15">
      <c r="A3466" s="14" t="s">
        <v>16073</v>
      </c>
      <c r="B3466" s="14">
        <v>52.50275487</v>
      </c>
      <c r="C3466" s="14">
        <v>26.18980712</v>
      </c>
      <c r="D3466" s="14">
        <v>78.81570262</v>
      </c>
      <c r="E3466" s="14">
        <v>3.003605554</v>
      </c>
      <c r="F3466" s="14">
        <v>1.586695364</v>
      </c>
      <c r="G3466" s="14">
        <v>0.000947316</v>
      </c>
      <c r="H3466" s="14">
        <v>0.003493694</v>
      </c>
      <c r="I3466" s="14" t="s">
        <v>164</v>
      </c>
      <c r="J3466" s="14">
        <v>0.298239704</v>
      </c>
      <c r="K3466" s="14">
        <v>0.464995813</v>
      </c>
      <c r="L3466" s="14">
        <v>0.636256318</v>
      </c>
      <c r="M3466" s="14">
        <v>0.080054058</v>
      </c>
      <c r="N3466" s="14">
        <v>0.148804582</v>
      </c>
      <c r="O3466" s="14">
        <v>0.156647097</v>
      </c>
    </row>
  </sheetData>
  <mergeCells count="1">
    <mergeCell ref="A1:U1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50"/>
  <sheetViews>
    <sheetView workbookViewId="0">
      <selection activeCell="B17" sqref="B17"/>
    </sheetView>
  </sheetViews>
  <sheetFormatPr defaultColWidth="10" defaultRowHeight="13.8"/>
  <cols>
    <col min="1" max="1" width="10" style="14"/>
    <col min="2" max="2" width="33.5555555555556" style="14" customWidth="1"/>
    <col min="3" max="3" width="29.1111111111111" style="14" customWidth="1"/>
    <col min="4" max="7" width="10" style="14"/>
    <col min="8" max="8" width="16.4444444444444" style="14" customWidth="1"/>
    <col min="9" max="16384" width="10" style="14"/>
  </cols>
  <sheetData>
    <row r="1" s="33" customFormat="1" ht="13.2" spans="1:11">
      <c r="A1" s="34" t="s">
        <v>16074</v>
      </c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4.55" spans="1:11">
      <c r="A2" s="37" t="s">
        <v>16075</v>
      </c>
      <c r="B2" s="37" t="s">
        <v>16076</v>
      </c>
      <c r="C2" s="37" t="s">
        <v>16077</v>
      </c>
      <c r="D2" s="37" t="s">
        <v>16078</v>
      </c>
      <c r="E2" s="37" t="s">
        <v>16079</v>
      </c>
      <c r="F2" s="37" t="s">
        <v>16080</v>
      </c>
      <c r="G2" s="37" t="s">
        <v>16081</v>
      </c>
      <c r="H2" s="37" t="s">
        <v>130</v>
      </c>
      <c r="I2" s="37" t="s">
        <v>131</v>
      </c>
      <c r="J2" s="37" t="s">
        <v>16082</v>
      </c>
      <c r="K2" s="37" t="s">
        <v>16083</v>
      </c>
    </row>
    <row r="3" spans="1:11">
      <c r="A3" s="14" t="s">
        <v>16084</v>
      </c>
      <c r="B3" s="14" t="s">
        <v>16085</v>
      </c>
      <c r="C3" s="14" t="s">
        <v>16086</v>
      </c>
      <c r="D3" s="14">
        <v>168</v>
      </c>
      <c r="E3" s="14">
        <v>1378</v>
      </c>
      <c r="F3" s="14">
        <v>1070</v>
      </c>
      <c r="G3" s="14">
        <v>15605</v>
      </c>
      <c r="H3" s="36">
        <v>3.30137507226865e-14</v>
      </c>
      <c r="I3" s="36">
        <v>4.780391104645e-11</v>
      </c>
      <c r="J3" s="14">
        <v>1.77803399210558</v>
      </c>
      <c r="K3" s="14" t="s">
        <v>16087</v>
      </c>
    </row>
    <row r="4" spans="1:11">
      <c r="A4" s="14" t="s">
        <v>16088</v>
      </c>
      <c r="B4" s="14" t="s">
        <v>16089</v>
      </c>
      <c r="C4" s="14" t="s">
        <v>16090</v>
      </c>
      <c r="D4" s="14">
        <v>39</v>
      </c>
      <c r="E4" s="14">
        <v>1378</v>
      </c>
      <c r="F4" s="14">
        <v>156</v>
      </c>
      <c r="G4" s="14">
        <v>15605</v>
      </c>
      <c r="H4" s="36">
        <v>1.56363213499793e-9</v>
      </c>
      <c r="I4" s="36">
        <v>1.1320696657385e-6</v>
      </c>
      <c r="J4" s="14">
        <v>2.83109579100145</v>
      </c>
      <c r="K4" s="14" t="s">
        <v>16091</v>
      </c>
    </row>
    <row r="5" spans="1:11">
      <c r="A5" s="14" t="s">
        <v>7885</v>
      </c>
      <c r="B5" s="14" t="s">
        <v>7886</v>
      </c>
      <c r="C5" s="14" t="s">
        <v>16090</v>
      </c>
      <c r="D5" s="14">
        <v>88</v>
      </c>
      <c r="E5" s="14">
        <v>1378</v>
      </c>
      <c r="F5" s="14">
        <v>556</v>
      </c>
      <c r="G5" s="14">
        <v>15605</v>
      </c>
      <c r="H5" s="36">
        <v>4.20412241711027e-8</v>
      </c>
      <c r="I5" s="36">
        <v>2.02918975332522e-5</v>
      </c>
      <c r="J5" s="14">
        <v>1.79234841444696</v>
      </c>
      <c r="K5" s="14" t="s">
        <v>16092</v>
      </c>
    </row>
    <row r="6" spans="1:11">
      <c r="A6" s="14" t="s">
        <v>16093</v>
      </c>
      <c r="B6" s="14" t="s">
        <v>16094</v>
      </c>
      <c r="C6" s="14" t="s">
        <v>16086</v>
      </c>
      <c r="D6" s="14">
        <v>80</v>
      </c>
      <c r="E6" s="14">
        <v>1378</v>
      </c>
      <c r="F6" s="14">
        <v>503</v>
      </c>
      <c r="G6" s="14">
        <v>15605</v>
      </c>
      <c r="H6" s="36">
        <v>1.42314375682767e-7</v>
      </c>
      <c r="I6" s="36">
        <v>5.15178039971616e-5</v>
      </c>
      <c r="J6" s="14">
        <v>1.80109473781404</v>
      </c>
      <c r="K6" s="14" t="s">
        <v>16095</v>
      </c>
    </row>
    <row r="7" spans="1:11">
      <c r="A7" s="14" t="s">
        <v>8763</v>
      </c>
      <c r="B7" s="14" t="s">
        <v>8764</v>
      </c>
      <c r="C7" s="14" t="s">
        <v>16096</v>
      </c>
      <c r="D7" s="14">
        <v>103</v>
      </c>
      <c r="E7" s="14">
        <v>1378</v>
      </c>
      <c r="F7" s="14">
        <v>705</v>
      </c>
      <c r="G7" s="14">
        <v>15605</v>
      </c>
      <c r="H7" s="36">
        <v>1.87626590800691e-7</v>
      </c>
      <c r="I7" s="36">
        <v>5.43366606958802e-5</v>
      </c>
      <c r="J7" s="14">
        <v>1.65448434878383</v>
      </c>
      <c r="K7" s="14" t="s">
        <v>16097</v>
      </c>
    </row>
    <row r="8" spans="1:11">
      <c r="A8" s="14" t="s">
        <v>16098</v>
      </c>
      <c r="B8" s="14" t="s">
        <v>16099</v>
      </c>
      <c r="C8" s="14" t="s">
        <v>16090</v>
      </c>
      <c r="D8" s="14">
        <v>14</v>
      </c>
      <c r="E8" s="14">
        <v>1378</v>
      </c>
      <c r="F8" s="14">
        <v>37</v>
      </c>
      <c r="G8" s="14">
        <v>15605</v>
      </c>
      <c r="H8" s="36">
        <v>1.4325779196948e-6</v>
      </c>
      <c r="I8" s="14">
        <v>0.000345728804619679</v>
      </c>
      <c r="J8" s="14">
        <v>4.28490173773193</v>
      </c>
      <c r="K8" s="14" t="s">
        <v>16100</v>
      </c>
    </row>
    <row r="9" spans="1:11">
      <c r="A9" s="14" t="s">
        <v>1429</v>
      </c>
      <c r="B9" s="14" t="s">
        <v>1430</v>
      </c>
      <c r="C9" s="14" t="s">
        <v>16096</v>
      </c>
      <c r="D9" s="14">
        <v>269</v>
      </c>
      <c r="E9" s="14">
        <v>1378</v>
      </c>
      <c r="F9" s="14">
        <v>2392</v>
      </c>
      <c r="G9" s="14">
        <v>15605</v>
      </c>
      <c r="H9" s="36">
        <v>6.53922908820121e-6</v>
      </c>
      <c r="I9" s="14">
        <v>0.00135268624567362</v>
      </c>
      <c r="J9" s="14">
        <v>1.27351967856085</v>
      </c>
      <c r="K9" s="14" t="s">
        <v>16101</v>
      </c>
    </row>
    <row r="10" spans="1:11">
      <c r="A10" s="14" t="s">
        <v>16102</v>
      </c>
      <c r="B10" s="14" t="s">
        <v>16103</v>
      </c>
      <c r="C10" s="14" t="s">
        <v>16090</v>
      </c>
      <c r="D10" s="14">
        <v>24</v>
      </c>
      <c r="E10" s="14">
        <v>1378</v>
      </c>
      <c r="F10" s="14">
        <v>106</v>
      </c>
      <c r="G10" s="14">
        <v>15605</v>
      </c>
      <c r="H10" s="36">
        <v>1.33804003680231e-5</v>
      </c>
      <c r="I10" s="14">
        <v>0.00242185246661218</v>
      </c>
      <c r="J10" s="14">
        <v>2.56401128241641</v>
      </c>
      <c r="K10" s="14" t="s">
        <v>16104</v>
      </c>
    </row>
    <row r="11" spans="1:11">
      <c r="A11" s="14" t="s">
        <v>16105</v>
      </c>
      <c r="B11" s="14" t="s">
        <v>16106</v>
      </c>
      <c r="C11" s="14" t="s">
        <v>16090</v>
      </c>
      <c r="D11" s="14">
        <v>24</v>
      </c>
      <c r="E11" s="14">
        <v>1378</v>
      </c>
      <c r="F11" s="14">
        <v>109</v>
      </c>
      <c r="G11" s="14">
        <v>15605</v>
      </c>
      <c r="H11" s="36">
        <v>2.19676260910848e-5</v>
      </c>
      <c r="I11" s="14">
        <v>0.0035343469533212</v>
      </c>
      <c r="J11" s="14">
        <v>2.49344216455174</v>
      </c>
      <c r="K11" s="14" t="s">
        <v>16107</v>
      </c>
    </row>
    <row r="12" spans="1:11">
      <c r="A12" s="14" t="s">
        <v>7871</v>
      </c>
      <c r="B12" s="14" t="s">
        <v>7872</v>
      </c>
      <c r="C12" s="14" t="s">
        <v>16090</v>
      </c>
      <c r="D12" s="14">
        <v>18</v>
      </c>
      <c r="E12" s="14">
        <v>1378</v>
      </c>
      <c r="F12" s="14">
        <v>70</v>
      </c>
      <c r="G12" s="14">
        <v>15605</v>
      </c>
      <c r="H12" s="36">
        <v>2.58521997990917e-5</v>
      </c>
      <c r="I12" s="14">
        <v>0.0037270362550285</v>
      </c>
      <c r="J12" s="14">
        <v>2.91198424217292</v>
      </c>
      <c r="K12" s="14" t="s">
        <v>16108</v>
      </c>
    </row>
    <row r="13" spans="1:11">
      <c r="A13" s="14" t="s">
        <v>16109</v>
      </c>
      <c r="B13" s="14" t="s">
        <v>16110</v>
      </c>
      <c r="C13" s="14" t="s">
        <v>16090</v>
      </c>
      <c r="D13" s="14">
        <v>54</v>
      </c>
      <c r="E13" s="14">
        <v>1378</v>
      </c>
      <c r="F13" s="14">
        <v>348</v>
      </c>
      <c r="G13" s="14">
        <v>15605</v>
      </c>
      <c r="H13" s="36">
        <v>3.06790944956121e-5</v>
      </c>
      <c r="I13" s="14">
        <v>0.0037270362550285</v>
      </c>
      <c r="J13" s="14">
        <v>1.75723187027676</v>
      </c>
      <c r="K13" s="14" t="s">
        <v>16111</v>
      </c>
    </row>
    <row r="14" spans="1:11">
      <c r="A14" s="14" t="s">
        <v>16112</v>
      </c>
      <c r="B14" s="14" t="s">
        <v>16113</v>
      </c>
      <c r="C14" s="14" t="s">
        <v>16090</v>
      </c>
      <c r="D14" s="14">
        <v>28</v>
      </c>
      <c r="E14" s="14">
        <v>1378</v>
      </c>
      <c r="F14" s="14">
        <v>140</v>
      </c>
      <c r="G14" s="14">
        <v>15605</v>
      </c>
      <c r="H14" s="36">
        <v>3.13451177676857e-5</v>
      </c>
      <c r="I14" s="14">
        <v>0.0037270362550285</v>
      </c>
      <c r="J14" s="14">
        <v>2.26487663280116</v>
      </c>
      <c r="K14" s="14" t="s">
        <v>16114</v>
      </c>
    </row>
    <row r="15" spans="1:11">
      <c r="A15" s="14" t="s">
        <v>16115</v>
      </c>
      <c r="B15" s="14" t="s">
        <v>16116</v>
      </c>
      <c r="C15" s="14" t="s">
        <v>16090</v>
      </c>
      <c r="D15" s="14">
        <v>99</v>
      </c>
      <c r="E15" s="14">
        <v>1378</v>
      </c>
      <c r="F15" s="14">
        <v>753</v>
      </c>
      <c r="G15" s="14">
        <v>15605</v>
      </c>
      <c r="H15" s="36">
        <v>3.34609608531564e-5</v>
      </c>
      <c r="I15" s="14">
        <v>0.0037270362550285</v>
      </c>
      <c r="J15" s="14">
        <v>1.48886312514817</v>
      </c>
      <c r="K15" s="14" t="s">
        <v>16117</v>
      </c>
    </row>
    <row r="16" spans="1:11">
      <c r="A16" s="14" t="s">
        <v>16118</v>
      </c>
      <c r="B16" s="14" t="s">
        <v>16119</v>
      </c>
      <c r="C16" s="14" t="s">
        <v>16090</v>
      </c>
      <c r="D16" s="14">
        <v>11</v>
      </c>
      <c r="E16" s="14">
        <v>1378</v>
      </c>
      <c r="F16" s="14">
        <v>32</v>
      </c>
      <c r="G16" s="14">
        <v>15605</v>
      </c>
      <c r="H16" s="36">
        <v>5.51381148331489e-5</v>
      </c>
      <c r="I16" s="14">
        <v>0.00570285644845712</v>
      </c>
      <c r="J16" s="14">
        <v>3.892756712627</v>
      </c>
      <c r="K16" s="14" t="s">
        <v>16120</v>
      </c>
    </row>
    <row r="17" spans="1:11">
      <c r="A17" s="14" t="s">
        <v>16121</v>
      </c>
      <c r="B17" s="14" t="s">
        <v>16122</v>
      </c>
      <c r="C17" s="14" t="s">
        <v>16086</v>
      </c>
      <c r="D17" s="14">
        <v>14</v>
      </c>
      <c r="E17" s="14">
        <v>1378</v>
      </c>
      <c r="F17" s="14">
        <v>51</v>
      </c>
      <c r="G17" s="14">
        <v>15605</v>
      </c>
      <c r="H17" s="36">
        <v>9.33869388599629e-5</v>
      </c>
      <c r="I17" s="14">
        <v>0.00901495249794841</v>
      </c>
      <c r="J17" s="14">
        <v>3.10865420188395</v>
      </c>
      <c r="K17" s="14" t="s">
        <v>16123</v>
      </c>
    </row>
    <row r="18" spans="1:11">
      <c r="A18" s="14" t="s">
        <v>16124</v>
      </c>
      <c r="B18" s="14" t="s">
        <v>16125</v>
      </c>
      <c r="C18" s="14" t="s">
        <v>16086</v>
      </c>
      <c r="D18" s="14">
        <v>52</v>
      </c>
      <c r="E18" s="14">
        <v>1378</v>
      </c>
      <c r="F18" s="14">
        <v>351</v>
      </c>
      <c r="G18" s="14">
        <v>15605</v>
      </c>
      <c r="H18" s="14">
        <v>0.000144829443078331</v>
      </c>
      <c r="I18" s="14">
        <v>0.0113942232515723</v>
      </c>
      <c r="J18" s="14">
        <v>1.67768639466753</v>
      </c>
      <c r="K18" s="14" t="s">
        <v>16126</v>
      </c>
    </row>
    <row r="19" spans="1:11">
      <c r="A19" s="14" t="s">
        <v>16127</v>
      </c>
      <c r="B19" s="14" t="s">
        <v>16128</v>
      </c>
      <c r="C19" s="14" t="s">
        <v>16090</v>
      </c>
      <c r="D19" s="14">
        <v>6</v>
      </c>
      <c r="E19" s="14">
        <v>1378</v>
      </c>
      <c r="F19" s="14">
        <v>11</v>
      </c>
      <c r="G19" s="14">
        <v>15605</v>
      </c>
      <c r="H19" s="14">
        <v>0.000146765370514926</v>
      </c>
      <c r="I19" s="14">
        <v>0.0113942232515723</v>
      </c>
      <c r="J19" s="14">
        <v>6.17693627127589</v>
      </c>
      <c r="K19" s="14" t="s">
        <v>16129</v>
      </c>
    </row>
    <row r="20" spans="1:11">
      <c r="A20" s="14" t="s">
        <v>16130</v>
      </c>
      <c r="B20" s="14" t="s">
        <v>16131</v>
      </c>
      <c r="C20" s="14" t="s">
        <v>16090</v>
      </c>
      <c r="D20" s="14">
        <v>6</v>
      </c>
      <c r="E20" s="14">
        <v>1378</v>
      </c>
      <c r="F20" s="14">
        <v>11</v>
      </c>
      <c r="G20" s="14">
        <v>15605</v>
      </c>
      <c r="H20" s="14">
        <v>0.000146765370514926</v>
      </c>
      <c r="I20" s="14">
        <v>0.0113942232515723</v>
      </c>
      <c r="J20" s="14">
        <v>6.17693627127589</v>
      </c>
      <c r="K20" s="14" t="s">
        <v>16132</v>
      </c>
    </row>
    <row r="21" spans="1:11">
      <c r="A21" s="14" t="s">
        <v>16133</v>
      </c>
      <c r="B21" s="14" t="s">
        <v>16134</v>
      </c>
      <c r="C21" s="14" t="s">
        <v>16090</v>
      </c>
      <c r="D21" s="14">
        <v>30</v>
      </c>
      <c r="E21" s="14">
        <v>1378</v>
      </c>
      <c r="F21" s="14">
        <v>168</v>
      </c>
      <c r="G21" s="14">
        <v>15605</v>
      </c>
      <c r="H21" s="14">
        <v>0.000149509835483338</v>
      </c>
      <c r="I21" s="14">
        <v>0.0113942232515723</v>
      </c>
      <c r="J21" s="14">
        <v>2.02221127928675</v>
      </c>
      <c r="K21" s="14" t="s">
        <v>16135</v>
      </c>
    </row>
    <row r="22" spans="1:11">
      <c r="A22" s="14" t="s">
        <v>16136</v>
      </c>
      <c r="B22" s="14" t="s">
        <v>16137</v>
      </c>
      <c r="C22" s="14" t="s">
        <v>16090</v>
      </c>
      <c r="D22" s="14">
        <v>48</v>
      </c>
      <c r="E22" s="14">
        <v>1378</v>
      </c>
      <c r="F22" s="14">
        <v>324</v>
      </c>
      <c r="G22" s="14">
        <v>15605</v>
      </c>
      <c r="H22" s="14">
        <v>0.000256506296812997</v>
      </c>
      <c r="I22" s="14">
        <v>0.0185268486220416</v>
      </c>
      <c r="J22" s="14">
        <v>1.67768639466753</v>
      </c>
      <c r="K22" s="14" t="s">
        <v>16138</v>
      </c>
    </row>
    <row r="23" spans="1:11">
      <c r="A23" s="14" t="s">
        <v>16139</v>
      </c>
      <c r="B23" s="14" t="s">
        <v>16140</v>
      </c>
      <c r="C23" s="14" t="s">
        <v>16090</v>
      </c>
      <c r="D23" s="14">
        <v>4</v>
      </c>
      <c r="E23" s="14">
        <v>1378</v>
      </c>
      <c r="F23" s="14">
        <v>5</v>
      </c>
      <c r="G23" s="14">
        <v>15605</v>
      </c>
      <c r="H23" s="14">
        <v>0.000281485269119417</v>
      </c>
      <c r="I23" s="14">
        <v>0.0185268486220416</v>
      </c>
      <c r="J23" s="14">
        <v>9.05950653120465</v>
      </c>
      <c r="K23" s="14" t="s">
        <v>16141</v>
      </c>
    </row>
    <row r="24" spans="1:11">
      <c r="A24" s="14" t="s">
        <v>16142</v>
      </c>
      <c r="B24" s="14" t="s">
        <v>16143</v>
      </c>
      <c r="C24" s="14" t="s">
        <v>16090</v>
      </c>
      <c r="D24" s="14">
        <v>4</v>
      </c>
      <c r="E24" s="14">
        <v>1378</v>
      </c>
      <c r="F24" s="14">
        <v>5</v>
      </c>
      <c r="G24" s="14">
        <v>15605</v>
      </c>
      <c r="H24" s="14">
        <v>0.000281485269119417</v>
      </c>
      <c r="I24" s="14">
        <v>0.0185268486220416</v>
      </c>
      <c r="J24" s="14">
        <v>9.05950653120465</v>
      </c>
      <c r="K24" s="14" t="s">
        <v>16144</v>
      </c>
    </row>
    <row r="25" spans="1:11">
      <c r="A25" s="14" t="s">
        <v>16145</v>
      </c>
      <c r="B25" s="14" t="s">
        <v>16146</v>
      </c>
      <c r="C25" s="14" t="s">
        <v>16090</v>
      </c>
      <c r="D25" s="14">
        <v>30</v>
      </c>
      <c r="E25" s="14">
        <v>1378</v>
      </c>
      <c r="F25" s="14">
        <v>177</v>
      </c>
      <c r="G25" s="14">
        <v>15605</v>
      </c>
      <c r="H25" s="14">
        <v>0.000381929234918432</v>
      </c>
      <c r="I25" s="14">
        <v>0.0240449361809517</v>
      </c>
      <c r="J25" s="14">
        <v>1.91938697695014</v>
      </c>
      <c r="K25" s="14" t="s">
        <v>16147</v>
      </c>
    </row>
    <row r="26" spans="1:11">
      <c r="A26" s="14" t="s">
        <v>16148</v>
      </c>
      <c r="B26" s="14" t="s">
        <v>16149</v>
      </c>
      <c r="C26" s="14" t="s">
        <v>16086</v>
      </c>
      <c r="D26" s="14">
        <v>6</v>
      </c>
      <c r="E26" s="14">
        <v>1378</v>
      </c>
      <c r="F26" s="14">
        <v>13</v>
      </c>
      <c r="G26" s="14">
        <v>15605</v>
      </c>
      <c r="H26" s="14">
        <v>0.000466744909532146</v>
      </c>
      <c r="I26" s="14">
        <v>0.0246797614526809</v>
      </c>
      <c r="J26" s="14">
        <v>5.22663838338729</v>
      </c>
      <c r="K26" s="14" t="s">
        <v>16132</v>
      </c>
    </row>
    <row r="27" spans="1:11">
      <c r="A27" s="14" t="s">
        <v>16150</v>
      </c>
      <c r="B27" s="14" t="s">
        <v>16151</v>
      </c>
      <c r="C27" s="14" t="s">
        <v>16090</v>
      </c>
      <c r="D27" s="14">
        <v>6</v>
      </c>
      <c r="E27" s="14">
        <v>1378</v>
      </c>
      <c r="F27" s="14">
        <v>13</v>
      </c>
      <c r="G27" s="14">
        <v>15605</v>
      </c>
      <c r="H27" s="14">
        <v>0.000466744909532146</v>
      </c>
      <c r="I27" s="14">
        <v>0.0246797614526809</v>
      </c>
      <c r="J27" s="14">
        <v>5.22663838338729</v>
      </c>
      <c r="K27" s="14" t="s">
        <v>16152</v>
      </c>
    </row>
    <row r="28" spans="1:11">
      <c r="A28" s="14" t="s">
        <v>16153</v>
      </c>
      <c r="B28" s="14" t="s">
        <v>16154</v>
      </c>
      <c r="C28" s="14" t="s">
        <v>16090</v>
      </c>
      <c r="D28" s="14">
        <v>36</v>
      </c>
      <c r="E28" s="14">
        <v>1378</v>
      </c>
      <c r="F28" s="14">
        <v>229</v>
      </c>
      <c r="G28" s="14">
        <v>15605</v>
      </c>
      <c r="H28" s="14">
        <v>0.000476446338436627</v>
      </c>
      <c r="I28" s="14">
        <v>0.0246797614526809</v>
      </c>
      <c r="J28" s="14">
        <v>1.78025237512755</v>
      </c>
      <c r="K28" s="14" t="s">
        <v>16155</v>
      </c>
    </row>
    <row r="29" spans="1:11">
      <c r="A29" s="14" t="s">
        <v>16156</v>
      </c>
      <c r="B29" s="14" t="s">
        <v>16157</v>
      </c>
      <c r="C29" s="14" t="s">
        <v>16090</v>
      </c>
      <c r="D29" s="14">
        <v>33</v>
      </c>
      <c r="E29" s="14">
        <v>1378</v>
      </c>
      <c r="F29" s="14">
        <v>204</v>
      </c>
      <c r="G29" s="14">
        <v>15605</v>
      </c>
      <c r="H29" s="14">
        <v>0.000480046170087527</v>
      </c>
      <c r="I29" s="14">
        <v>0.0246797614526809</v>
      </c>
      <c r="J29" s="14">
        <v>1.83188551182447</v>
      </c>
      <c r="K29" s="14" t="s">
        <v>16158</v>
      </c>
    </row>
    <row r="30" spans="1:11">
      <c r="A30" s="14" t="s">
        <v>16159</v>
      </c>
      <c r="B30" s="14" t="s">
        <v>16160</v>
      </c>
      <c r="C30" s="14" t="s">
        <v>16090</v>
      </c>
      <c r="D30" s="14">
        <v>48</v>
      </c>
      <c r="E30" s="14">
        <v>1378</v>
      </c>
      <c r="F30" s="14">
        <v>333</v>
      </c>
      <c r="G30" s="14">
        <v>15605</v>
      </c>
      <c r="H30" s="14">
        <v>0.000484147878609068</v>
      </c>
      <c r="I30" s="14">
        <v>0.0246797614526809</v>
      </c>
      <c r="J30" s="14">
        <v>1.63234351913597</v>
      </c>
      <c r="K30" s="14" t="s">
        <v>16161</v>
      </c>
    </row>
    <row r="31" spans="1:11">
      <c r="A31" s="14" t="s">
        <v>16162</v>
      </c>
      <c r="B31" s="14" t="s">
        <v>16163</v>
      </c>
      <c r="C31" s="14" t="s">
        <v>16090</v>
      </c>
      <c r="D31" s="14">
        <v>5</v>
      </c>
      <c r="E31" s="14">
        <v>1378</v>
      </c>
      <c r="F31" s="14">
        <v>9</v>
      </c>
      <c r="G31" s="14">
        <v>15605</v>
      </c>
      <c r="H31" s="14">
        <v>0.000496084024232656</v>
      </c>
      <c r="I31" s="14">
        <v>0.0246797614526809</v>
      </c>
      <c r="J31" s="14">
        <v>6.29132398000323</v>
      </c>
      <c r="K31" s="14" t="s">
        <v>16164</v>
      </c>
    </row>
    <row r="32" spans="1:11">
      <c r="A32" s="14" t="s">
        <v>3291</v>
      </c>
      <c r="B32" s="14" t="s">
        <v>3292</v>
      </c>
      <c r="C32" s="14" t="s">
        <v>16086</v>
      </c>
      <c r="D32" s="14">
        <v>30</v>
      </c>
      <c r="E32" s="14">
        <v>1378</v>
      </c>
      <c r="F32" s="14">
        <v>180</v>
      </c>
      <c r="G32" s="14">
        <v>15605</v>
      </c>
      <c r="H32" s="14">
        <v>0.000511321024572117</v>
      </c>
      <c r="I32" s="14">
        <v>0.0246797614526809</v>
      </c>
      <c r="J32" s="14">
        <v>1.88739719400097</v>
      </c>
      <c r="K32" s="14" t="s">
        <v>16165</v>
      </c>
    </row>
    <row r="33" spans="1:11">
      <c r="A33" s="14" t="s">
        <v>16166</v>
      </c>
      <c r="B33" s="14" t="s">
        <v>16167</v>
      </c>
      <c r="C33" s="14" t="s">
        <v>16086</v>
      </c>
      <c r="D33" s="14">
        <v>7</v>
      </c>
      <c r="E33" s="14">
        <v>1378</v>
      </c>
      <c r="F33" s="14">
        <v>18</v>
      </c>
      <c r="G33" s="14">
        <v>15605</v>
      </c>
      <c r="H33" s="14">
        <v>0.000548194249946954</v>
      </c>
      <c r="I33" s="14">
        <v>0.0256059765781674</v>
      </c>
      <c r="J33" s="14">
        <v>4.40392678600226</v>
      </c>
      <c r="K33" s="14" t="s">
        <v>16168</v>
      </c>
    </row>
    <row r="34" spans="1:11">
      <c r="A34" s="14" t="s">
        <v>16169</v>
      </c>
      <c r="B34" s="14" t="s">
        <v>16170</v>
      </c>
      <c r="C34" s="14" t="s">
        <v>16090</v>
      </c>
      <c r="D34" s="14">
        <v>23</v>
      </c>
      <c r="E34" s="14">
        <v>1378</v>
      </c>
      <c r="F34" s="14">
        <v>126</v>
      </c>
      <c r="G34" s="14">
        <v>15605</v>
      </c>
      <c r="H34" s="14">
        <v>0.000615376830724757</v>
      </c>
      <c r="I34" s="14">
        <v>0.0278458015902952</v>
      </c>
      <c r="J34" s="14">
        <v>2.06714930771535</v>
      </c>
      <c r="K34" s="14" t="s">
        <v>16171</v>
      </c>
    </row>
    <row r="35" spans="1:11">
      <c r="A35" s="14" t="s">
        <v>16172</v>
      </c>
      <c r="B35" s="14" t="s">
        <v>16173</v>
      </c>
      <c r="C35" s="14" t="s">
        <v>16086</v>
      </c>
      <c r="D35" s="14">
        <v>10</v>
      </c>
      <c r="E35" s="14">
        <v>1378</v>
      </c>
      <c r="F35" s="14">
        <v>35</v>
      </c>
      <c r="G35" s="14">
        <v>15605</v>
      </c>
      <c r="H35" s="14">
        <v>0.000655734097369904</v>
      </c>
      <c r="I35" s="14">
        <v>0.0287728173633824</v>
      </c>
      <c r="J35" s="14">
        <v>3.2355380468588</v>
      </c>
      <c r="K35" s="14" t="s">
        <v>16174</v>
      </c>
    </row>
    <row r="36" spans="1:11">
      <c r="A36" s="14" t="s">
        <v>16175</v>
      </c>
      <c r="B36" s="14" t="s">
        <v>16176</v>
      </c>
      <c r="C36" s="14" t="s">
        <v>16086</v>
      </c>
      <c r="D36" s="14">
        <v>42</v>
      </c>
      <c r="E36" s="14">
        <v>1378</v>
      </c>
      <c r="F36" s="14">
        <v>286</v>
      </c>
      <c r="G36" s="14">
        <v>15605</v>
      </c>
      <c r="H36" s="14">
        <v>0.000725617528294716</v>
      </c>
      <c r="I36" s="14">
        <v>0.0291509412879177</v>
      </c>
      <c r="J36" s="14">
        <v>1.66302130380505</v>
      </c>
      <c r="K36" s="14" t="s">
        <v>16177</v>
      </c>
    </row>
    <row r="37" spans="1:11">
      <c r="A37" s="14" t="s">
        <v>16178</v>
      </c>
      <c r="B37" s="14" t="s">
        <v>16179</v>
      </c>
      <c r="C37" s="14" t="s">
        <v>16090</v>
      </c>
      <c r="D37" s="14">
        <v>4</v>
      </c>
      <c r="E37" s="14">
        <v>1378</v>
      </c>
      <c r="F37" s="14">
        <v>6</v>
      </c>
      <c r="G37" s="14">
        <v>15605</v>
      </c>
      <c r="H37" s="14">
        <v>0.000785142755682867</v>
      </c>
      <c r="I37" s="14">
        <v>0.0291509412879177</v>
      </c>
      <c r="J37" s="14">
        <v>7.54958877600387</v>
      </c>
      <c r="K37" s="14" t="s">
        <v>16180</v>
      </c>
    </row>
    <row r="38" spans="1:11">
      <c r="A38" s="14" t="s">
        <v>16181</v>
      </c>
      <c r="B38" s="14" t="s">
        <v>16182</v>
      </c>
      <c r="C38" s="14" t="s">
        <v>16090</v>
      </c>
      <c r="D38" s="14">
        <v>4</v>
      </c>
      <c r="E38" s="14">
        <v>1378</v>
      </c>
      <c r="F38" s="14">
        <v>6</v>
      </c>
      <c r="G38" s="14">
        <v>15605</v>
      </c>
      <c r="H38" s="14">
        <v>0.000785142755682867</v>
      </c>
      <c r="I38" s="14">
        <v>0.0291509412879177</v>
      </c>
      <c r="J38" s="14">
        <v>7.54958877600387</v>
      </c>
      <c r="K38" s="14" t="s">
        <v>16183</v>
      </c>
    </row>
    <row r="39" spans="1:11">
      <c r="A39" s="14" t="s">
        <v>16184</v>
      </c>
      <c r="B39" s="14" t="s">
        <v>16185</v>
      </c>
      <c r="C39" s="14" t="s">
        <v>16086</v>
      </c>
      <c r="D39" s="14">
        <v>4</v>
      </c>
      <c r="E39" s="14">
        <v>1378</v>
      </c>
      <c r="F39" s="14">
        <v>6</v>
      </c>
      <c r="G39" s="14">
        <v>15605</v>
      </c>
      <c r="H39" s="14">
        <v>0.000785142755682867</v>
      </c>
      <c r="I39" s="14">
        <v>0.0291509412879177</v>
      </c>
      <c r="J39" s="14">
        <v>7.54958877600387</v>
      </c>
      <c r="K39" s="14" t="s">
        <v>16186</v>
      </c>
    </row>
    <row r="40" spans="1:11">
      <c r="A40" s="14" t="s">
        <v>16187</v>
      </c>
      <c r="B40" s="14" t="s">
        <v>16188</v>
      </c>
      <c r="C40" s="14" t="s">
        <v>16090</v>
      </c>
      <c r="D40" s="14">
        <v>4</v>
      </c>
      <c r="E40" s="14">
        <v>1378</v>
      </c>
      <c r="F40" s="14">
        <v>6</v>
      </c>
      <c r="G40" s="14">
        <v>15605</v>
      </c>
      <c r="H40" s="14">
        <v>0.000785142755682867</v>
      </c>
      <c r="I40" s="14">
        <v>0.0291509412879177</v>
      </c>
      <c r="J40" s="14">
        <v>7.54958877600387</v>
      </c>
      <c r="K40" s="14" t="s">
        <v>16180</v>
      </c>
    </row>
    <row r="41" spans="1:11">
      <c r="A41" s="14" t="s">
        <v>16189</v>
      </c>
      <c r="B41" s="14" t="s">
        <v>16190</v>
      </c>
      <c r="C41" s="14" t="s">
        <v>16090</v>
      </c>
      <c r="D41" s="14">
        <v>4</v>
      </c>
      <c r="E41" s="14">
        <v>1378</v>
      </c>
      <c r="F41" s="14">
        <v>6</v>
      </c>
      <c r="G41" s="14">
        <v>15605</v>
      </c>
      <c r="H41" s="14">
        <v>0.000785142755682867</v>
      </c>
      <c r="I41" s="14">
        <v>0.0291509412879177</v>
      </c>
      <c r="J41" s="14">
        <v>7.54958877600387</v>
      </c>
      <c r="K41" s="14" t="s">
        <v>16180</v>
      </c>
    </row>
    <row r="42" spans="1:11">
      <c r="A42" s="14" t="s">
        <v>16191</v>
      </c>
      <c r="B42" s="14" t="s">
        <v>16192</v>
      </c>
      <c r="C42" s="14" t="s">
        <v>16086</v>
      </c>
      <c r="D42" s="14">
        <v>5</v>
      </c>
      <c r="E42" s="14">
        <v>1378</v>
      </c>
      <c r="F42" s="14">
        <v>10</v>
      </c>
      <c r="G42" s="14">
        <v>15605</v>
      </c>
      <c r="H42" s="14">
        <v>0.000920056660603425</v>
      </c>
      <c r="I42" s="14">
        <v>0.033306051113844</v>
      </c>
      <c r="J42" s="14">
        <v>5.6621915820029</v>
      </c>
      <c r="K42" s="14" t="s">
        <v>16193</v>
      </c>
    </row>
    <row r="43" spans="1:11">
      <c r="A43" s="14" t="s">
        <v>16194</v>
      </c>
      <c r="B43" s="14" t="s">
        <v>16195</v>
      </c>
      <c r="C43" s="14" t="s">
        <v>16090</v>
      </c>
      <c r="D43" s="14">
        <v>11</v>
      </c>
      <c r="E43" s="14">
        <v>1378</v>
      </c>
      <c r="F43" s="14">
        <v>43</v>
      </c>
      <c r="G43" s="14">
        <v>15605</v>
      </c>
      <c r="H43" s="14">
        <v>0.000994252527556972</v>
      </c>
      <c r="I43" s="14">
        <v>0.0342991906972967</v>
      </c>
      <c r="J43" s="14">
        <v>2.89693522800148</v>
      </c>
      <c r="K43" s="14" t="s">
        <v>16196</v>
      </c>
    </row>
    <row r="44" spans="1:11">
      <c r="A44" s="14" t="s">
        <v>16197</v>
      </c>
      <c r="B44" s="14" t="s">
        <v>16198</v>
      </c>
      <c r="C44" s="14" t="s">
        <v>16086</v>
      </c>
      <c r="D44" s="14">
        <v>96</v>
      </c>
      <c r="E44" s="14">
        <v>1378</v>
      </c>
      <c r="F44" s="14">
        <v>797</v>
      </c>
      <c r="G44" s="14">
        <v>15605</v>
      </c>
      <c r="H44" s="14">
        <v>0.00099486602851275</v>
      </c>
      <c r="I44" s="14">
        <v>0.0342991906972967</v>
      </c>
      <c r="J44" s="14">
        <v>1.36404113393295</v>
      </c>
      <c r="K44" s="14" t="s">
        <v>16199</v>
      </c>
    </row>
    <row r="45" spans="1:11">
      <c r="A45" s="14" t="s">
        <v>9165</v>
      </c>
      <c r="B45" s="14" t="s">
        <v>9166</v>
      </c>
      <c r="C45" s="14" t="s">
        <v>16086</v>
      </c>
      <c r="D45" s="14">
        <v>9</v>
      </c>
      <c r="E45" s="14">
        <v>1378</v>
      </c>
      <c r="F45" s="14">
        <v>31</v>
      </c>
      <c r="G45" s="14">
        <v>15605</v>
      </c>
      <c r="H45" s="14">
        <v>0.00106988513683896</v>
      </c>
      <c r="I45" s="14">
        <v>0.0360277599568098</v>
      </c>
      <c r="J45" s="14">
        <v>3.28772414438878</v>
      </c>
      <c r="K45" s="14" t="s">
        <v>16200</v>
      </c>
    </row>
    <row r="46" spans="1:11">
      <c r="A46" s="14" t="s">
        <v>16201</v>
      </c>
      <c r="B46" s="14" t="s">
        <v>16202</v>
      </c>
      <c r="C46" s="14" t="s">
        <v>16086</v>
      </c>
      <c r="D46" s="14">
        <v>91</v>
      </c>
      <c r="E46" s="14">
        <v>1378</v>
      </c>
      <c r="F46" s="14">
        <v>753</v>
      </c>
      <c r="G46" s="14">
        <v>15605</v>
      </c>
      <c r="H46" s="14">
        <v>0.00120646770732115</v>
      </c>
      <c r="I46" s="14">
        <v>0.0397037554591142</v>
      </c>
      <c r="J46" s="14">
        <v>1.36855095341903</v>
      </c>
      <c r="K46" s="14" t="s">
        <v>16203</v>
      </c>
    </row>
    <row r="47" spans="1:11">
      <c r="A47" s="14" t="s">
        <v>16204</v>
      </c>
      <c r="B47" s="14" t="s">
        <v>16205</v>
      </c>
      <c r="C47" s="14" t="s">
        <v>16090</v>
      </c>
      <c r="D47" s="14">
        <v>20</v>
      </c>
      <c r="E47" s="14">
        <v>1378</v>
      </c>
      <c r="F47" s="14">
        <v>109</v>
      </c>
      <c r="G47" s="14">
        <v>15605</v>
      </c>
      <c r="H47" s="14">
        <v>0.00126870743628326</v>
      </c>
      <c r="I47" s="14">
        <v>0.0408241859497368</v>
      </c>
      <c r="J47" s="14">
        <v>2.07786847045978</v>
      </c>
      <c r="K47" s="14" t="s">
        <v>16206</v>
      </c>
    </row>
    <row r="48" spans="1:11">
      <c r="A48" s="14" t="s">
        <v>16207</v>
      </c>
      <c r="B48" s="14" t="s">
        <v>16208</v>
      </c>
      <c r="C48" s="14" t="s">
        <v>16090</v>
      </c>
      <c r="D48" s="14">
        <v>9</v>
      </c>
      <c r="E48" s="14">
        <v>1378</v>
      </c>
      <c r="F48" s="14">
        <v>32</v>
      </c>
      <c r="G48" s="14">
        <v>15605</v>
      </c>
      <c r="H48" s="14">
        <v>0.00137336678745941</v>
      </c>
      <c r="I48" s="14">
        <v>0.0432311980052441</v>
      </c>
      <c r="J48" s="14">
        <v>3.18498276487663</v>
      </c>
      <c r="K48" s="14" t="s">
        <v>16209</v>
      </c>
    </row>
    <row r="49" spans="1:11">
      <c r="A49" s="14" t="s">
        <v>16210</v>
      </c>
      <c r="B49" s="14" t="s">
        <v>16211</v>
      </c>
      <c r="C49" s="14" t="s">
        <v>16090</v>
      </c>
      <c r="D49" s="14">
        <v>10</v>
      </c>
      <c r="E49" s="14">
        <v>1378</v>
      </c>
      <c r="F49" s="14">
        <v>40</v>
      </c>
      <c r="G49" s="14">
        <v>15605</v>
      </c>
      <c r="H49" s="14">
        <v>0.00201694120247601</v>
      </c>
      <c r="I49" s="14">
        <v>0.0621389544933034</v>
      </c>
      <c r="J49" s="14">
        <v>2.83109579100145</v>
      </c>
      <c r="K49" s="14" t="s">
        <v>16212</v>
      </c>
    </row>
    <row r="50" spans="1:11">
      <c r="A50" s="14" t="s">
        <v>16213</v>
      </c>
      <c r="B50" s="14" t="s">
        <v>16214</v>
      </c>
      <c r="C50" s="14" t="s">
        <v>16090</v>
      </c>
      <c r="D50" s="14">
        <v>12</v>
      </c>
      <c r="E50" s="14">
        <v>1378</v>
      </c>
      <c r="F50" s="14">
        <v>54</v>
      </c>
      <c r="G50" s="14">
        <v>15605</v>
      </c>
      <c r="H50" s="14">
        <v>0.00222950387816116</v>
      </c>
      <c r="I50" s="14">
        <v>0.0672567003245282</v>
      </c>
      <c r="J50" s="14">
        <v>2.51652959200129</v>
      </c>
      <c r="K50" s="14" t="s">
        <v>16215</v>
      </c>
    </row>
    <row r="51" spans="1:11">
      <c r="A51" s="14" t="s">
        <v>16216</v>
      </c>
      <c r="B51" s="14" t="s">
        <v>16217</v>
      </c>
      <c r="C51" s="14" t="s">
        <v>16090</v>
      </c>
      <c r="D51" s="14">
        <v>5</v>
      </c>
      <c r="E51" s="14">
        <v>1378</v>
      </c>
      <c r="F51" s="14">
        <v>12</v>
      </c>
      <c r="G51" s="14">
        <v>15605</v>
      </c>
      <c r="H51" s="14">
        <v>0.00248794953487217</v>
      </c>
      <c r="I51" s="14">
        <v>0.0735214474794878</v>
      </c>
      <c r="J51" s="14">
        <v>4.71849298500242</v>
      </c>
      <c r="K51" s="14" t="s">
        <v>16218</v>
      </c>
    </row>
    <row r="52" spans="1:11">
      <c r="A52" s="14" t="s">
        <v>16219</v>
      </c>
      <c r="B52" s="14" t="s">
        <v>16220</v>
      </c>
      <c r="C52" s="14" t="s">
        <v>16090</v>
      </c>
      <c r="D52" s="14">
        <v>21</v>
      </c>
      <c r="E52" s="14">
        <v>1378</v>
      </c>
      <c r="F52" s="14">
        <v>125</v>
      </c>
      <c r="G52" s="14">
        <v>15605</v>
      </c>
      <c r="H52" s="14">
        <v>0.00301480841582362</v>
      </c>
      <c r="I52" s="14">
        <v>0.0871425010844343</v>
      </c>
      <c r="J52" s="14">
        <v>1.90249637155298</v>
      </c>
      <c r="K52" s="14" t="s">
        <v>16221</v>
      </c>
    </row>
    <row r="53" spans="1:11">
      <c r="A53" s="14" t="s">
        <v>16222</v>
      </c>
      <c r="B53" s="14" t="s">
        <v>16223</v>
      </c>
      <c r="C53" s="14" t="s">
        <v>16090</v>
      </c>
      <c r="D53" s="14">
        <v>4</v>
      </c>
      <c r="E53" s="14">
        <v>1378</v>
      </c>
      <c r="F53" s="14">
        <v>8</v>
      </c>
      <c r="G53" s="14">
        <v>15605</v>
      </c>
      <c r="H53" s="14">
        <v>0.00316965560632812</v>
      </c>
      <c r="I53" s="14">
        <v>0.0871425010844343</v>
      </c>
      <c r="J53" s="14">
        <v>5.6621915820029</v>
      </c>
      <c r="K53" s="14" t="s">
        <v>16224</v>
      </c>
    </row>
    <row r="54" spans="1:11">
      <c r="A54" s="14" t="s">
        <v>16225</v>
      </c>
      <c r="B54" s="14" t="s">
        <v>16226</v>
      </c>
      <c r="C54" s="14" t="s">
        <v>16090</v>
      </c>
      <c r="D54" s="14">
        <v>4</v>
      </c>
      <c r="E54" s="14">
        <v>1378</v>
      </c>
      <c r="F54" s="14">
        <v>8</v>
      </c>
      <c r="G54" s="14">
        <v>15605</v>
      </c>
      <c r="H54" s="14">
        <v>0.00316965560632812</v>
      </c>
      <c r="I54" s="14">
        <v>0.0871425010844343</v>
      </c>
      <c r="J54" s="14">
        <v>5.6621915820029</v>
      </c>
      <c r="K54" s="14" t="s">
        <v>16227</v>
      </c>
    </row>
    <row r="55" spans="1:11">
      <c r="A55" s="14" t="s">
        <v>16228</v>
      </c>
      <c r="B55" s="14" t="s">
        <v>16229</v>
      </c>
      <c r="C55" s="14" t="s">
        <v>16090</v>
      </c>
      <c r="D55" s="14">
        <v>40</v>
      </c>
      <c r="E55" s="14">
        <v>1378</v>
      </c>
      <c r="F55" s="14">
        <v>291</v>
      </c>
      <c r="G55" s="14">
        <v>15605</v>
      </c>
      <c r="H55" s="14">
        <v>0.00329779278727014</v>
      </c>
      <c r="I55" s="14">
        <v>0.0871425010844343</v>
      </c>
      <c r="J55" s="14">
        <v>1.55661624247502</v>
      </c>
      <c r="K55" s="14" t="s">
        <v>16230</v>
      </c>
    </row>
    <row r="56" spans="1:11">
      <c r="A56" s="14" t="s">
        <v>16231</v>
      </c>
      <c r="B56" s="14" t="s">
        <v>16232</v>
      </c>
      <c r="C56" s="14" t="s">
        <v>16090</v>
      </c>
      <c r="D56" s="14">
        <v>81</v>
      </c>
      <c r="E56" s="14">
        <v>1378</v>
      </c>
      <c r="F56" s="14">
        <v>681</v>
      </c>
      <c r="G56" s="14">
        <v>15605</v>
      </c>
      <c r="H56" s="14">
        <v>0.00337708453154007</v>
      </c>
      <c r="I56" s="14">
        <v>0.0871425010844343</v>
      </c>
      <c r="J56" s="14">
        <v>1.34695306356016</v>
      </c>
      <c r="K56" s="14" t="s">
        <v>16233</v>
      </c>
    </row>
    <row r="57" spans="1:11">
      <c r="A57" s="14" t="s">
        <v>16234</v>
      </c>
      <c r="B57" s="14" t="s">
        <v>16235</v>
      </c>
      <c r="C57" s="14" t="s">
        <v>16086</v>
      </c>
      <c r="D57" s="14">
        <v>6</v>
      </c>
      <c r="E57" s="14">
        <v>1378</v>
      </c>
      <c r="F57" s="14">
        <v>18</v>
      </c>
      <c r="G57" s="14">
        <v>15605</v>
      </c>
      <c r="H57" s="14">
        <v>0.00343414937726048</v>
      </c>
      <c r="I57" s="14">
        <v>0.0871425010844343</v>
      </c>
      <c r="J57" s="14">
        <v>3.77479438800194</v>
      </c>
      <c r="K57" s="14" t="s">
        <v>16236</v>
      </c>
    </row>
    <row r="58" spans="1:11">
      <c r="A58" s="14" t="s">
        <v>6857</v>
      </c>
      <c r="B58" s="14" t="s">
        <v>6858</v>
      </c>
      <c r="C58" s="14" t="s">
        <v>16086</v>
      </c>
      <c r="D58" s="14">
        <v>107</v>
      </c>
      <c r="E58" s="14">
        <v>1378</v>
      </c>
      <c r="F58" s="14">
        <v>940</v>
      </c>
      <c r="G58" s="14">
        <v>15605</v>
      </c>
      <c r="H58" s="14">
        <v>0.00346532814149926</v>
      </c>
      <c r="I58" s="14">
        <v>0.0871425010844343</v>
      </c>
      <c r="J58" s="14">
        <v>1.28905212611555</v>
      </c>
      <c r="K58" s="14" t="s">
        <v>16237</v>
      </c>
    </row>
    <row r="59" spans="1:11">
      <c r="A59" s="14" t="s">
        <v>16238</v>
      </c>
      <c r="B59" s="14" t="s">
        <v>16239</v>
      </c>
      <c r="C59" s="14" t="s">
        <v>16090</v>
      </c>
      <c r="D59" s="14">
        <v>41</v>
      </c>
      <c r="E59" s="14">
        <v>1378</v>
      </c>
      <c r="F59" s="14">
        <v>301</v>
      </c>
      <c r="G59" s="14">
        <v>15605</v>
      </c>
      <c r="H59" s="14">
        <v>0.00348362167306155</v>
      </c>
      <c r="I59" s="14">
        <v>0.0871425010844343</v>
      </c>
      <c r="J59" s="14">
        <v>1.54252395257222</v>
      </c>
      <c r="K59" s="14" t="s">
        <v>16240</v>
      </c>
    </row>
    <row r="60" spans="1:11">
      <c r="A60" s="14" t="s">
        <v>16241</v>
      </c>
      <c r="B60" s="14" t="s">
        <v>16242</v>
      </c>
      <c r="C60" s="14" t="s">
        <v>16090</v>
      </c>
      <c r="D60" s="14">
        <v>34</v>
      </c>
      <c r="E60" s="14">
        <v>1378</v>
      </c>
      <c r="F60" s="14">
        <v>238</v>
      </c>
      <c r="G60" s="14">
        <v>15605</v>
      </c>
      <c r="H60" s="14">
        <v>0.00349051454619972</v>
      </c>
      <c r="I60" s="14">
        <v>0.0871425010844343</v>
      </c>
      <c r="J60" s="14">
        <v>1.6177690234294</v>
      </c>
      <c r="K60" s="14" t="s">
        <v>16243</v>
      </c>
    </row>
    <row r="61" spans="1:11">
      <c r="A61" s="14" t="s">
        <v>16244</v>
      </c>
      <c r="B61" s="14" t="s">
        <v>16245</v>
      </c>
      <c r="C61" s="14" t="s">
        <v>16086</v>
      </c>
      <c r="D61" s="14">
        <v>10</v>
      </c>
      <c r="E61" s="14">
        <v>1378</v>
      </c>
      <c r="F61" s="14">
        <v>43</v>
      </c>
      <c r="G61" s="14">
        <v>15605</v>
      </c>
      <c r="H61" s="14">
        <v>0.00357887132098761</v>
      </c>
      <c r="I61" s="14">
        <v>0.0878339944540688</v>
      </c>
      <c r="J61" s="14">
        <v>2.63357748000135</v>
      </c>
      <c r="K61" s="14" t="s">
        <v>16246</v>
      </c>
    </row>
    <row r="62" spans="1:11">
      <c r="A62" s="14" t="s">
        <v>16247</v>
      </c>
      <c r="B62" s="14" t="s">
        <v>16248</v>
      </c>
      <c r="C62" s="14" t="s">
        <v>16090</v>
      </c>
      <c r="D62" s="14">
        <v>5</v>
      </c>
      <c r="E62" s="14">
        <v>1378</v>
      </c>
      <c r="F62" s="14">
        <v>13</v>
      </c>
      <c r="G62" s="14">
        <v>15605</v>
      </c>
      <c r="H62" s="14">
        <v>0.00375120242570969</v>
      </c>
      <c r="I62" s="14">
        <v>0.0905290185404605</v>
      </c>
      <c r="J62" s="14">
        <v>4.35553198615608</v>
      </c>
      <c r="K62" s="14" t="s">
        <v>16249</v>
      </c>
    </row>
    <row r="63" spans="1:11">
      <c r="A63" s="14" t="s">
        <v>16250</v>
      </c>
      <c r="B63" s="14" t="s">
        <v>16251</v>
      </c>
      <c r="C63" s="14" t="s">
        <v>16086</v>
      </c>
      <c r="D63" s="14">
        <v>25</v>
      </c>
      <c r="E63" s="14">
        <v>1378</v>
      </c>
      <c r="F63" s="14">
        <v>162</v>
      </c>
      <c r="G63" s="14">
        <v>15605</v>
      </c>
      <c r="H63" s="14">
        <v>0.00418425249851633</v>
      </c>
      <c r="I63" s="14">
        <v>0.099324551112322</v>
      </c>
      <c r="J63" s="14">
        <v>1.74758999444534</v>
      </c>
      <c r="K63" s="14" t="s">
        <v>16252</v>
      </c>
    </row>
    <row r="64" spans="1:11">
      <c r="A64" s="14" t="s">
        <v>399</v>
      </c>
      <c r="B64" s="14" t="s">
        <v>400</v>
      </c>
      <c r="C64" s="14" t="s">
        <v>16096</v>
      </c>
      <c r="D64" s="14">
        <v>163</v>
      </c>
      <c r="E64" s="14">
        <v>1378</v>
      </c>
      <c r="F64" s="14">
        <v>1527</v>
      </c>
      <c r="G64" s="14">
        <v>15605</v>
      </c>
      <c r="H64" s="14">
        <v>0.00508536468049819</v>
      </c>
      <c r="I64" s="14">
        <v>0.115367735462352</v>
      </c>
      <c r="J64" s="14">
        <v>1.20882413603991</v>
      </c>
      <c r="K64" s="14" t="s">
        <v>16253</v>
      </c>
    </row>
    <row r="65" spans="1:11">
      <c r="A65" s="14" t="s">
        <v>16254</v>
      </c>
      <c r="B65" s="14" t="s">
        <v>16255</v>
      </c>
      <c r="C65" s="14" t="s">
        <v>16090</v>
      </c>
      <c r="D65" s="14">
        <v>4</v>
      </c>
      <c r="E65" s="14">
        <v>1378</v>
      </c>
      <c r="F65" s="14">
        <v>9</v>
      </c>
      <c r="G65" s="14">
        <v>15605</v>
      </c>
      <c r="H65" s="14">
        <v>0.00530851287200449</v>
      </c>
      <c r="I65" s="14">
        <v>0.115367735462352</v>
      </c>
      <c r="J65" s="14">
        <v>5.03305918400258</v>
      </c>
      <c r="K65" s="14" t="s">
        <v>16256</v>
      </c>
    </row>
    <row r="66" spans="1:11">
      <c r="A66" s="14" t="s">
        <v>16257</v>
      </c>
      <c r="B66" s="14" t="s">
        <v>16258</v>
      </c>
      <c r="C66" s="14" t="s">
        <v>16086</v>
      </c>
      <c r="D66" s="14">
        <v>4</v>
      </c>
      <c r="E66" s="14">
        <v>1378</v>
      </c>
      <c r="F66" s="14">
        <v>9</v>
      </c>
      <c r="G66" s="14">
        <v>15605</v>
      </c>
      <c r="H66" s="14">
        <v>0.00530851287200449</v>
      </c>
      <c r="I66" s="14">
        <v>0.115367735462352</v>
      </c>
      <c r="J66" s="14">
        <v>5.03305918400258</v>
      </c>
      <c r="K66" s="14" t="s">
        <v>16259</v>
      </c>
    </row>
    <row r="67" spans="1:11">
      <c r="A67" s="14" t="s">
        <v>16260</v>
      </c>
      <c r="B67" s="14" t="s">
        <v>16261</v>
      </c>
      <c r="C67" s="14" t="s">
        <v>16090</v>
      </c>
      <c r="D67" s="14">
        <v>4</v>
      </c>
      <c r="E67" s="14">
        <v>1378</v>
      </c>
      <c r="F67" s="14">
        <v>9</v>
      </c>
      <c r="G67" s="14">
        <v>15605</v>
      </c>
      <c r="H67" s="14">
        <v>0.00530851287200449</v>
      </c>
      <c r="I67" s="14">
        <v>0.115367735462352</v>
      </c>
      <c r="J67" s="14">
        <v>5.03305918400258</v>
      </c>
      <c r="K67" s="14" t="s">
        <v>16262</v>
      </c>
    </row>
    <row r="68" spans="1:11">
      <c r="A68" s="14" t="s">
        <v>16263</v>
      </c>
      <c r="B68" s="14" t="s">
        <v>16264</v>
      </c>
      <c r="C68" s="14" t="s">
        <v>16096</v>
      </c>
      <c r="D68" s="14">
        <v>5</v>
      </c>
      <c r="E68" s="14">
        <v>1378</v>
      </c>
      <c r="F68" s="14">
        <v>14</v>
      </c>
      <c r="G68" s="14">
        <v>15605</v>
      </c>
      <c r="H68" s="14">
        <v>0.00541522177404105</v>
      </c>
      <c r="I68" s="14">
        <v>0.115367735462352</v>
      </c>
      <c r="J68" s="14">
        <v>4.0444225585735</v>
      </c>
      <c r="K68" s="14" t="s">
        <v>16265</v>
      </c>
    </row>
    <row r="69" spans="1:11">
      <c r="A69" s="14" t="s">
        <v>16266</v>
      </c>
      <c r="B69" s="14" t="s">
        <v>16267</v>
      </c>
      <c r="C69" s="14" t="s">
        <v>16086</v>
      </c>
      <c r="D69" s="14">
        <v>12</v>
      </c>
      <c r="E69" s="14">
        <v>1378</v>
      </c>
      <c r="F69" s="14">
        <v>60</v>
      </c>
      <c r="G69" s="14">
        <v>15605</v>
      </c>
      <c r="H69" s="14">
        <v>0.00556422695917072</v>
      </c>
      <c r="I69" s="14">
        <v>0.115367735462352</v>
      </c>
      <c r="J69" s="14">
        <v>2.26487663280116</v>
      </c>
      <c r="K69" s="14" t="s">
        <v>16268</v>
      </c>
    </row>
    <row r="70" spans="1:11">
      <c r="A70" s="14" t="s">
        <v>16269</v>
      </c>
      <c r="B70" s="14" t="s">
        <v>16270</v>
      </c>
      <c r="C70" s="14" t="s">
        <v>16086</v>
      </c>
      <c r="D70" s="14">
        <v>3</v>
      </c>
      <c r="E70" s="14">
        <v>1378</v>
      </c>
      <c r="F70" s="14">
        <v>5</v>
      </c>
      <c r="G70" s="14">
        <v>15605</v>
      </c>
      <c r="H70" s="14">
        <v>0.00599570838940293</v>
      </c>
      <c r="I70" s="14">
        <v>0.115367735462352</v>
      </c>
      <c r="J70" s="14">
        <v>6.79462989840348</v>
      </c>
      <c r="K70" s="14" t="s">
        <v>16271</v>
      </c>
    </row>
    <row r="71" spans="1:11">
      <c r="A71" s="14" t="s">
        <v>16272</v>
      </c>
      <c r="B71" s="14" t="s">
        <v>16273</v>
      </c>
      <c r="C71" s="14" t="s">
        <v>16090</v>
      </c>
      <c r="D71" s="14">
        <v>3</v>
      </c>
      <c r="E71" s="14">
        <v>1378</v>
      </c>
      <c r="F71" s="14">
        <v>5</v>
      </c>
      <c r="G71" s="14">
        <v>15605</v>
      </c>
      <c r="H71" s="14">
        <v>0.00599570838940293</v>
      </c>
      <c r="I71" s="14">
        <v>0.115367735462352</v>
      </c>
      <c r="J71" s="14">
        <v>6.79462989840348</v>
      </c>
      <c r="K71" s="14" t="s">
        <v>16274</v>
      </c>
    </row>
    <row r="72" spans="1:11">
      <c r="A72" s="14" t="s">
        <v>16275</v>
      </c>
      <c r="B72" s="14" t="s">
        <v>16276</v>
      </c>
      <c r="C72" s="14" t="s">
        <v>16086</v>
      </c>
      <c r="D72" s="14">
        <v>3</v>
      </c>
      <c r="E72" s="14">
        <v>1378</v>
      </c>
      <c r="F72" s="14">
        <v>5</v>
      </c>
      <c r="G72" s="14">
        <v>15605</v>
      </c>
      <c r="H72" s="14">
        <v>0.00599570838940293</v>
      </c>
      <c r="I72" s="14">
        <v>0.115367735462352</v>
      </c>
      <c r="J72" s="14">
        <v>6.79462989840348</v>
      </c>
      <c r="K72" s="14" t="s">
        <v>16277</v>
      </c>
    </row>
    <row r="73" spans="1:11">
      <c r="A73" s="14" t="s">
        <v>16278</v>
      </c>
      <c r="B73" s="14" t="s">
        <v>16279</v>
      </c>
      <c r="C73" s="14" t="s">
        <v>16090</v>
      </c>
      <c r="D73" s="14">
        <v>3</v>
      </c>
      <c r="E73" s="14">
        <v>1378</v>
      </c>
      <c r="F73" s="14">
        <v>5</v>
      </c>
      <c r="G73" s="14">
        <v>15605</v>
      </c>
      <c r="H73" s="14">
        <v>0.00599570838940293</v>
      </c>
      <c r="I73" s="14">
        <v>0.115367735462352</v>
      </c>
      <c r="J73" s="14">
        <v>6.79462989840348</v>
      </c>
      <c r="K73" s="14" t="s">
        <v>16277</v>
      </c>
    </row>
    <row r="74" spans="1:11">
      <c r="A74" s="14" t="s">
        <v>16280</v>
      </c>
      <c r="B74" s="14" t="s">
        <v>16281</v>
      </c>
      <c r="C74" s="14" t="s">
        <v>16090</v>
      </c>
      <c r="D74" s="14">
        <v>3</v>
      </c>
      <c r="E74" s="14">
        <v>1378</v>
      </c>
      <c r="F74" s="14">
        <v>5</v>
      </c>
      <c r="G74" s="14">
        <v>15605</v>
      </c>
      <c r="H74" s="14">
        <v>0.00599570838940293</v>
      </c>
      <c r="I74" s="14">
        <v>0.115367735462352</v>
      </c>
      <c r="J74" s="14">
        <v>6.79462989840348</v>
      </c>
      <c r="K74" s="14" t="s">
        <v>16271</v>
      </c>
    </row>
    <row r="75" spans="1:11">
      <c r="A75" s="14" t="s">
        <v>16282</v>
      </c>
      <c r="B75" s="14" t="s">
        <v>16283</v>
      </c>
      <c r="C75" s="14" t="s">
        <v>16086</v>
      </c>
      <c r="D75" s="14">
        <v>3</v>
      </c>
      <c r="E75" s="14">
        <v>1378</v>
      </c>
      <c r="F75" s="14">
        <v>5</v>
      </c>
      <c r="G75" s="14">
        <v>15605</v>
      </c>
      <c r="H75" s="14">
        <v>0.00599570838940293</v>
      </c>
      <c r="I75" s="14">
        <v>0.115367735462352</v>
      </c>
      <c r="J75" s="14">
        <v>6.79462989840348</v>
      </c>
      <c r="K75" s="14" t="s">
        <v>16284</v>
      </c>
    </row>
    <row r="76" spans="1:11">
      <c r="A76" s="14" t="s">
        <v>16285</v>
      </c>
      <c r="B76" s="14" t="s">
        <v>16286</v>
      </c>
      <c r="C76" s="14" t="s">
        <v>16090</v>
      </c>
      <c r="D76" s="14">
        <v>3</v>
      </c>
      <c r="E76" s="14">
        <v>1378</v>
      </c>
      <c r="F76" s="14">
        <v>5</v>
      </c>
      <c r="G76" s="14">
        <v>15605</v>
      </c>
      <c r="H76" s="14">
        <v>0.00599570838940293</v>
      </c>
      <c r="I76" s="14">
        <v>0.115367735462352</v>
      </c>
      <c r="J76" s="14">
        <v>6.79462989840348</v>
      </c>
      <c r="K76" s="14" t="s">
        <v>16287</v>
      </c>
    </row>
    <row r="77" spans="1:11">
      <c r="A77" s="14" t="s">
        <v>16288</v>
      </c>
      <c r="B77" s="14" t="s">
        <v>16289</v>
      </c>
      <c r="C77" s="14" t="s">
        <v>16090</v>
      </c>
      <c r="D77" s="14">
        <v>3</v>
      </c>
      <c r="E77" s="14">
        <v>1378</v>
      </c>
      <c r="F77" s="14">
        <v>5</v>
      </c>
      <c r="G77" s="14">
        <v>15605</v>
      </c>
      <c r="H77" s="14">
        <v>0.00599570838940293</v>
      </c>
      <c r="I77" s="14">
        <v>0.115367735462352</v>
      </c>
      <c r="J77" s="14">
        <v>6.79462989840348</v>
      </c>
      <c r="K77" s="14" t="s">
        <v>16290</v>
      </c>
    </row>
    <row r="78" spans="1:11">
      <c r="A78" s="14" t="s">
        <v>16291</v>
      </c>
      <c r="B78" s="14" t="s">
        <v>16292</v>
      </c>
      <c r="C78" s="14" t="s">
        <v>16090</v>
      </c>
      <c r="D78" s="14">
        <v>7</v>
      </c>
      <c r="E78" s="14">
        <v>1378</v>
      </c>
      <c r="F78" s="14">
        <v>26</v>
      </c>
      <c r="G78" s="14">
        <v>15605</v>
      </c>
      <c r="H78" s="14">
        <v>0.00605521263476435</v>
      </c>
      <c r="I78" s="14">
        <v>0.115367735462352</v>
      </c>
      <c r="J78" s="14">
        <v>3.04887239030925</v>
      </c>
      <c r="K78" s="14" t="s">
        <v>16293</v>
      </c>
    </row>
    <row r="79" spans="1:11">
      <c r="A79" s="14" t="s">
        <v>16294</v>
      </c>
      <c r="B79" s="14" t="s">
        <v>16295</v>
      </c>
      <c r="C79" s="14" t="s">
        <v>16096</v>
      </c>
      <c r="D79" s="14">
        <v>10</v>
      </c>
      <c r="E79" s="14">
        <v>1378</v>
      </c>
      <c r="F79" s="14">
        <v>47</v>
      </c>
      <c r="G79" s="14">
        <v>15605</v>
      </c>
      <c r="H79" s="14">
        <v>0.00700145664773854</v>
      </c>
      <c r="I79" s="14">
        <v>0.131663756180849</v>
      </c>
      <c r="J79" s="14">
        <v>2.40944322638421</v>
      </c>
      <c r="K79" s="14" t="s">
        <v>16296</v>
      </c>
    </row>
    <row r="80" spans="1:11">
      <c r="A80" s="14" t="s">
        <v>16297</v>
      </c>
      <c r="B80" s="14" t="s">
        <v>16298</v>
      </c>
      <c r="C80" s="14" t="s">
        <v>16086</v>
      </c>
      <c r="D80" s="14">
        <v>5</v>
      </c>
      <c r="E80" s="14">
        <v>1378</v>
      </c>
      <c r="F80" s="14">
        <v>15</v>
      </c>
      <c r="G80" s="14">
        <v>15605</v>
      </c>
      <c r="H80" s="14">
        <v>0.00753969345208643</v>
      </c>
      <c r="I80" s="14">
        <v>0.139967642546425</v>
      </c>
      <c r="J80" s="14">
        <v>3.77479438800194</v>
      </c>
      <c r="K80" s="14" t="s">
        <v>16299</v>
      </c>
    </row>
    <row r="81" spans="1:11">
      <c r="A81" s="14" t="s">
        <v>16300</v>
      </c>
      <c r="B81" s="14" t="s">
        <v>16301</v>
      </c>
      <c r="C81" s="14" t="s">
        <v>16086</v>
      </c>
      <c r="D81" s="14">
        <v>36</v>
      </c>
      <c r="E81" s="14">
        <v>1378</v>
      </c>
      <c r="F81" s="14">
        <v>269</v>
      </c>
      <c r="G81" s="14">
        <v>15605</v>
      </c>
      <c r="H81" s="14">
        <v>0.00781149886541324</v>
      </c>
      <c r="I81" s="14">
        <v>0.143177852621751</v>
      </c>
      <c r="J81" s="14">
        <v>1.51553083235765</v>
      </c>
      <c r="K81" s="14" t="s">
        <v>16302</v>
      </c>
    </row>
    <row r="82" spans="1:11">
      <c r="A82" s="14" t="s">
        <v>16303</v>
      </c>
      <c r="B82" s="14" t="s">
        <v>16304</v>
      </c>
      <c r="C82" s="14" t="s">
        <v>16086</v>
      </c>
      <c r="D82" s="14">
        <v>42</v>
      </c>
      <c r="E82" s="14">
        <v>1378</v>
      </c>
      <c r="F82" s="14">
        <v>325</v>
      </c>
      <c r="G82" s="14">
        <v>15605</v>
      </c>
      <c r="H82" s="14">
        <v>0.00791917032687652</v>
      </c>
      <c r="I82" s="14">
        <v>0.143336982916465</v>
      </c>
      <c r="J82" s="14">
        <v>1.46345874734844</v>
      </c>
      <c r="K82" s="14" t="s">
        <v>16305</v>
      </c>
    </row>
    <row r="83" spans="1:11">
      <c r="A83" s="14" t="s">
        <v>16306</v>
      </c>
      <c r="B83" s="14" t="s">
        <v>16307</v>
      </c>
      <c r="C83" s="14" t="s">
        <v>16086</v>
      </c>
      <c r="D83" s="14">
        <v>8</v>
      </c>
      <c r="E83" s="14">
        <v>1378</v>
      </c>
      <c r="F83" s="14">
        <v>34</v>
      </c>
      <c r="G83" s="14">
        <v>15605</v>
      </c>
      <c r="H83" s="14">
        <v>0.00821034752769586</v>
      </c>
      <c r="I83" s="14">
        <v>0.143651201221707</v>
      </c>
      <c r="J83" s="14">
        <v>2.66456074447195</v>
      </c>
      <c r="K83" s="14" t="s">
        <v>16308</v>
      </c>
    </row>
    <row r="84" spans="1:11">
      <c r="A84" s="14" t="s">
        <v>16309</v>
      </c>
      <c r="B84" s="14" t="s">
        <v>16310</v>
      </c>
      <c r="C84" s="14" t="s">
        <v>16086</v>
      </c>
      <c r="D84" s="14">
        <v>4</v>
      </c>
      <c r="E84" s="14">
        <v>1378</v>
      </c>
      <c r="F84" s="14">
        <v>10</v>
      </c>
      <c r="G84" s="14">
        <v>15605</v>
      </c>
      <c r="H84" s="14">
        <v>0.00823415034627186</v>
      </c>
      <c r="I84" s="14">
        <v>0.143651201221707</v>
      </c>
      <c r="J84" s="14">
        <v>4.52975326560232</v>
      </c>
      <c r="K84" s="14" t="s">
        <v>16311</v>
      </c>
    </row>
    <row r="85" spans="1:11">
      <c r="A85" s="14" t="s">
        <v>16312</v>
      </c>
      <c r="B85" s="14" t="s">
        <v>16313</v>
      </c>
      <c r="C85" s="14" t="s">
        <v>16090</v>
      </c>
      <c r="D85" s="14">
        <v>4</v>
      </c>
      <c r="E85" s="14">
        <v>1378</v>
      </c>
      <c r="F85" s="14">
        <v>10</v>
      </c>
      <c r="G85" s="14">
        <v>15605</v>
      </c>
      <c r="H85" s="14">
        <v>0.00823415034627186</v>
      </c>
      <c r="I85" s="14">
        <v>0.143651201221707</v>
      </c>
      <c r="J85" s="14">
        <v>4.52975326560232</v>
      </c>
      <c r="K85" s="14" t="s">
        <v>16314</v>
      </c>
    </row>
    <row r="86" spans="1:11">
      <c r="A86" s="14" t="s">
        <v>16315</v>
      </c>
      <c r="B86" s="14" t="s">
        <v>16316</v>
      </c>
      <c r="C86" s="14" t="s">
        <v>16090</v>
      </c>
      <c r="D86" s="14">
        <v>8</v>
      </c>
      <c r="E86" s="14">
        <v>1378</v>
      </c>
      <c r="F86" s="14">
        <v>35</v>
      </c>
      <c r="G86" s="14">
        <v>15605</v>
      </c>
      <c r="H86" s="14">
        <v>0.00983807739756022</v>
      </c>
      <c r="I86" s="14">
        <v>0.169458657643266</v>
      </c>
      <c r="J86" s="14">
        <v>2.58843043748704</v>
      </c>
      <c r="K86" s="14" t="s">
        <v>16317</v>
      </c>
    </row>
    <row r="87" spans="1:11">
      <c r="A87" s="14" t="s">
        <v>16318</v>
      </c>
      <c r="B87" s="14" t="s">
        <v>16319</v>
      </c>
      <c r="C87" s="14" t="s">
        <v>16086</v>
      </c>
      <c r="D87" s="14">
        <v>6</v>
      </c>
      <c r="E87" s="14">
        <v>1378</v>
      </c>
      <c r="F87" s="14">
        <v>22</v>
      </c>
      <c r="G87" s="14">
        <v>15605</v>
      </c>
      <c r="H87" s="14">
        <v>0.0101686395925787</v>
      </c>
      <c r="I87" s="14">
        <v>0.169458657643266</v>
      </c>
      <c r="J87" s="14">
        <v>3.08846813563795</v>
      </c>
      <c r="K87" s="14" t="s">
        <v>16320</v>
      </c>
    </row>
    <row r="88" spans="1:11">
      <c r="A88" s="14" t="s">
        <v>16321</v>
      </c>
      <c r="B88" s="14" t="s">
        <v>16322</v>
      </c>
      <c r="C88" s="14" t="s">
        <v>16086</v>
      </c>
      <c r="D88" s="14">
        <v>6</v>
      </c>
      <c r="E88" s="14">
        <v>1378</v>
      </c>
      <c r="F88" s="14">
        <v>22</v>
      </c>
      <c r="G88" s="14">
        <v>15605</v>
      </c>
      <c r="H88" s="14">
        <v>0.0101686395925787</v>
      </c>
      <c r="I88" s="14">
        <v>0.169458657643266</v>
      </c>
      <c r="J88" s="14">
        <v>3.08846813563795</v>
      </c>
      <c r="K88" s="14" t="s">
        <v>16323</v>
      </c>
    </row>
    <row r="89" spans="1:11">
      <c r="A89" s="14" t="s">
        <v>16324</v>
      </c>
      <c r="B89" s="14" t="s">
        <v>16325</v>
      </c>
      <c r="C89" s="14" t="s">
        <v>16090</v>
      </c>
      <c r="D89" s="14">
        <v>5</v>
      </c>
      <c r="E89" s="14">
        <v>1378</v>
      </c>
      <c r="F89" s="14">
        <v>16</v>
      </c>
      <c r="G89" s="14">
        <v>15605</v>
      </c>
      <c r="H89" s="14">
        <v>0.0101815629937598</v>
      </c>
      <c r="I89" s="14">
        <v>0.169458657643266</v>
      </c>
      <c r="J89" s="14">
        <v>3.53886973875181</v>
      </c>
      <c r="K89" s="14" t="s">
        <v>16326</v>
      </c>
    </row>
    <row r="90" spans="1:11">
      <c r="A90" s="14" t="s">
        <v>16327</v>
      </c>
      <c r="B90" s="14" t="s">
        <v>16328</v>
      </c>
      <c r="C90" s="14" t="s">
        <v>16096</v>
      </c>
      <c r="D90" s="14">
        <v>33</v>
      </c>
      <c r="E90" s="14">
        <v>1378</v>
      </c>
      <c r="F90" s="14">
        <v>247</v>
      </c>
      <c r="G90" s="14">
        <v>15605</v>
      </c>
      <c r="H90" s="14">
        <v>0.0107895811871595</v>
      </c>
      <c r="I90" s="14">
        <v>0.177537654079624</v>
      </c>
      <c r="J90" s="14">
        <v>1.51297426887527</v>
      </c>
      <c r="K90" s="14" t="s">
        <v>16329</v>
      </c>
    </row>
    <row r="91" spans="1:11">
      <c r="A91" s="14" t="s">
        <v>16330</v>
      </c>
      <c r="B91" s="14" t="s">
        <v>16331</v>
      </c>
      <c r="C91" s="14" t="s">
        <v>16086</v>
      </c>
      <c r="D91" s="14">
        <v>3</v>
      </c>
      <c r="E91" s="14">
        <v>1378</v>
      </c>
      <c r="F91" s="14">
        <v>6</v>
      </c>
      <c r="G91" s="14">
        <v>15605</v>
      </c>
      <c r="H91" s="14">
        <v>0.011206274023123</v>
      </c>
      <c r="I91" s="14">
        <v>0.178439589970876</v>
      </c>
      <c r="J91" s="14">
        <v>5.6621915820029</v>
      </c>
      <c r="K91" s="14" t="s">
        <v>16332</v>
      </c>
    </row>
    <row r="92" spans="1:11">
      <c r="A92" s="14" t="s">
        <v>16333</v>
      </c>
      <c r="B92" s="14" t="s">
        <v>16334</v>
      </c>
      <c r="C92" s="14" t="s">
        <v>16090</v>
      </c>
      <c r="D92" s="14">
        <v>3</v>
      </c>
      <c r="E92" s="14">
        <v>1378</v>
      </c>
      <c r="F92" s="14">
        <v>6</v>
      </c>
      <c r="G92" s="14">
        <v>15605</v>
      </c>
      <c r="H92" s="14">
        <v>0.011206274023123</v>
      </c>
      <c r="I92" s="14">
        <v>0.178439589970876</v>
      </c>
      <c r="J92" s="14">
        <v>5.6621915820029</v>
      </c>
      <c r="K92" s="14" t="s">
        <v>16332</v>
      </c>
    </row>
    <row r="93" spans="1:11">
      <c r="A93" s="14" t="s">
        <v>16335</v>
      </c>
      <c r="B93" s="14" t="s">
        <v>16336</v>
      </c>
      <c r="C93" s="14" t="s">
        <v>16090</v>
      </c>
      <c r="D93" s="14">
        <v>7</v>
      </c>
      <c r="E93" s="14">
        <v>1378</v>
      </c>
      <c r="F93" s="14">
        <v>29</v>
      </c>
      <c r="G93" s="14">
        <v>15605</v>
      </c>
      <c r="H93" s="14">
        <v>0.0113837302162776</v>
      </c>
      <c r="I93" s="14">
        <v>0.178439589970876</v>
      </c>
      <c r="J93" s="14">
        <v>2.7334717982083</v>
      </c>
      <c r="K93" s="14" t="s">
        <v>16337</v>
      </c>
    </row>
    <row r="94" spans="1:11">
      <c r="A94" s="14" t="s">
        <v>16338</v>
      </c>
      <c r="B94" s="14" t="s">
        <v>16339</v>
      </c>
      <c r="C94" s="14" t="s">
        <v>16090</v>
      </c>
      <c r="D94" s="14">
        <v>7</v>
      </c>
      <c r="E94" s="14">
        <v>1378</v>
      </c>
      <c r="F94" s="14">
        <v>29</v>
      </c>
      <c r="G94" s="14">
        <v>15605</v>
      </c>
      <c r="H94" s="14">
        <v>0.0113837302162776</v>
      </c>
      <c r="I94" s="14">
        <v>0.178439589970876</v>
      </c>
      <c r="J94" s="14">
        <v>2.7334717982083</v>
      </c>
      <c r="K94" s="14" t="s">
        <v>16340</v>
      </c>
    </row>
    <row r="95" spans="1:11">
      <c r="A95" s="14" t="s">
        <v>16341</v>
      </c>
      <c r="B95" s="14" t="s">
        <v>16342</v>
      </c>
      <c r="C95" s="14" t="s">
        <v>16090</v>
      </c>
      <c r="D95" s="14">
        <v>9</v>
      </c>
      <c r="E95" s="14">
        <v>1378</v>
      </c>
      <c r="F95" s="14">
        <v>43</v>
      </c>
      <c r="G95" s="14">
        <v>15605</v>
      </c>
      <c r="H95" s="14">
        <v>0.0114605537757538</v>
      </c>
      <c r="I95" s="14">
        <v>0.178439589970876</v>
      </c>
      <c r="J95" s="14">
        <v>2.37021973200121</v>
      </c>
      <c r="K95" s="14" t="s">
        <v>16343</v>
      </c>
    </row>
    <row r="96" spans="1:11">
      <c r="A96" s="14" t="s">
        <v>16344</v>
      </c>
      <c r="B96" s="14" t="s">
        <v>16345</v>
      </c>
      <c r="C96" s="14" t="s">
        <v>16090</v>
      </c>
      <c r="D96" s="14">
        <v>4</v>
      </c>
      <c r="E96" s="14">
        <v>1378</v>
      </c>
      <c r="F96" s="14">
        <v>11</v>
      </c>
      <c r="G96" s="14">
        <v>15605</v>
      </c>
      <c r="H96" s="14">
        <v>0.0120453985047069</v>
      </c>
      <c r="I96" s="14">
        <v>0.183597231945428</v>
      </c>
      <c r="J96" s="14">
        <v>4.11795751418393</v>
      </c>
      <c r="K96" s="14" t="s">
        <v>16346</v>
      </c>
    </row>
    <row r="97" spans="1:11">
      <c r="A97" s="14" t="s">
        <v>16347</v>
      </c>
      <c r="B97" s="14" t="s">
        <v>16348</v>
      </c>
      <c r="C97" s="14" t="s">
        <v>16090</v>
      </c>
      <c r="D97" s="14">
        <v>4</v>
      </c>
      <c r="E97" s="14">
        <v>1378</v>
      </c>
      <c r="F97" s="14">
        <v>11</v>
      </c>
      <c r="G97" s="14">
        <v>15605</v>
      </c>
      <c r="H97" s="14">
        <v>0.0120453985047069</v>
      </c>
      <c r="I97" s="14">
        <v>0.183597231945428</v>
      </c>
      <c r="J97" s="14">
        <v>4.11795751418393</v>
      </c>
      <c r="K97" s="14" t="s">
        <v>16349</v>
      </c>
    </row>
    <row r="98" spans="1:11">
      <c r="A98" s="14" t="s">
        <v>16350</v>
      </c>
      <c r="B98" s="14" t="s">
        <v>16351</v>
      </c>
      <c r="C98" s="14" t="s">
        <v>16090</v>
      </c>
      <c r="D98" s="14">
        <v>9</v>
      </c>
      <c r="E98" s="14">
        <v>1378</v>
      </c>
      <c r="F98" s="14">
        <v>44</v>
      </c>
      <c r="G98" s="14">
        <v>15605</v>
      </c>
      <c r="H98" s="14">
        <v>0.0133089802940574</v>
      </c>
      <c r="I98" s="14">
        <v>0.195901418240972</v>
      </c>
      <c r="J98" s="14">
        <v>2.31635110172846</v>
      </c>
      <c r="K98" s="14" t="s">
        <v>16352</v>
      </c>
    </row>
    <row r="99" spans="1:11">
      <c r="A99" s="14" t="s">
        <v>16353</v>
      </c>
      <c r="B99" s="14" t="s">
        <v>16354</v>
      </c>
      <c r="C99" s="14" t="s">
        <v>16086</v>
      </c>
      <c r="D99" s="14">
        <v>5</v>
      </c>
      <c r="E99" s="14">
        <v>1378</v>
      </c>
      <c r="F99" s="14">
        <v>17</v>
      </c>
      <c r="G99" s="14">
        <v>15605</v>
      </c>
      <c r="H99" s="14">
        <v>0.0133938124349836</v>
      </c>
      <c r="I99" s="14">
        <v>0.195901418240972</v>
      </c>
      <c r="J99" s="14">
        <v>3.33070093058994</v>
      </c>
      <c r="K99" s="14" t="s">
        <v>16355</v>
      </c>
    </row>
    <row r="100" spans="1:11">
      <c r="A100" s="14" t="s">
        <v>16356</v>
      </c>
      <c r="B100" s="14" t="s">
        <v>16357</v>
      </c>
      <c r="C100" s="14" t="s">
        <v>16090</v>
      </c>
      <c r="D100" s="14">
        <v>5</v>
      </c>
      <c r="E100" s="14">
        <v>1378</v>
      </c>
      <c r="F100" s="14">
        <v>17</v>
      </c>
      <c r="G100" s="14">
        <v>15605</v>
      </c>
      <c r="H100" s="14">
        <v>0.0133938124349836</v>
      </c>
      <c r="I100" s="14">
        <v>0.195901418240972</v>
      </c>
      <c r="J100" s="14">
        <v>3.33070093058994</v>
      </c>
      <c r="K100" s="14" t="s">
        <v>16358</v>
      </c>
    </row>
    <row r="101" spans="1:11">
      <c r="A101" s="14" t="s">
        <v>16359</v>
      </c>
      <c r="B101" s="14" t="s">
        <v>16360</v>
      </c>
      <c r="C101" s="14" t="s">
        <v>16086</v>
      </c>
      <c r="D101" s="14">
        <v>5</v>
      </c>
      <c r="E101" s="14">
        <v>1378</v>
      </c>
      <c r="F101" s="14">
        <v>17</v>
      </c>
      <c r="G101" s="14">
        <v>15605</v>
      </c>
      <c r="H101" s="14">
        <v>0.0133938124349836</v>
      </c>
      <c r="I101" s="14">
        <v>0.195901418240972</v>
      </c>
      <c r="J101" s="14">
        <v>3.33070093058994</v>
      </c>
      <c r="K101" s="14" t="s">
        <v>16361</v>
      </c>
    </row>
    <row r="102" spans="1:11">
      <c r="A102" s="14" t="s">
        <v>16362</v>
      </c>
      <c r="B102" s="14" t="s">
        <v>16363</v>
      </c>
      <c r="C102" s="14" t="s">
        <v>16086</v>
      </c>
      <c r="D102" s="14">
        <v>9</v>
      </c>
      <c r="E102" s="14">
        <v>1378</v>
      </c>
      <c r="F102" s="14">
        <v>45</v>
      </c>
      <c r="G102" s="14">
        <v>15605</v>
      </c>
      <c r="H102" s="14">
        <v>0.0153694131470262</v>
      </c>
      <c r="I102" s="14">
        <v>0.22254910236894</v>
      </c>
      <c r="J102" s="14">
        <v>2.26487663280116</v>
      </c>
      <c r="K102" s="14" t="s">
        <v>16364</v>
      </c>
    </row>
    <row r="103" spans="1:11">
      <c r="A103" s="14" t="s">
        <v>16365</v>
      </c>
      <c r="B103" s="14" t="s">
        <v>16366</v>
      </c>
      <c r="C103" s="14" t="s">
        <v>16090</v>
      </c>
      <c r="D103" s="14">
        <v>6</v>
      </c>
      <c r="E103" s="14">
        <v>1378</v>
      </c>
      <c r="F103" s="14">
        <v>24</v>
      </c>
      <c r="G103" s="14">
        <v>15605</v>
      </c>
      <c r="H103" s="14">
        <v>0.0157603086220745</v>
      </c>
      <c r="I103" s="14">
        <v>0.225949771136276</v>
      </c>
      <c r="J103" s="14">
        <v>2.83109579100145</v>
      </c>
      <c r="K103" s="14" t="s">
        <v>16367</v>
      </c>
    </row>
    <row r="104" spans="1:11">
      <c r="A104" s="14" t="s">
        <v>16368</v>
      </c>
      <c r="B104" s="14" t="s">
        <v>16369</v>
      </c>
      <c r="C104" s="14" t="s">
        <v>16090</v>
      </c>
      <c r="D104" s="14">
        <v>7</v>
      </c>
      <c r="E104" s="14">
        <v>1378</v>
      </c>
      <c r="F104" s="14">
        <v>31</v>
      </c>
      <c r="G104" s="14">
        <v>15605</v>
      </c>
      <c r="H104" s="14">
        <v>0.016434004644793</v>
      </c>
      <c r="I104" s="14">
        <v>0.231845383003693</v>
      </c>
      <c r="J104" s="14">
        <v>2.55711877896905</v>
      </c>
      <c r="K104" s="14" t="s">
        <v>16370</v>
      </c>
    </row>
    <row r="105" spans="1:11">
      <c r="A105" s="14" t="s">
        <v>2798</v>
      </c>
      <c r="B105" s="14" t="s">
        <v>2799</v>
      </c>
      <c r="C105" s="14" t="s">
        <v>16086</v>
      </c>
      <c r="D105" s="14">
        <v>26</v>
      </c>
      <c r="E105" s="14">
        <v>1378</v>
      </c>
      <c r="F105" s="14">
        <v>190</v>
      </c>
      <c r="G105" s="14">
        <v>15605</v>
      </c>
      <c r="H105" s="14">
        <v>0.0164917641225003</v>
      </c>
      <c r="I105" s="14">
        <v>0.231845383003693</v>
      </c>
      <c r="J105" s="14">
        <v>1.54965243296922</v>
      </c>
      <c r="K105" s="14" t="s">
        <v>16371</v>
      </c>
    </row>
    <row r="106" spans="1:11">
      <c r="A106" s="14" t="s">
        <v>16372</v>
      </c>
      <c r="B106" s="14" t="s">
        <v>16373</v>
      </c>
      <c r="C106" s="14" t="s">
        <v>16090</v>
      </c>
      <c r="D106" s="14">
        <v>4</v>
      </c>
      <c r="E106" s="14">
        <v>1378</v>
      </c>
      <c r="F106" s="14">
        <v>12</v>
      </c>
      <c r="G106" s="14">
        <v>15605</v>
      </c>
      <c r="H106" s="14">
        <v>0.0168241229896243</v>
      </c>
      <c r="I106" s="14">
        <v>0.232012667514057</v>
      </c>
      <c r="J106" s="14">
        <v>3.77479438800194</v>
      </c>
      <c r="K106" s="14" t="s">
        <v>16374</v>
      </c>
    </row>
    <row r="107" spans="1:11">
      <c r="A107" s="14" t="s">
        <v>16375</v>
      </c>
      <c r="B107" s="14" t="s">
        <v>16376</v>
      </c>
      <c r="C107" s="14" t="s">
        <v>16086</v>
      </c>
      <c r="D107" s="14">
        <v>4</v>
      </c>
      <c r="E107" s="14">
        <v>1378</v>
      </c>
      <c r="F107" s="14">
        <v>12</v>
      </c>
      <c r="G107" s="14">
        <v>15605</v>
      </c>
      <c r="H107" s="14">
        <v>0.0168241229896243</v>
      </c>
      <c r="I107" s="14">
        <v>0.232012667514057</v>
      </c>
      <c r="J107" s="14">
        <v>3.77479438800194</v>
      </c>
      <c r="K107" s="14" t="s">
        <v>16377</v>
      </c>
    </row>
    <row r="108" spans="1:11">
      <c r="A108" s="14" t="s">
        <v>16378</v>
      </c>
      <c r="B108" s="14" t="s">
        <v>16379</v>
      </c>
      <c r="C108" s="14" t="s">
        <v>16090</v>
      </c>
      <c r="D108" s="14">
        <v>5</v>
      </c>
      <c r="E108" s="14">
        <v>1378</v>
      </c>
      <c r="F108" s="14">
        <v>18</v>
      </c>
      <c r="G108" s="14">
        <v>15605</v>
      </c>
      <c r="H108" s="14">
        <v>0.0172244520725694</v>
      </c>
      <c r="I108" s="14">
        <v>0.235292515104533</v>
      </c>
      <c r="J108" s="14">
        <v>3.14566199000161</v>
      </c>
      <c r="K108" s="14" t="s">
        <v>16380</v>
      </c>
    </row>
    <row r="109" spans="1:11">
      <c r="A109" s="14" t="s">
        <v>16381</v>
      </c>
      <c r="B109" s="14" t="s">
        <v>16382</v>
      </c>
      <c r="C109" s="14" t="s">
        <v>16086</v>
      </c>
      <c r="D109" s="14">
        <v>3</v>
      </c>
      <c r="E109" s="14">
        <v>1378</v>
      </c>
      <c r="F109" s="14">
        <v>7</v>
      </c>
      <c r="G109" s="14">
        <v>15605</v>
      </c>
      <c r="H109" s="14">
        <v>0.0183331814121255</v>
      </c>
      <c r="I109" s="14">
        <v>0.23915717734016</v>
      </c>
      <c r="J109" s="14">
        <v>4.8533070702882</v>
      </c>
      <c r="K109" s="14" t="s">
        <v>16383</v>
      </c>
    </row>
    <row r="110" spans="1:11">
      <c r="A110" s="14" t="s">
        <v>16384</v>
      </c>
      <c r="B110" s="14" t="s">
        <v>16385</v>
      </c>
      <c r="C110" s="14" t="s">
        <v>16086</v>
      </c>
      <c r="D110" s="14">
        <v>3</v>
      </c>
      <c r="E110" s="14">
        <v>1378</v>
      </c>
      <c r="F110" s="14">
        <v>7</v>
      </c>
      <c r="G110" s="14">
        <v>15605</v>
      </c>
      <c r="H110" s="14">
        <v>0.0183331814121255</v>
      </c>
      <c r="I110" s="14">
        <v>0.23915717734016</v>
      </c>
      <c r="J110" s="14">
        <v>4.8533070702882</v>
      </c>
      <c r="K110" s="14" t="s">
        <v>16386</v>
      </c>
    </row>
    <row r="111" spans="1:11">
      <c r="A111" s="14" t="s">
        <v>16387</v>
      </c>
      <c r="B111" s="14" t="s">
        <v>16388</v>
      </c>
      <c r="C111" s="14" t="s">
        <v>16086</v>
      </c>
      <c r="D111" s="14">
        <v>3</v>
      </c>
      <c r="E111" s="14">
        <v>1378</v>
      </c>
      <c r="F111" s="14">
        <v>7</v>
      </c>
      <c r="G111" s="14">
        <v>15605</v>
      </c>
      <c r="H111" s="14">
        <v>0.0183331814121255</v>
      </c>
      <c r="I111" s="14">
        <v>0.23915717734016</v>
      </c>
      <c r="J111" s="14">
        <v>4.8533070702882</v>
      </c>
      <c r="K111" s="14" t="s">
        <v>16389</v>
      </c>
    </row>
    <row r="112" spans="1:11">
      <c r="A112" s="14" t="s">
        <v>16390</v>
      </c>
      <c r="B112" s="14" t="s">
        <v>16391</v>
      </c>
      <c r="C112" s="14" t="s">
        <v>16096</v>
      </c>
      <c r="D112" s="14">
        <v>3</v>
      </c>
      <c r="E112" s="14">
        <v>1378</v>
      </c>
      <c r="F112" s="14">
        <v>7</v>
      </c>
      <c r="G112" s="14">
        <v>15605</v>
      </c>
      <c r="H112" s="14">
        <v>0.0183331814121255</v>
      </c>
      <c r="I112" s="14">
        <v>0.23915717734016</v>
      </c>
      <c r="J112" s="14">
        <v>4.8533070702882</v>
      </c>
      <c r="K112" s="14" t="s">
        <v>16392</v>
      </c>
    </row>
    <row r="113" spans="1:11">
      <c r="A113" s="14" t="s">
        <v>16393</v>
      </c>
      <c r="B113" s="14" t="s">
        <v>16394</v>
      </c>
      <c r="C113" s="14" t="s">
        <v>16090</v>
      </c>
      <c r="D113" s="14">
        <v>3</v>
      </c>
      <c r="E113" s="14">
        <v>1378</v>
      </c>
      <c r="F113" s="14">
        <v>7</v>
      </c>
      <c r="G113" s="14">
        <v>15605</v>
      </c>
      <c r="H113" s="14">
        <v>0.0183331814121255</v>
      </c>
      <c r="I113" s="14">
        <v>0.23915717734016</v>
      </c>
      <c r="J113" s="14">
        <v>4.8533070702882</v>
      </c>
      <c r="K113" s="14" t="s">
        <v>16395</v>
      </c>
    </row>
    <row r="114" spans="1:11">
      <c r="A114" s="14" t="s">
        <v>16396</v>
      </c>
      <c r="B114" s="14" t="s">
        <v>16397</v>
      </c>
      <c r="C114" s="14" t="s">
        <v>16086</v>
      </c>
      <c r="D114" s="14">
        <v>6</v>
      </c>
      <c r="E114" s="14">
        <v>1378</v>
      </c>
      <c r="F114" s="14">
        <v>25</v>
      </c>
      <c r="G114" s="14">
        <v>15605</v>
      </c>
      <c r="H114" s="14">
        <v>0.0192267321773769</v>
      </c>
      <c r="I114" s="14">
        <v>0.24857418029323</v>
      </c>
      <c r="J114" s="14">
        <v>2.71785195936139</v>
      </c>
      <c r="K114" s="14" t="s">
        <v>16398</v>
      </c>
    </row>
    <row r="115" spans="1:11">
      <c r="A115" s="14" t="s">
        <v>16399</v>
      </c>
      <c r="B115" s="14" t="s">
        <v>16400</v>
      </c>
      <c r="C115" s="14" t="s">
        <v>16090</v>
      </c>
      <c r="D115" s="14">
        <v>9</v>
      </c>
      <c r="E115" s="14">
        <v>1378</v>
      </c>
      <c r="F115" s="14">
        <v>47</v>
      </c>
      <c r="G115" s="14">
        <v>15605</v>
      </c>
      <c r="H115" s="14">
        <v>0.0201780444798646</v>
      </c>
      <c r="I115" s="14">
        <v>0.25856467616676</v>
      </c>
      <c r="J115" s="14">
        <v>2.16849890374579</v>
      </c>
      <c r="K115" s="14" t="s">
        <v>16401</v>
      </c>
    </row>
    <row r="116" spans="1:11">
      <c r="A116" s="14" t="s">
        <v>16402</v>
      </c>
      <c r="B116" s="14" t="s">
        <v>16403</v>
      </c>
      <c r="C116" s="14" t="s">
        <v>16096</v>
      </c>
      <c r="D116" s="14">
        <v>15</v>
      </c>
      <c r="E116" s="14">
        <v>1378</v>
      </c>
      <c r="F116" s="14">
        <v>96</v>
      </c>
      <c r="G116" s="14">
        <v>15605</v>
      </c>
      <c r="H116" s="14">
        <v>0.0208200321395806</v>
      </c>
      <c r="I116" s="14">
        <v>0.264450934544848</v>
      </c>
      <c r="J116" s="14">
        <v>1.76943486937591</v>
      </c>
      <c r="K116" s="14" t="s">
        <v>16404</v>
      </c>
    </row>
    <row r="117" spans="1:11">
      <c r="A117" s="14" t="s">
        <v>16405</v>
      </c>
      <c r="B117" s="14" t="s">
        <v>16406</v>
      </c>
      <c r="C117" s="14" t="s">
        <v>16086</v>
      </c>
      <c r="D117" s="14">
        <v>22</v>
      </c>
      <c r="E117" s="14">
        <v>1378</v>
      </c>
      <c r="F117" s="14">
        <v>158</v>
      </c>
      <c r="G117" s="14">
        <v>15605</v>
      </c>
      <c r="H117" s="14">
        <v>0.0216286856379583</v>
      </c>
      <c r="I117" s="14">
        <v>0.271072165854357</v>
      </c>
      <c r="J117" s="14">
        <v>1.57681284562106</v>
      </c>
      <c r="K117" s="14" t="s">
        <v>16407</v>
      </c>
    </row>
    <row r="118" spans="1:11">
      <c r="A118" s="14" t="s">
        <v>16408</v>
      </c>
      <c r="B118" s="14" t="s">
        <v>16409</v>
      </c>
      <c r="C118" s="14" t="s">
        <v>16086</v>
      </c>
      <c r="D118" s="14">
        <v>5</v>
      </c>
      <c r="E118" s="14">
        <v>1378</v>
      </c>
      <c r="F118" s="14">
        <v>19</v>
      </c>
      <c r="G118" s="14">
        <v>15605</v>
      </c>
      <c r="H118" s="14">
        <v>0.0217157259938573</v>
      </c>
      <c r="I118" s="14">
        <v>0.271072165854357</v>
      </c>
      <c r="J118" s="14">
        <v>2.98010083263311</v>
      </c>
      <c r="K118" s="14" t="s">
        <v>16410</v>
      </c>
    </row>
    <row r="119" spans="1:11">
      <c r="A119" s="14" t="s">
        <v>16411</v>
      </c>
      <c r="B119" s="14" t="s">
        <v>16412</v>
      </c>
      <c r="C119" s="14" t="s">
        <v>16090</v>
      </c>
      <c r="D119" s="14">
        <v>4</v>
      </c>
      <c r="E119" s="14">
        <v>1378</v>
      </c>
      <c r="F119" s="14">
        <v>13</v>
      </c>
      <c r="G119" s="14">
        <v>15605</v>
      </c>
      <c r="H119" s="14">
        <v>0.0226343099069197</v>
      </c>
      <c r="I119" s="14">
        <v>0.277749836823896</v>
      </c>
      <c r="J119" s="14">
        <v>3.48442558892486</v>
      </c>
      <c r="K119" s="14" t="s">
        <v>16186</v>
      </c>
    </row>
    <row r="120" spans="1:11">
      <c r="A120" s="14" t="s">
        <v>16413</v>
      </c>
      <c r="B120" s="14" t="s">
        <v>16414</v>
      </c>
      <c r="C120" s="14" t="s">
        <v>16090</v>
      </c>
      <c r="D120" s="14">
        <v>4</v>
      </c>
      <c r="E120" s="14">
        <v>1378</v>
      </c>
      <c r="F120" s="14">
        <v>13</v>
      </c>
      <c r="G120" s="14">
        <v>15605</v>
      </c>
      <c r="H120" s="14">
        <v>0.0226343099069197</v>
      </c>
      <c r="I120" s="14">
        <v>0.277749836823896</v>
      </c>
      <c r="J120" s="14">
        <v>3.48442558892486</v>
      </c>
      <c r="K120" s="14" t="s">
        <v>16415</v>
      </c>
    </row>
    <row r="121" spans="1:11">
      <c r="A121" s="14" t="s">
        <v>16416</v>
      </c>
      <c r="B121" s="14" t="s">
        <v>16417</v>
      </c>
      <c r="C121" s="14" t="s">
        <v>16086</v>
      </c>
      <c r="D121" s="14">
        <v>28</v>
      </c>
      <c r="E121" s="14">
        <v>1378</v>
      </c>
      <c r="F121" s="14">
        <v>215</v>
      </c>
      <c r="G121" s="14">
        <v>15605</v>
      </c>
      <c r="H121" s="14">
        <v>0.0241429084859852</v>
      </c>
      <c r="I121" s="14">
        <v>0.29377253351014</v>
      </c>
      <c r="J121" s="14">
        <v>1.47480338880076</v>
      </c>
      <c r="K121" s="14" t="s">
        <v>16418</v>
      </c>
    </row>
    <row r="122" spans="1:11">
      <c r="A122" s="14" t="s">
        <v>16419</v>
      </c>
      <c r="B122" s="14" t="s">
        <v>16420</v>
      </c>
      <c r="C122" s="14" t="s">
        <v>16090</v>
      </c>
      <c r="D122" s="14">
        <v>8</v>
      </c>
      <c r="E122" s="14">
        <v>1378</v>
      </c>
      <c r="F122" s="14">
        <v>41</v>
      </c>
      <c r="G122" s="14">
        <v>15605</v>
      </c>
      <c r="H122" s="14">
        <v>0.0249812410555</v>
      </c>
      <c r="I122" s="14">
        <v>0.298949066515404</v>
      </c>
      <c r="J122" s="14">
        <v>2.20963573931821</v>
      </c>
      <c r="K122" s="14" t="s">
        <v>16421</v>
      </c>
    </row>
    <row r="123" spans="1:11">
      <c r="A123" s="14" t="s">
        <v>16422</v>
      </c>
      <c r="B123" s="14" t="s">
        <v>16423</v>
      </c>
      <c r="C123" s="14" t="s">
        <v>16086</v>
      </c>
      <c r="D123" s="14">
        <v>8</v>
      </c>
      <c r="E123" s="14">
        <v>1378</v>
      </c>
      <c r="F123" s="14">
        <v>41</v>
      </c>
      <c r="G123" s="14">
        <v>15605</v>
      </c>
      <c r="H123" s="14">
        <v>0.0249812410555</v>
      </c>
      <c r="I123" s="14">
        <v>0.298949066515404</v>
      </c>
      <c r="J123" s="14">
        <v>2.20963573931821</v>
      </c>
      <c r="K123" s="14" t="s">
        <v>16424</v>
      </c>
    </row>
    <row r="124" spans="1:11">
      <c r="A124" s="14" t="s">
        <v>16425</v>
      </c>
      <c r="B124" s="14" t="s">
        <v>16426</v>
      </c>
      <c r="C124" s="14" t="s">
        <v>16090</v>
      </c>
      <c r="D124" s="14">
        <v>21</v>
      </c>
      <c r="E124" s="14">
        <v>1378</v>
      </c>
      <c r="F124" s="14">
        <v>152</v>
      </c>
      <c r="G124" s="14">
        <v>15605</v>
      </c>
      <c r="H124" s="14">
        <v>0.0263692326497111</v>
      </c>
      <c r="I124" s="14">
        <v>0.31024934542291</v>
      </c>
      <c r="J124" s="14">
        <v>1.56455293713238</v>
      </c>
      <c r="K124" s="14" t="s">
        <v>16427</v>
      </c>
    </row>
    <row r="125" spans="1:11">
      <c r="A125" s="14" t="s">
        <v>16428</v>
      </c>
      <c r="B125" s="14" t="s">
        <v>16429</v>
      </c>
      <c r="C125" s="14" t="s">
        <v>16086</v>
      </c>
      <c r="D125" s="14">
        <v>5</v>
      </c>
      <c r="E125" s="14">
        <v>1378</v>
      </c>
      <c r="F125" s="14">
        <v>20</v>
      </c>
      <c r="G125" s="14">
        <v>15605</v>
      </c>
      <c r="H125" s="14">
        <v>0.0269035229424951</v>
      </c>
      <c r="I125" s="14">
        <v>0.31024934542291</v>
      </c>
      <c r="J125" s="14">
        <v>2.83109579100145</v>
      </c>
      <c r="K125" s="14" t="s">
        <v>16430</v>
      </c>
    </row>
    <row r="126" spans="1:11">
      <c r="A126" s="14" t="s">
        <v>16431</v>
      </c>
      <c r="B126" s="14" t="s">
        <v>16432</v>
      </c>
      <c r="C126" s="14" t="s">
        <v>16086</v>
      </c>
      <c r="D126" s="14">
        <v>3</v>
      </c>
      <c r="E126" s="14">
        <v>1378</v>
      </c>
      <c r="F126" s="14">
        <v>8</v>
      </c>
      <c r="G126" s="14">
        <v>15605</v>
      </c>
      <c r="H126" s="14">
        <v>0.027431296895604</v>
      </c>
      <c r="I126" s="14">
        <v>0.31024934542291</v>
      </c>
      <c r="J126" s="14">
        <v>4.24664368650218</v>
      </c>
      <c r="K126" s="14" t="s">
        <v>16433</v>
      </c>
    </row>
    <row r="127" spans="1:11">
      <c r="A127" s="14" t="s">
        <v>16434</v>
      </c>
      <c r="B127" s="14" t="s">
        <v>16435</v>
      </c>
      <c r="C127" s="14" t="s">
        <v>16090</v>
      </c>
      <c r="D127" s="14">
        <v>3</v>
      </c>
      <c r="E127" s="14">
        <v>1378</v>
      </c>
      <c r="F127" s="14">
        <v>8</v>
      </c>
      <c r="G127" s="14">
        <v>15605</v>
      </c>
      <c r="H127" s="14">
        <v>0.027431296895604</v>
      </c>
      <c r="I127" s="14">
        <v>0.31024934542291</v>
      </c>
      <c r="J127" s="14">
        <v>4.24664368650218</v>
      </c>
      <c r="K127" s="14" t="s">
        <v>16436</v>
      </c>
    </row>
    <row r="128" spans="1:11">
      <c r="A128" s="14" t="s">
        <v>16437</v>
      </c>
      <c r="B128" s="14" t="s">
        <v>16438</v>
      </c>
      <c r="C128" s="14" t="s">
        <v>16086</v>
      </c>
      <c r="D128" s="14">
        <v>3</v>
      </c>
      <c r="E128" s="14">
        <v>1378</v>
      </c>
      <c r="F128" s="14">
        <v>8</v>
      </c>
      <c r="G128" s="14">
        <v>15605</v>
      </c>
      <c r="H128" s="14">
        <v>0.027431296895604</v>
      </c>
      <c r="I128" s="14">
        <v>0.31024934542291</v>
      </c>
      <c r="J128" s="14">
        <v>4.24664368650218</v>
      </c>
      <c r="K128" s="14" t="s">
        <v>16439</v>
      </c>
    </row>
    <row r="129" spans="1:11">
      <c r="A129" s="14" t="s">
        <v>16440</v>
      </c>
      <c r="B129" s="14" t="s">
        <v>16441</v>
      </c>
      <c r="C129" s="14" t="s">
        <v>16090</v>
      </c>
      <c r="D129" s="14">
        <v>3</v>
      </c>
      <c r="E129" s="14">
        <v>1378</v>
      </c>
      <c r="F129" s="14">
        <v>8</v>
      </c>
      <c r="G129" s="14">
        <v>15605</v>
      </c>
      <c r="H129" s="14">
        <v>0.027431296895604</v>
      </c>
      <c r="I129" s="14">
        <v>0.31024934542291</v>
      </c>
      <c r="J129" s="14">
        <v>4.24664368650218</v>
      </c>
      <c r="K129" s="14" t="s">
        <v>16442</v>
      </c>
    </row>
    <row r="130" spans="1:11">
      <c r="A130" s="14" t="s">
        <v>16443</v>
      </c>
      <c r="B130" s="14" t="s">
        <v>16444</v>
      </c>
      <c r="C130" s="14" t="s">
        <v>16090</v>
      </c>
      <c r="D130" s="14">
        <v>6</v>
      </c>
      <c r="E130" s="14">
        <v>1378</v>
      </c>
      <c r="F130" s="14">
        <v>27</v>
      </c>
      <c r="G130" s="14">
        <v>15605</v>
      </c>
      <c r="H130" s="14">
        <v>0.0276396170991405</v>
      </c>
      <c r="I130" s="14">
        <v>0.31024934542291</v>
      </c>
      <c r="J130" s="14">
        <v>2.51652959200129</v>
      </c>
      <c r="K130" s="14" t="s">
        <v>16445</v>
      </c>
    </row>
    <row r="131" spans="1:11">
      <c r="A131" s="14" t="s">
        <v>16446</v>
      </c>
      <c r="B131" s="14" t="s">
        <v>16447</v>
      </c>
      <c r="C131" s="14" t="s">
        <v>16086</v>
      </c>
      <c r="D131" s="14">
        <v>6</v>
      </c>
      <c r="E131" s="14">
        <v>1378</v>
      </c>
      <c r="F131" s="14">
        <v>27</v>
      </c>
      <c r="G131" s="14">
        <v>15605</v>
      </c>
      <c r="H131" s="14">
        <v>0.0276396170991405</v>
      </c>
      <c r="I131" s="14">
        <v>0.31024934542291</v>
      </c>
      <c r="J131" s="14">
        <v>2.51652959200129</v>
      </c>
      <c r="K131" s="14" t="s">
        <v>16448</v>
      </c>
    </row>
    <row r="132" spans="1:11">
      <c r="A132" s="14" t="s">
        <v>16449</v>
      </c>
      <c r="B132" s="14" t="s">
        <v>16450</v>
      </c>
      <c r="C132" s="14" t="s">
        <v>16090</v>
      </c>
      <c r="D132" s="14">
        <v>11</v>
      </c>
      <c r="E132" s="14">
        <v>1378</v>
      </c>
      <c r="F132" s="14">
        <v>66</v>
      </c>
      <c r="G132" s="14">
        <v>15605</v>
      </c>
      <c r="H132" s="14">
        <v>0.0288183274769294</v>
      </c>
      <c r="I132" s="14">
        <v>0.319140755176452</v>
      </c>
      <c r="J132" s="14">
        <v>1.88739719400097</v>
      </c>
      <c r="K132" s="14" t="s">
        <v>16451</v>
      </c>
    </row>
    <row r="133" spans="1:11">
      <c r="A133" s="14" t="s">
        <v>16452</v>
      </c>
      <c r="B133" s="14" t="s">
        <v>16453</v>
      </c>
      <c r="C133" s="14" t="s">
        <v>16090</v>
      </c>
      <c r="D133" s="14">
        <v>9</v>
      </c>
      <c r="E133" s="14">
        <v>1378</v>
      </c>
      <c r="F133" s="14">
        <v>50</v>
      </c>
      <c r="G133" s="14">
        <v>15605</v>
      </c>
      <c r="H133" s="14">
        <v>0.0292941676531826</v>
      </c>
      <c r="I133" s="14">
        <v>0.319140755176452</v>
      </c>
      <c r="J133" s="14">
        <v>2.03838896952105</v>
      </c>
      <c r="K133" s="14" t="s">
        <v>16454</v>
      </c>
    </row>
    <row r="134" spans="1:11">
      <c r="A134" s="14" t="s">
        <v>16455</v>
      </c>
      <c r="B134" s="14" t="s">
        <v>16456</v>
      </c>
      <c r="C134" s="14" t="s">
        <v>16090</v>
      </c>
      <c r="D134" s="14">
        <v>10</v>
      </c>
      <c r="E134" s="14">
        <v>1378</v>
      </c>
      <c r="F134" s="14">
        <v>58</v>
      </c>
      <c r="G134" s="14">
        <v>15605</v>
      </c>
      <c r="H134" s="14">
        <v>0.0293002792274845</v>
      </c>
      <c r="I134" s="14">
        <v>0.319140755176452</v>
      </c>
      <c r="J134" s="14">
        <v>1.95247985586307</v>
      </c>
      <c r="K134" s="14" t="s">
        <v>16457</v>
      </c>
    </row>
    <row r="135" spans="1:11">
      <c r="A135" s="14" t="s">
        <v>16458</v>
      </c>
      <c r="B135" s="14" t="s">
        <v>16459</v>
      </c>
      <c r="C135" s="14" t="s">
        <v>16096</v>
      </c>
      <c r="D135" s="14">
        <v>4</v>
      </c>
      <c r="E135" s="14">
        <v>1378</v>
      </c>
      <c r="F135" s="14">
        <v>14</v>
      </c>
      <c r="G135" s="14">
        <v>15605</v>
      </c>
      <c r="H135" s="14">
        <v>0.0295219451600711</v>
      </c>
      <c r="I135" s="14">
        <v>0.319140755176452</v>
      </c>
      <c r="J135" s="14">
        <v>3.2355380468588</v>
      </c>
      <c r="K135" s="14" t="s">
        <v>16460</v>
      </c>
    </row>
    <row r="136" spans="1:11">
      <c r="A136" s="14" t="s">
        <v>16461</v>
      </c>
      <c r="B136" s="14" t="s">
        <v>16462</v>
      </c>
      <c r="C136" s="14" t="s">
        <v>16090</v>
      </c>
      <c r="D136" s="14">
        <v>13</v>
      </c>
      <c r="E136" s="14">
        <v>1378</v>
      </c>
      <c r="F136" s="14">
        <v>83</v>
      </c>
      <c r="G136" s="14">
        <v>15605</v>
      </c>
      <c r="H136" s="14">
        <v>0.0295337439182628</v>
      </c>
      <c r="I136" s="14">
        <v>0.319140755176452</v>
      </c>
      <c r="J136" s="14">
        <v>1.77369856785633</v>
      </c>
      <c r="K136" s="14" t="s">
        <v>16463</v>
      </c>
    </row>
    <row r="137" spans="1:11">
      <c r="A137" s="14" t="s">
        <v>16464</v>
      </c>
      <c r="B137" s="14" t="s">
        <v>16465</v>
      </c>
      <c r="C137" s="14" t="s">
        <v>16090</v>
      </c>
      <c r="D137" s="14">
        <v>11</v>
      </c>
      <c r="E137" s="14">
        <v>1378</v>
      </c>
      <c r="F137" s="14">
        <v>67</v>
      </c>
      <c r="G137" s="14">
        <v>15605</v>
      </c>
      <c r="H137" s="14">
        <v>0.0318301459129755</v>
      </c>
      <c r="I137" s="14">
        <v>0.340131343492642</v>
      </c>
      <c r="J137" s="14">
        <v>1.85922708662782</v>
      </c>
      <c r="K137" s="14" t="s">
        <v>16466</v>
      </c>
    </row>
    <row r="138" spans="1:11">
      <c r="A138" s="14" t="s">
        <v>16467</v>
      </c>
      <c r="B138" s="14" t="s">
        <v>16468</v>
      </c>
      <c r="C138" s="14" t="s">
        <v>16090</v>
      </c>
      <c r="D138" s="14">
        <v>18</v>
      </c>
      <c r="E138" s="14">
        <v>1378</v>
      </c>
      <c r="F138" s="14">
        <v>128</v>
      </c>
      <c r="G138" s="14">
        <v>15605</v>
      </c>
      <c r="H138" s="14">
        <v>0.032353729404863</v>
      </c>
      <c r="I138" s="14">
        <v>0.340131343492642</v>
      </c>
      <c r="J138" s="14">
        <v>1.59249138243832</v>
      </c>
      <c r="K138" s="14" t="s">
        <v>16469</v>
      </c>
    </row>
    <row r="139" spans="1:11">
      <c r="A139" s="14" t="s">
        <v>16470</v>
      </c>
      <c r="B139" s="14" t="s">
        <v>16471</v>
      </c>
      <c r="C139" s="14" t="s">
        <v>16090</v>
      </c>
      <c r="D139" s="14">
        <v>5</v>
      </c>
      <c r="E139" s="14">
        <v>1378</v>
      </c>
      <c r="F139" s="14">
        <v>21</v>
      </c>
      <c r="G139" s="14">
        <v>15605</v>
      </c>
      <c r="H139" s="14">
        <v>0.032816979008748</v>
      </c>
      <c r="I139" s="14">
        <v>0.340131343492642</v>
      </c>
      <c r="J139" s="14">
        <v>2.69628170571567</v>
      </c>
      <c r="K139" s="14" t="s">
        <v>16410</v>
      </c>
    </row>
    <row r="140" spans="1:11">
      <c r="A140" s="14" t="s">
        <v>16472</v>
      </c>
      <c r="B140" s="14" t="s">
        <v>16473</v>
      </c>
      <c r="C140" s="14" t="s">
        <v>16090</v>
      </c>
      <c r="D140" s="14">
        <v>5</v>
      </c>
      <c r="E140" s="14">
        <v>1378</v>
      </c>
      <c r="F140" s="14">
        <v>21</v>
      </c>
      <c r="G140" s="14">
        <v>15605</v>
      </c>
      <c r="H140" s="14">
        <v>0.032816979008748</v>
      </c>
      <c r="I140" s="14">
        <v>0.340131343492642</v>
      </c>
      <c r="J140" s="14">
        <v>2.69628170571567</v>
      </c>
      <c r="K140" s="14" t="s">
        <v>16474</v>
      </c>
    </row>
    <row r="141" spans="1:11">
      <c r="A141" s="14" t="s">
        <v>16475</v>
      </c>
      <c r="B141" s="14" t="s">
        <v>16476</v>
      </c>
      <c r="C141" s="14" t="s">
        <v>16090</v>
      </c>
      <c r="D141" s="14">
        <v>5</v>
      </c>
      <c r="E141" s="14">
        <v>1378</v>
      </c>
      <c r="F141" s="14">
        <v>21</v>
      </c>
      <c r="G141" s="14">
        <v>15605</v>
      </c>
      <c r="H141" s="14">
        <v>0.032816979008748</v>
      </c>
      <c r="I141" s="14">
        <v>0.340131343492642</v>
      </c>
      <c r="J141" s="14">
        <v>2.69628170571567</v>
      </c>
      <c r="K141" s="14" t="s">
        <v>16430</v>
      </c>
    </row>
    <row r="142" spans="1:11">
      <c r="A142" s="14" t="s">
        <v>16477</v>
      </c>
      <c r="B142" s="14" t="s">
        <v>16478</v>
      </c>
      <c r="C142" s="14" t="s">
        <v>16086</v>
      </c>
      <c r="D142" s="14">
        <v>9</v>
      </c>
      <c r="E142" s="14">
        <v>1378</v>
      </c>
      <c r="F142" s="14">
        <v>51</v>
      </c>
      <c r="G142" s="14">
        <v>15605</v>
      </c>
      <c r="H142" s="14">
        <v>0.0328856271332665</v>
      </c>
      <c r="I142" s="14">
        <v>0.340131343492642</v>
      </c>
      <c r="J142" s="14">
        <v>1.99842055835397</v>
      </c>
      <c r="K142" s="14" t="s">
        <v>16479</v>
      </c>
    </row>
    <row r="143" spans="1:11">
      <c r="A143" s="14" t="s">
        <v>16480</v>
      </c>
      <c r="B143" s="14" t="s">
        <v>16481</v>
      </c>
      <c r="C143" s="14" t="s">
        <v>16086</v>
      </c>
      <c r="D143" s="14">
        <v>16</v>
      </c>
      <c r="E143" s="14">
        <v>1378</v>
      </c>
      <c r="F143" s="14">
        <v>111</v>
      </c>
      <c r="G143" s="14">
        <v>15605</v>
      </c>
      <c r="H143" s="14">
        <v>0.034394632561766</v>
      </c>
      <c r="I143" s="14">
        <v>0.353215801059838</v>
      </c>
      <c r="J143" s="14">
        <v>1.63234351913597</v>
      </c>
      <c r="K143" s="14" t="s">
        <v>16482</v>
      </c>
    </row>
    <row r="144" spans="1:11">
      <c r="A144" s="14" t="s">
        <v>16483</v>
      </c>
      <c r="B144" s="14" t="s">
        <v>16484</v>
      </c>
      <c r="C144" s="14" t="s">
        <v>16090</v>
      </c>
      <c r="D144" s="14">
        <v>30</v>
      </c>
      <c r="E144" s="14">
        <v>1378</v>
      </c>
      <c r="F144" s="14">
        <v>241</v>
      </c>
      <c r="G144" s="14">
        <v>15605</v>
      </c>
      <c r="H144" s="14">
        <v>0.0346823259225607</v>
      </c>
      <c r="I144" s="14">
        <v>0.353662027717379</v>
      </c>
      <c r="J144" s="14">
        <v>1.40967425278081</v>
      </c>
      <c r="K144" s="14" t="s">
        <v>16485</v>
      </c>
    </row>
    <row r="145" spans="1:11">
      <c r="A145" s="14" t="s">
        <v>16486</v>
      </c>
      <c r="B145" s="14" t="s">
        <v>16487</v>
      </c>
      <c r="C145" s="14" t="s">
        <v>16096</v>
      </c>
      <c r="D145" s="14">
        <v>7</v>
      </c>
      <c r="E145" s="14">
        <v>1378</v>
      </c>
      <c r="F145" s="14">
        <v>36</v>
      </c>
      <c r="G145" s="14">
        <v>15605</v>
      </c>
      <c r="H145" s="14">
        <v>0.0355507682933178</v>
      </c>
      <c r="I145" s="14">
        <v>0.359982604816253</v>
      </c>
      <c r="J145" s="14">
        <v>2.20196339300113</v>
      </c>
      <c r="K145" s="14" t="s">
        <v>16488</v>
      </c>
    </row>
    <row r="146" spans="1:11">
      <c r="A146" s="14" t="s">
        <v>16489</v>
      </c>
      <c r="B146" s="14" t="s">
        <v>16490</v>
      </c>
      <c r="C146" s="14" t="s">
        <v>16090</v>
      </c>
      <c r="D146" s="14">
        <v>4</v>
      </c>
      <c r="E146" s="14">
        <v>1378</v>
      </c>
      <c r="F146" s="14">
        <v>15</v>
      </c>
      <c r="G146" s="14">
        <v>15605</v>
      </c>
      <c r="H146" s="14">
        <v>0.0375154912357019</v>
      </c>
      <c r="I146" s="14">
        <v>0.374076600925642</v>
      </c>
      <c r="J146" s="14">
        <v>3.01983551040155</v>
      </c>
      <c r="K146" s="14" t="s">
        <v>16491</v>
      </c>
    </row>
    <row r="147" spans="1:11">
      <c r="A147" s="14" t="s">
        <v>16492</v>
      </c>
      <c r="B147" s="14" t="s">
        <v>16493</v>
      </c>
      <c r="C147" s="14" t="s">
        <v>16090</v>
      </c>
      <c r="D147" s="14">
        <v>4</v>
      </c>
      <c r="E147" s="14">
        <v>1378</v>
      </c>
      <c r="F147" s="14">
        <v>15</v>
      </c>
      <c r="G147" s="14">
        <v>15605</v>
      </c>
      <c r="H147" s="14">
        <v>0.0375154912357019</v>
      </c>
      <c r="I147" s="14">
        <v>0.374076600925642</v>
      </c>
      <c r="J147" s="14">
        <v>3.01983551040155</v>
      </c>
      <c r="K147" s="14" t="s">
        <v>16494</v>
      </c>
    </row>
    <row r="148" spans="1:11">
      <c r="A148" s="14" t="s">
        <v>16495</v>
      </c>
      <c r="B148" s="14" t="s">
        <v>16496</v>
      </c>
      <c r="C148" s="14" t="s">
        <v>16090</v>
      </c>
      <c r="D148" s="14">
        <v>3</v>
      </c>
      <c r="E148" s="14">
        <v>1378</v>
      </c>
      <c r="F148" s="14">
        <v>9</v>
      </c>
      <c r="G148" s="14">
        <v>15605</v>
      </c>
      <c r="H148" s="14">
        <v>0.0384926889074038</v>
      </c>
      <c r="I148" s="14">
        <v>0.374076600925642</v>
      </c>
      <c r="J148" s="14">
        <v>3.77479438800194</v>
      </c>
      <c r="K148" s="14" t="s">
        <v>16497</v>
      </c>
    </row>
    <row r="149" spans="1:11">
      <c r="A149" s="14" t="s">
        <v>16498</v>
      </c>
      <c r="B149" s="14" t="s">
        <v>16499</v>
      </c>
      <c r="C149" s="14" t="s">
        <v>16090</v>
      </c>
      <c r="D149" s="14">
        <v>3</v>
      </c>
      <c r="E149" s="14">
        <v>1378</v>
      </c>
      <c r="F149" s="14">
        <v>9</v>
      </c>
      <c r="G149" s="14">
        <v>15605</v>
      </c>
      <c r="H149" s="14">
        <v>0.0384926889074038</v>
      </c>
      <c r="I149" s="14">
        <v>0.374076600925642</v>
      </c>
      <c r="J149" s="14">
        <v>3.77479438800194</v>
      </c>
      <c r="K149" s="14" t="s">
        <v>16497</v>
      </c>
    </row>
    <row r="150" spans="1:11">
      <c r="A150" s="14" t="s">
        <v>16500</v>
      </c>
      <c r="B150" s="14" t="s">
        <v>16501</v>
      </c>
      <c r="C150" s="14" t="s">
        <v>16090</v>
      </c>
      <c r="D150" s="14">
        <v>3</v>
      </c>
      <c r="E150" s="14">
        <v>1378</v>
      </c>
      <c r="F150" s="14">
        <v>9</v>
      </c>
      <c r="G150" s="14">
        <v>15605</v>
      </c>
      <c r="H150" s="14">
        <v>0.0384926889074038</v>
      </c>
      <c r="I150" s="14">
        <v>0.374076600925642</v>
      </c>
      <c r="J150" s="14">
        <v>3.77479438800194</v>
      </c>
      <c r="K150" s="14" t="s">
        <v>16502</v>
      </c>
    </row>
    <row r="151" spans="1:11">
      <c r="A151" s="14" t="s">
        <v>16503</v>
      </c>
      <c r="B151" s="14" t="s">
        <v>16504</v>
      </c>
      <c r="C151" s="14" t="s">
        <v>16090</v>
      </c>
      <c r="D151" s="14">
        <v>3</v>
      </c>
      <c r="E151" s="14">
        <v>1378</v>
      </c>
      <c r="F151" s="14">
        <v>9</v>
      </c>
      <c r="G151" s="14">
        <v>15605</v>
      </c>
      <c r="H151" s="14">
        <v>0.0384926889074038</v>
      </c>
      <c r="I151" s="14">
        <v>0.374076600925642</v>
      </c>
      <c r="J151" s="14">
        <v>3.77479438800194</v>
      </c>
      <c r="K151" s="14" t="s">
        <v>16287</v>
      </c>
    </row>
    <row r="152" spans="1:11">
      <c r="A152" s="14" t="s">
        <v>16505</v>
      </c>
      <c r="B152" s="14" t="s">
        <v>16506</v>
      </c>
      <c r="C152" s="14" t="s">
        <v>16090</v>
      </c>
      <c r="D152" s="14">
        <v>10</v>
      </c>
      <c r="E152" s="14">
        <v>1378</v>
      </c>
      <c r="F152" s="14">
        <v>61</v>
      </c>
      <c r="G152" s="14">
        <v>15605</v>
      </c>
      <c r="H152" s="14">
        <v>0.0399324596706601</v>
      </c>
      <c r="I152" s="14">
        <v>0.385481344020772</v>
      </c>
      <c r="J152" s="14">
        <v>1.85645625639439</v>
      </c>
      <c r="K152" s="14" t="s">
        <v>16507</v>
      </c>
    </row>
    <row r="153" spans="1:11">
      <c r="A153" s="14" t="s">
        <v>16508</v>
      </c>
      <c r="B153" s="14" t="s">
        <v>16509</v>
      </c>
      <c r="C153" s="14" t="s">
        <v>16086</v>
      </c>
      <c r="D153" s="14">
        <v>12</v>
      </c>
      <c r="E153" s="14">
        <v>1378</v>
      </c>
      <c r="F153" s="14">
        <v>78</v>
      </c>
      <c r="G153" s="14">
        <v>15605</v>
      </c>
      <c r="H153" s="14">
        <v>0.0402021473351135</v>
      </c>
      <c r="I153" s="14">
        <v>0.385514631398969</v>
      </c>
      <c r="J153" s="14">
        <v>1.74221279446243</v>
      </c>
      <c r="K153" s="14" t="s">
        <v>16510</v>
      </c>
    </row>
    <row r="154" spans="1:11">
      <c r="A154" s="14" t="s">
        <v>16511</v>
      </c>
      <c r="B154" s="14" t="s">
        <v>16512</v>
      </c>
      <c r="C154" s="14" t="s">
        <v>16090</v>
      </c>
      <c r="D154" s="14">
        <v>7</v>
      </c>
      <c r="E154" s="14">
        <v>1378</v>
      </c>
      <c r="F154" s="14">
        <v>37</v>
      </c>
      <c r="G154" s="14">
        <v>15605</v>
      </c>
      <c r="H154" s="14">
        <v>0.040627218418534</v>
      </c>
      <c r="I154" s="14">
        <v>0.387027712302876</v>
      </c>
      <c r="J154" s="14">
        <v>2.14245086886596</v>
      </c>
      <c r="K154" s="14" t="s">
        <v>16513</v>
      </c>
    </row>
    <row r="155" spans="1:11">
      <c r="A155" s="14" t="s">
        <v>16514</v>
      </c>
      <c r="B155" s="14" t="s">
        <v>16515</v>
      </c>
      <c r="C155" s="14" t="s">
        <v>16086</v>
      </c>
      <c r="D155" s="14">
        <v>9</v>
      </c>
      <c r="E155" s="14">
        <v>1378</v>
      </c>
      <c r="F155" s="14">
        <v>53</v>
      </c>
      <c r="G155" s="14">
        <v>15605</v>
      </c>
      <c r="H155" s="14">
        <v>0.0409572738028212</v>
      </c>
      <c r="I155" s="14">
        <v>0.3876217808267</v>
      </c>
      <c r="J155" s="14">
        <v>1.92300846181231</v>
      </c>
      <c r="K155" s="14" t="s">
        <v>16516</v>
      </c>
    </row>
    <row r="156" spans="1:11">
      <c r="A156" s="14" t="s">
        <v>1945</v>
      </c>
      <c r="B156" s="14" t="s">
        <v>1946</v>
      </c>
      <c r="C156" s="14" t="s">
        <v>16086</v>
      </c>
      <c r="D156" s="14">
        <v>33</v>
      </c>
      <c r="E156" s="14">
        <v>1378</v>
      </c>
      <c r="F156" s="14">
        <v>274</v>
      </c>
      <c r="G156" s="14">
        <v>15605</v>
      </c>
      <c r="H156" s="14">
        <v>0.0416895364709776</v>
      </c>
      <c r="I156" s="14">
        <v>0.391989927337503</v>
      </c>
      <c r="J156" s="14">
        <v>1.36388556354814</v>
      </c>
      <c r="K156" s="14" t="s">
        <v>16517</v>
      </c>
    </row>
    <row r="157" spans="1:11">
      <c r="A157" s="14" t="s">
        <v>16518</v>
      </c>
      <c r="B157" s="14" t="s">
        <v>16519</v>
      </c>
      <c r="C157" s="14" t="s">
        <v>16090</v>
      </c>
      <c r="D157" s="14">
        <v>12</v>
      </c>
      <c r="E157" s="14">
        <v>1378</v>
      </c>
      <c r="F157" s="14">
        <v>79</v>
      </c>
      <c r="G157" s="14">
        <v>15605</v>
      </c>
      <c r="H157" s="14">
        <v>0.0437509683133982</v>
      </c>
      <c r="I157" s="14">
        <v>0.408718723340649</v>
      </c>
      <c r="J157" s="14">
        <v>1.72015946795025</v>
      </c>
      <c r="K157" s="14" t="s">
        <v>16268</v>
      </c>
    </row>
    <row r="158" spans="1:11">
      <c r="A158" s="14" t="s">
        <v>16520</v>
      </c>
      <c r="B158" s="14" t="s">
        <v>16521</v>
      </c>
      <c r="C158" s="14" t="s">
        <v>16090</v>
      </c>
      <c r="D158" s="14">
        <v>6</v>
      </c>
      <c r="E158" s="14">
        <v>1378</v>
      </c>
      <c r="F158" s="14">
        <v>30</v>
      </c>
      <c r="G158" s="14">
        <v>15605</v>
      </c>
      <c r="H158" s="14">
        <v>0.0442840762859038</v>
      </c>
      <c r="I158" s="14">
        <v>0.41104706706403</v>
      </c>
      <c r="J158" s="14">
        <v>2.26487663280116</v>
      </c>
      <c r="K158" s="14" t="s">
        <v>16522</v>
      </c>
    </row>
    <row r="159" spans="1:11">
      <c r="A159" s="14" t="s">
        <v>16523</v>
      </c>
      <c r="B159" s="14" t="s">
        <v>16524</v>
      </c>
      <c r="C159" s="14" t="s">
        <v>16090</v>
      </c>
      <c r="D159" s="14">
        <v>4</v>
      </c>
      <c r="E159" s="14">
        <v>1378</v>
      </c>
      <c r="F159" s="14">
        <v>16</v>
      </c>
      <c r="G159" s="14">
        <v>15605</v>
      </c>
      <c r="H159" s="14">
        <v>0.0466268006496826</v>
      </c>
      <c r="I159" s="14">
        <v>0.416763008276175</v>
      </c>
      <c r="J159" s="14">
        <v>2.83109579100145</v>
      </c>
      <c r="K159" s="14" t="s">
        <v>16525</v>
      </c>
    </row>
    <row r="160" spans="1:11">
      <c r="A160" s="14" t="s">
        <v>16526</v>
      </c>
      <c r="B160" s="14" t="s">
        <v>16527</v>
      </c>
      <c r="C160" s="14" t="s">
        <v>16090</v>
      </c>
      <c r="D160" s="14">
        <v>4</v>
      </c>
      <c r="E160" s="14">
        <v>1378</v>
      </c>
      <c r="F160" s="14">
        <v>16</v>
      </c>
      <c r="G160" s="14">
        <v>15605</v>
      </c>
      <c r="H160" s="14">
        <v>0.0466268006496826</v>
      </c>
      <c r="I160" s="14">
        <v>0.416763008276175</v>
      </c>
      <c r="J160" s="14">
        <v>2.83109579100145</v>
      </c>
      <c r="K160" s="14" t="s">
        <v>16528</v>
      </c>
    </row>
    <row r="161" spans="1:11">
      <c r="A161" s="14" t="s">
        <v>16529</v>
      </c>
      <c r="B161" s="14" t="s">
        <v>16530</v>
      </c>
      <c r="C161" s="14" t="s">
        <v>16090</v>
      </c>
      <c r="D161" s="14">
        <v>4</v>
      </c>
      <c r="E161" s="14">
        <v>1378</v>
      </c>
      <c r="F161" s="14">
        <v>16</v>
      </c>
      <c r="G161" s="14">
        <v>15605</v>
      </c>
      <c r="H161" s="14">
        <v>0.0466268006496826</v>
      </c>
      <c r="I161" s="14">
        <v>0.416763008276175</v>
      </c>
      <c r="J161" s="14">
        <v>2.83109579100145</v>
      </c>
      <c r="K161" s="14" t="s">
        <v>16531</v>
      </c>
    </row>
    <row r="162" spans="1:11">
      <c r="A162" s="14" t="s">
        <v>16532</v>
      </c>
      <c r="B162" s="14" t="s">
        <v>16533</v>
      </c>
      <c r="C162" s="14" t="s">
        <v>16090</v>
      </c>
      <c r="D162" s="14">
        <v>4</v>
      </c>
      <c r="E162" s="14">
        <v>1378</v>
      </c>
      <c r="F162" s="14">
        <v>16</v>
      </c>
      <c r="G162" s="14">
        <v>15605</v>
      </c>
      <c r="H162" s="14">
        <v>0.0466268006496826</v>
      </c>
      <c r="I162" s="14">
        <v>0.416763008276175</v>
      </c>
      <c r="J162" s="14">
        <v>2.83109579100145</v>
      </c>
      <c r="K162" s="14" t="s">
        <v>16534</v>
      </c>
    </row>
    <row r="163" spans="1:11">
      <c r="A163" s="14" t="s">
        <v>16535</v>
      </c>
      <c r="B163" s="14" t="s">
        <v>16536</v>
      </c>
      <c r="C163" s="14" t="s">
        <v>16086</v>
      </c>
      <c r="D163" s="14">
        <v>4</v>
      </c>
      <c r="E163" s="14">
        <v>1378</v>
      </c>
      <c r="F163" s="14">
        <v>16</v>
      </c>
      <c r="G163" s="14">
        <v>15605</v>
      </c>
      <c r="H163" s="14">
        <v>0.0466268006496826</v>
      </c>
      <c r="I163" s="14">
        <v>0.416763008276175</v>
      </c>
      <c r="J163" s="14">
        <v>2.83109579100145</v>
      </c>
      <c r="K163" s="14" t="s">
        <v>16537</v>
      </c>
    </row>
    <row r="164" spans="1:11">
      <c r="A164" s="14" t="s">
        <v>16538</v>
      </c>
      <c r="B164" s="14" t="s">
        <v>16539</v>
      </c>
      <c r="C164" s="14" t="s">
        <v>16090</v>
      </c>
      <c r="D164" s="14">
        <v>4</v>
      </c>
      <c r="E164" s="14">
        <v>1378</v>
      </c>
      <c r="F164" s="14">
        <v>16</v>
      </c>
      <c r="G164" s="14">
        <v>15605</v>
      </c>
      <c r="H164" s="14">
        <v>0.0466268006496826</v>
      </c>
      <c r="I164" s="14">
        <v>0.416763008276175</v>
      </c>
      <c r="J164" s="14">
        <v>2.83109579100145</v>
      </c>
      <c r="K164" s="14" t="s">
        <v>16540</v>
      </c>
    </row>
    <row r="165" spans="1:11">
      <c r="A165" s="14" t="s">
        <v>16541</v>
      </c>
      <c r="B165" s="14" t="s">
        <v>16542</v>
      </c>
      <c r="C165" s="14" t="s">
        <v>16090</v>
      </c>
      <c r="D165" s="14">
        <v>15</v>
      </c>
      <c r="E165" s="14">
        <v>1378</v>
      </c>
      <c r="F165" s="14">
        <v>107</v>
      </c>
      <c r="G165" s="14">
        <v>15605</v>
      </c>
      <c r="H165" s="14">
        <v>0.0488515359255124</v>
      </c>
      <c r="I165" s="14">
        <v>0.433969472516208</v>
      </c>
      <c r="J165" s="14">
        <v>1.58753035009427</v>
      </c>
      <c r="K165" s="14" t="s">
        <v>16543</v>
      </c>
    </row>
    <row r="166" spans="1:11">
      <c r="A166" s="14" t="s">
        <v>16544</v>
      </c>
      <c r="B166" s="14" t="s">
        <v>16545</v>
      </c>
      <c r="C166" s="14" t="s">
        <v>16090</v>
      </c>
      <c r="D166" s="14">
        <v>6</v>
      </c>
      <c r="E166" s="14">
        <v>1378</v>
      </c>
      <c r="F166" s="14">
        <v>31</v>
      </c>
      <c r="G166" s="14">
        <v>15605</v>
      </c>
      <c r="H166" s="14">
        <v>0.0509680934797703</v>
      </c>
      <c r="I166" s="14">
        <v>0.435984655084025</v>
      </c>
      <c r="J166" s="14">
        <v>2.19181609625919</v>
      </c>
      <c r="K166" s="14" t="s">
        <v>16546</v>
      </c>
    </row>
    <row r="167" spans="1:11">
      <c r="A167" s="14" t="s">
        <v>16547</v>
      </c>
      <c r="B167" s="14" t="s">
        <v>16548</v>
      </c>
      <c r="C167" s="14" t="s">
        <v>16090</v>
      </c>
      <c r="D167" s="14">
        <v>6</v>
      </c>
      <c r="E167" s="14">
        <v>1378</v>
      </c>
      <c r="F167" s="14">
        <v>31</v>
      </c>
      <c r="G167" s="14">
        <v>15605</v>
      </c>
      <c r="H167" s="14">
        <v>0.0509680934797703</v>
      </c>
      <c r="I167" s="14">
        <v>0.435984655084025</v>
      </c>
      <c r="J167" s="14">
        <v>2.19181609625919</v>
      </c>
      <c r="K167" s="14" t="s">
        <v>16549</v>
      </c>
    </row>
    <row r="168" spans="1:11">
      <c r="A168" s="14" t="s">
        <v>5581</v>
      </c>
      <c r="B168" s="14" t="s">
        <v>5582</v>
      </c>
      <c r="C168" s="14" t="s">
        <v>16096</v>
      </c>
      <c r="D168" s="14">
        <v>65</v>
      </c>
      <c r="E168" s="14">
        <v>1378</v>
      </c>
      <c r="F168" s="14">
        <v>602</v>
      </c>
      <c r="G168" s="14">
        <v>15605</v>
      </c>
      <c r="H168" s="14">
        <v>0.0513228679342391</v>
      </c>
      <c r="I168" s="14">
        <v>0.435984655084025</v>
      </c>
      <c r="J168" s="14">
        <v>1.2227324014292</v>
      </c>
      <c r="K168" s="14" t="s">
        <v>16550</v>
      </c>
    </row>
    <row r="169" spans="1:11">
      <c r="A169" s="14" t="s">
        <v>16551</v>
      </c>
      <c r="B169" s="14" t="s">
        <v>16552</v>
      </c>
      <c r="C169" s="14" t="s">
        <v>16090</v>
      </c>
      <c r="D169" s="14">
        <v>3</v>
      </c>
      <c r="E169" s="14">
        <v>1378</v>
      </c>
      <c r="F169" s="14">
        <v>10</v>
      </c>
      <c r="G169" s="14">
        <v>15605</v>
      </c>
      <c r="H169" s="14">
        <v>0.0514606340050316</v>
      </c>
      <c r="I169" s="14">
        <v>0.435984655084025</v>
      </c>
      <c r="J169" s="14">
        <v>3.39731494920174</v>
      </c>
      <c r="K169" s="14" t="s">
        <v>16553</v>
      </c>
    </row>
    <row r="170" spans="1:11">
      <c r="A170" s="14" t="s">
        <v>16554</v>
      </c>
      <c r="B170" s="14" t="s">
        <v>16555</v>
      </c>
      <c r="C170" s="14" t="s">
        <v>16086</v>
      </c>
      <c r="D170" s="14">
        <v>3</v>
      </c>
      <c r="E170" s="14">
        <v>1378</v>
      </c>
      <c r="F170" s="14">
        <v>10</v>
      </c>
      <c r="G170" s="14">
        <v>15605</v>
      </c>
      <c r="H170" s="14">
        <v>0.0514606340050316</v>
      </c>
      <c r="I170" s="14">
        <v>0.435984655084025</v>
      </c>
      <c r="J170" s="14">
        <v>3.39731494920174</v>
      </c>
      <c r="K170" s="14" t="s">
        <v>16556</v>
      </c>
    </row>
    <row r="171" spans="1:11">
      <c r="A171" s="14" t="s">
        <v>16557</v>
      </c>
      <c r="B171" s="14" t="s">
        <v>16558</v>
      </c>
      <c r="C171" s="14" t="s">
        <v>16086</v>
      </c>
      <c r="D171" s="14">
        <v>3</v>
      </c>
      <c r="E171" s="14">
        <v>1378</v>
      </c>
      <c r="F171" s="14">
        <v>10</v>
      </c>
      <c r="G171" s="14">
        <v>15605</v>
      </c>
      <c r="H171" s="14">
        <v>0.0514606340050316</v>
      </c>
      <c r="I171" s="14">
        <v>0.435984655084025</v>
      </c>
      <c r="J171" s="14">
        <v>3.39731494920174</v>
      </c>
      <c r="K171" s="14" t="s">
        <v>16556</v>
      </c>
    </row>
    <row r="172" spans="1:11">
      <c r="A172" s="14" t="s">
        <v>16559</v>
      </c>
      <c r="B172" s="14" t="s">
        <v>16560</v>
      </c>
      <c r="C172" s="14" t="s">
        <v>16090</v>
      </c>
      <c r="D172" s="14">
        <v>3</v>
      </c>
      <c r="E172" s="14">
        <v>1378</v>
      </c>
      <c r="F172" s="14">
        <v>10</v>
      </c>
      <c r="G172" s="14">
        <v>15605</v>
      </c>
      <c r="H172" s="14">
        <v>0.0514606340050316</v>
      </c>
      <c r="I172" s="14">
        <v>0.435984655084025</v>
      </c>
      <c r="J172" s="14">
        <v>3.39731494920174</v>
      </c>
      <c r="K172" s="14" t="s">
        <v>16561</v>
      </c>
    </row>
    <row r="173" spans="1:11">
      <c r="A173" s="14" t="s">
        <v>16562</v>
      </c>
      <c r="B173" s="14" t="s">
        <v>16563</v>
      </c>
      <c r="C173" s="14" t="s">
        <v>16090</v>
      </c>
      <c r="D173" s="14">
        <v>12</v>
      </c>
      <c r="E173" s="14">
        <v>1378</v>
      </c>
      <c r="F173" s="14">
        <v>81</v>
      </c>
      <c r="G173" s="14">
        <v>15605</v>
      </c>
      <c r="H173" s="14">
        <v>0.0514871381349229</v>
      </c>
      <c r="I173" s="14">
        <v>0.435984655084025</v>
      </c>
      <c r="J173" s="14">
        <v>1.67768639466753</v>
      </c>
      <c r="K173" s="14" t="s">
        <v>16564</v>
      </c>
    </row>
    <row r="174" spans="1:11">
      <c r="A174" s="14" t="s">
        <v>16565</v>
      </c>
      <c r="B174" s="14" t="s">
        <v>16566</v>
      </c>
      <c r="C174" s="14" t="s">
        <v>16086</v>
      </c>
      <c r="D174" s="14">
        <v>22</v>
      </c>
      <c r="E174" s="14">
        <v>1378</v>
      </c>
      <c r="F174" s="14">
        <v>173</v>
      </c>
      <c r="G174" s="14">
        <v>15605</v>
      </c>
      <c r="H174" s="14">
        <v>0.0522372716292266</v>
      </c>
      <c r="I174" s="14">
        <v>0.439764937901861</v>
      </c>
      <c r="J174" s="14">
        <v>1.44009496883311</v>
      </c>
      <c r="K174" s="14" t="s">
        <v>16567</v>
      </c>
    </row>
    <row r="175" spans="1:11">
      <c r="A175" s="14" t="s">
        <v>16568</v>
      </c>
      <c r="B175" s="14" t="s">
        <v>16569</v>
      </c>
      <c r="C175" s="14" t="s">
        <v>16086</v>
      </c>
      <c r="D175" s="14">
        <v>29</v>
      </c>
      <c r="E175" s="14">
        <v>1378</v>
      </c>
      <c r="F175" s="14">
        <v>241</v>
      </c>
      <c r="G175" s="14">
        <v>15605</v>
      </c>
      <c r="H175" s="14">
        <v>0.0539732055921676</v>
      </c>
      <c r="I175" s="14">
        <v>0.451752610967969</v>
      </c>
      <c r="J175" s="14">
        <v>1.36268511102145</v>
      </c>
      <c r="K175" s="14" t="s">
        <v>16570</v>
      </c>
    </row>
    <row r="176" spans="1:11">
      <c r="A176" s="14" t="s">
        <v>16571</v>
      </c>
      <c r="B176" s="14" t="s">
        <v>16572</v>
      </c>
      <c r="C176" s="14" t="s">
        <v>16090</v>
      </c>
      <c r="D176" s="14">
        <v>11</v>
      </c>
      <c r="E176" s="14">
        <v>1378</v>
      </c>
      <c r="F176" s="14">
        <v>73</v>
      </c>
      <c r="G176" s="14">
        <v>15605</v>
      </c>
      <c r="H176" s="14">
        <v>0.0546750959868254</v>
      </c>
      <c r="I176" s="14">
        <v>0.454997350511053</v>
      </c>
      <c r="J176" s="14">
        <v>1.70641390142553</v>
      </c>
      <c r="K176" s="14" t="s">
        <v>16573</v>
      </c>
    </row>
    <row r="177" spans="1:11">
      <c r="A177" s="14" t="s">
        <v>16574</v>
      </c>
      <c r="B177" s="14" t="s">
        <v>16575</v>
      </c>
      <c r="C177" s="14" t="s">
        <v>16086</v>
      </c>
      <c r="D177" s="14">
        <v>5</v>
      </c>
      <c r="E177" s="14">
        <v>1378</v>
      </c>
      <c r="F177" s="14">
        <v>24</v>
      </c>
      <c r="G177" s="14">
        <v>15605</v>
      </c>
      <c r="H177" s="14">
        <v>0.0550977779703389</v>
      </c>
      <c r="I177" s="14">
        <v>0.455894757148861</v>
      </c>
      <c r="J177" s="14">
        <v>2.35924649250121</v>
      </c>
      <c r="K177" s="14" t="s">
        <v>16576</v>
      </c>
    </row>
    <row r="178" spans="1:11">
      <c r="A178" s="14" t="s">
        <v>4703</v>
      </c>
      <c r="B178" s="14" t="s">
        <v>4704</v>
      </c>
      <c r="C178" s="14" t="s">
        <v>16086</v>
      </c>
      <c r="D178" s="14">
        <v>4</v>
      </c>
      <c r="E178" s="14">
        <v>1378</v>
      </c>
      <c r="F178" s="14">
        <v>17</v>
      </c>
      <c r="G178" s="14">
        <v>15605</v>
      </c>
      <c r="H178" s="14">
        <v>0.0568523354849747</v>
      </c>
      <c r="I178" s="14">
        <v>0.462484167315974</v>
      </c>
      <c r="J178" s="14">
        <v>2.66456074447195</v>
      </c>
      <c r="K178" s="14" t="s">
        <v>16577</v>
      </c>
    </row>
    <row r="179" spans="1:11">
      <c r="A179" s="14" t="s">
        <v>16578</v>
      </c>
      <c r="B179" s="14" t="s">
        <v>16579</v>
      </c>
      <c r="C179" s="14" t="s">
        <v>16090</v>
      </c>
      <c r="D179" s="14">
        <v>4</v>
      </c>
      <c r="E179" s="14">
        <v>1378</v>
      </c>
      <c r="F179" s="14">
        <v>17</v>
      </c>
      <c r="G179" s="14">
        <v>15605</v>
      </c>
      <c r="H179" s="14">
        <v>0.0568523354849747</v>
      </c>
      <c r="I179" s="14">
        <v>0.462484167315974</v>
      </c>
      <c r="J179" s="14">
        <v>2.66456074447195</v>
      </c>
      <c r="K179" s="14" t="s">
        <v>16580</v>
      </c>
    </row>
    <row r="180" spans="1:11">
      <c r="A180" s="14" t="s">
        <v>16581</v>
      </c>
      <c r="B180" s="14" t="s">
        <v>16582</v>
      </c>
      <c r="C180" s="14" t="s">
        <v>16090</v>
      </c>
      <c r="D180" s="14">
        <v>4</v>
      </c>
      <c r="E180" s="14">
        <v>1378</v>
      </c>
      <c r="F180" s="14">
        <v>17</v>
      </c>
      <c r="G180" s="14">
        <v>15605</v>
      </c>
      <c r="H180" s="14">
        <v>0.0568523354849747</v>
      </c>
      <c r="I180" s="14">
        <v>0.462484167315974</v>
      </c>
      <c r="J180" s="14">
        <v>2.66456074447195</v>
      </c>
      <c r="K180" s="14" t="s">
        <v>16583</v>
      </c>
    </row>
    <row r="181" spans="1:11">
      <c r="A181" s="14" t="s">
        <v>16584</v>
      </c>
      <c r="B181" s="14" t="s">
        <v>16585</v>
      </c>
      <c r="C181" s="14" t="s">
        <v>16090</v>
      </c>
      <c r="D181" s="14">
        <v>6</v>
      </c>
      <c r="E181" s="14">
        <v>1378</v>
      </c>
      <c r="F181" s="14">
        <v>32</v>
      </c>
      <c r="G181" s="14">
        <v>15605</v>
      </c>
      <c r="H181" s="14">
        <v>0.0582354295176592</v>
      </c>
      <c r="I181" s="14">
        <v>0.464944129679223</v>
      </c>
      <c r="J181" s="14">
        <v>2.12332184325109</v>
      </c>
      <c r="K181" s="14" t="s">
        <v>16586</v>
      </c>
    </row>
    <row r="182" spans="1:11">
      <c r="A182" s="14" t="s">
        <v>16587</v>
      </c>
      <c r="B182" s="14" t="s">
        <v>16588</v>
      </c>
      <c r="C182" s="14" t="s">
        <v>16086</v>
      </c>
      <c r="D182" s="14">
        <v>7</v>
      </c>
      <c r="E182" s="14">
        <v>1378</v>
      </c>
      <c r="F182" s="14">
        <v>40</v>
      </c>
      <c r="G182" s="14">
        <v>15605</v>
      </c>
      <c r="H182" s="14">
        <v>0.0585847989286086</v>
      </c>
      <c r="I182" s="14">
        <v>0.464944129679223</v>
      </c>
      <c r="J182" s="14">
        <v>1.98176705370102</v>
      </c>
      <c r="K182" s="14" t="s">
        <v>16589</v>
      </c>
    </row>
    <row r="183" spans="1:11">
      <c r="A183" s="14" t="s">
        <v>16590</v>
      </c>
      <c r="B183" s="14" t="s">
        <v>16591</v>
      </c>
      <c r="C183" s="14" t="s">
        <v>16090</v>
      </c>
      <c r="D183" s="14">
        <v>8</v>
      </c>
      <c r="E183" s="14">
        <v>1378</v>
      </c>
      <c r="F183" s="14">
        <v>49</v>
      </c>
      <c r="G183" s="14">
        <v>15605</v>
      </c>
      <c r="H183" s="14">
        <v>0.0635472536814095</v>
      </c>
      <c r="I183" s="14">
        <v>0.464944129679223</v>
      </c>
      <c r="J183" s="14">
        <v>1.84887888391932</v>
      </c>
      <c r="K183" s="14" t="s">
        <v>16592</v>
      </c>
    </row>
    <row r="184" spans="1:11">
      <c r="A184" s="14" t="s">
        <v>16593</v>
      </c>
      <c r="B184" s="14" t="s">
        <v>16594</v>
      </c>
      <c r="C184" s="14" t="s">
        <v>16090</v>
      </c>
      <c r="D184" s="14">
        <v>5</v>
      </c>
      <c r="E184" s="14">
        <v>1378</v>
      </c>
      <c r="F184" s="14">
        <v>25</v>
      </c>
      <c r="G184" s="14">
        <v>15605</v>
      </c>
      <c r="H184" s="14">
        <v>0.0640655394185794</v>
      </c>
      <c r="I184" s="14">
        <v>0.464944129679223</v>
      </c>
      <c r="J184" s="14">
        <v>2.26487663280116</v>
      </c>
      <c r="K184" s="14" t="s">
        <v>16595</v>
      </c>
    </row>
    <row r="185" spans="1:11">
      <c r="A185" s="14" t="s">
        <v>16596</v>
      </c>
      <c r="B185" s="14" t="s">
        <v>16597</v>
      </c>
      <c r="C185" s="14" t="s">
        <v>16090</v>
      </c>
      <c r="D185" s="14">
        <v>2</v>
      </c>
      <c r="E185" s="14">
        <v>1378</v>
      </c>
      <c r="F185" s="14">
        <v>5</v>
      </c>
      <c r="G185" s="14">
        <v>15605</v>
      </c>
      <c r="H185" s="14">
        <v>0.0650689815623919</v>
      </c>
      <c r="I185" s="14">
        <v>0.464944129679223</v>
      </c>
      <c r="J185" s="14">
        <v>4.52975326560232</v>
      </c>
      <c r="K185" s="14" t="s">
        <v>16598</v>
      </c>
    </row>
    <row r="186" spans="1:11">
      <c r="A186" s="14" t="s">
        <v>16599</v>
      </c>
      <c r="B186" s="14" t="s">
        <v>16600</v>
      </c>
      <c r="C186" s="14" t="s">
        <v>16086</v>
      </c>
      <c r="D186" s="14">
        <v>2</v>
      </c>
      <c r="E186" s="14">
        <v>1378</v>
      </c>
      <c r="F186" s="14">
        <v>5</v>
      </c>
      <c r="G186" s="14">
        <v>15605</v>
      </c>
      <c r="H186" s="14">
        <v>0.0650689815623919</v>
      </c>
      <c r="I186" s="14">
        <v>0.464944129679223</v>
      </c>
      <c r="J186" s="14">
        <v>4.52975326560232</v>
      </c>
      <c r="K186" s="14" t="s">
        <v>16601</v>
      </c>
    </row>
    <row r="187" spans="1:11">
      <c r="A187" s="14" t="s">
        <v>16602</v>
      </c>
      <c r="B187" s="14" t="s">
        <v>16603</v>
      </c>
      <c r="C187" s="14" t="s">
        <v>16090</v>
      </c>
      <c r="D187" s="14">
        <v>2</v>
      </c>
      <c r="E187" s="14">
        <v>1378</v>
      </c>
      <c r="F187" s="14">
        <v>5</v>
      </c>
      <c r="G187" s="14">
        <v>15605</v>
      </c>
      <c r="H187" s="14">
        <v>0.0650689815623919</v>
      </c>
      <c r="I187" s="14">
        <v>0.464944129679223</v>
      </c>
      <c r="J187" s="14">
        <v>4.52975326560232</v>
      </c>
      <c r="K187" s="14" t="s">
        <v>16604</v>
      </c>
    </row>
    <row r="188" spans="1:11">
      <c r="A188" s="14" t="s">
        <v>16605</v>
      </c>
      <c r="B188" s="14" t="s">
        <v>16606</v>
      </c>
      <c r="C188" s="14" t="s">
        <v>16090</v>
      </c>
      <c r="D188" s="14">
        <v>2</v>
      </c>
      <c r="E188" s="14">
        <v>1378</v>
      </c>
      <c r="F188" s="14">
        <v>5</v>
      </c>
      <c r="G188" s="14">
        <v>15605</v>
      </c>
      <c r="H188" s="14">
        <v>0.0650689815623919</v>
      </c>
      <c r="I188" s="14">
        <v>0.464944129679223</v>
      </c>
      <c r="J188" s="14">
        <v>4.52975326560232</v>
      </c>
      <c r="K188" s="14" t="s">
        <v>16607</v>
      </c>
    </row>
    <row r="189" spans="1:11">
      <c r="A189" s="14" t="s">
        <v>16608</v>
      </c>
      <c r="B189" s="14" t="s">
        <v>16609</v>
      </c>
      <c r="C189" s="14" t="s">
        <v>16086</v>
      </c>
      <c r="D189" s="14">
        <v>2</v>
      </c>
      <c r="E189" s="14">
        <v>1378</v>
      </c>
      <c r="F189" s="14">
        <v>5</v>
      </c>
      <c r="G189" s="14">
        <v>15605</v>
      </c>
      <c r="H189" s="14">
        <v>0.0650689815623919</v>
      </c>
      <c r="I189" s="14">
        <v>0.464944129679223</v>
      </c>
      <c r="J189" s="14">
        <v>4.52975326560232</v>
      </c>
      <c r="K189" s="14" t="s">
        <v>16610</v>
      </c>
    </row>
    <row r="190" spans="1:11">
      <c r="A190" s="14" t="s">
        <v>16611</v>
      </c>
      <c r="B190" s="14" t="s">
        <v>16612</v>
      </c>
      <c r="C190" s="14" t="s">
        <v>16090</v>
      </c>
      <c r="D190" s="14">
        <v>2</v>
      </c>
      <c r="E190" s="14">
        <v>1378</v>
      </c>
      <c r="F190" s="14">
        <v>5</v>
      </c>
      <c r="G190" s="14">
        <v>15605</v>
      </c>
      <c r="H190" s="14">
        <v>0.0650689815623919</v>
      </c>
      <c r="I190" s="14">
        <v>0.464944129679223</v>
      </c>
      <c r="J190" s="14">
        <v>4.52975326560232</v>
      </c>
      <c r="K190" s="14" t="s">
        <v>16610</v>
      </c>
    </row>
    <row r="191" spans="1:11">
      <c r="A191" s="14" t="s">
        <v>16613</v>
      </c>
      <c r="B191" s="14" t="s">
        <v>16614</v>
      </c>
      <c r="C191" s="14" t="s">
        <v>16086</v>
      </c>
      <c r="D191" s="14">
        <v>2</v>
      </c>
      <c r="E191" s="14">
        <v>1378</v>
      </c>
      <c r="F191" s="14">
        <v>5</v>
      </c>
      <c r="G191" s="14">
        <v>15605</v>
      </c>
      <c r="H191" s="14">
        <v>0.0650689815623919</v>
      </c>
      <c r="I191" s="14">
        <v>0.464944129679223</v>
      </c>
      <c r="J191" s="14">
        <v>4.52975326560232</v>
      </c>
      <c r="K191" s="14" t="s">
        <v>16615</v>
      </c>
    </row>
    <row r="192" spans="1:11">
      <c r="A192" s="14" t="s">
        <v>16616</v>
      </c>
      <c r="B192" s="14" t="s">
        <v>16617</v>
      </c>
      <c r="C192" s="14" t="s">
        <v>16090</v>
      </c>
      <c r="D192" s="14">
        <v>2</v>
      </c>
      <c r="E192" s="14">
        <v>1378</v>
      </c>
      <c r="F192" s="14">
        <v>5</v>
      </c>
      <c r="G192" s="14">
        <v>15605</v>
      </c>
      <c r="H192" s="14">
        <v>0.0650689815623919</v>
      </c>
      <c r="I192" s="14">
        <v>0.464944129679223</v>
      </c>
      <c r="J192" s="14">
        <v>4.52975326560232</v>
      </c>
      <c r="K192" s="14" t="s">
        <v>16618</v>
      </c>
    </row>
    <row r="193" spans="1:11">
      <c r="A193" s="14" t="s">
        <v>16619</v>
      </c>
      <c r="B193" s="14" t="s">
        <v>16620</v>
      </c>
      <c r="C193" s="14" t="s">
        <v>16090</v>
      </c>
      <c r="D193" s="14">
        <v>2</v>
      </c>
      <c r="E193" s="14">
        <v>1378</v>
      </c>
      <c r="F193" s="14">
        <v>5</v>
      </c>
      <c r="G193" s="14">
        <v>15605</v>
      </c>
      <c r="H193" s="14">
        <v>0.0650689815623919</v>
      </c>
      <c r="I193" s="14">
        <v>0.464944129679223</v>
      </c>
      <c r="J193" s="14">
        <v>4.52975326560232</v>
      </c>
      <c r="K193" s="14" t="s">
        <v>16598</v>
      </c>
    </row>
    <row r="194" spans="1:11">
      <c r="A194" s="14" t="s">
        <v>16621</v>
      </c>
      <c r="B194" s="14" t="s">
        <v>16622</v>
      </c>
      <c r="C194" s="14" t="s">
        <v>16090</v>
      </c>
      <c r="D194" s="14">
        <v>2</v>
      </c>
      <c r="E194" s="14">
        <v>1378</v>
      </c>
      <c r="F194" s="14">
        <v>5</v>
      </c>
      <c r="G194" s="14">
        <v>15605</v>
      </c>
      <c r="H194" s="14">
        <v>0.0650689815623919</v>
      </c>
      <c r="I194" s="14">
        <v>0.464944129679223</v>
      </c>
      <c r="J194" s="14">
        <v>4.52975326560232</v>
      </c>
      <c r="K194" s="14" t="s">
        <v>16623</v>
      </c>
    </row>
    <row r="195" spans="1:11">
      <c r="A195" s="14" t="s">
        <v>16624</v>
      </c>
      <c r="B195" s="14" t="s">
        <v>16625</v>
      </c>
      <c r="C195" s="14" t="s">
        <v>16086</v>
      </c>
      <c r="D195" s="14">
        <v>2</v>
      </c>
      <c r="E195" s="14">
        <v>1378</v>
      </c>
      <c r="F195" s="14">
        <v>5</v>
      </c>
      <c r="G195" s="14">
        <v>15605</v>
      </c>
      <c r="H195" s="14">
        <v>0.0650689815623919</v>
      </c>
      <c r="I195" s="14">
        <v>0.464944129679223</v>
      </c>
      <c r="J195" s="14">
        <v>4.52975326560232</v>
      </c>
      <c r="K195" s="14" t="s">
        <v>16626</v>
      </c>
    </row>
    <row r="196" spans="1:11">
      <c r="A196" s="14" t="s">
        <v>16627</v>
      </c>
      <c r="B196" s="14" t="s">
        <v>16628</v>
      </c>
      <c r="C196" s="14" t="s">
        <v>16090</v>
      </c>
      <c r="D196" s="14">
        <v>2</v>
      </c>
      <c r="E196" s="14">
        <v>1378</v>
      </c>
      <c r="F196" s="14">
        <v>5</v>
      </c>
      <c r="G196" s="14">
        <v>15605</v>
      </c>
      <c r="H196" s="14">
        <v>0.0650689815623919</v>
      </c>
      <c r="I196" s="14">
        <v>0.464944129679223</v>
      </c>
      <c r="J196" s="14">
        <v>4.52975326560232</v>
      </c>
      <c r="K196" s="14" t="s">
        <v>16629</v>
      </c>
    </row>
    <row r="197" spans="1:11">
      <c r="A197" s="14" t="s">
        <v>16630</v>
      </c>
      <c r="B197" s="14" t="s">
        <v>16631</v>
      </c>
      <c r="C197" s="14" t="s">
        <v>16086</v>
      </c>
      <c r="D197" s="14">
        <v>2</v>
      </c>
      <c r="E197" s="14">
        <v>1378</v>
      </c>
      <c r="F197" s="14">
        <v>5</v>
      </c>
      <c r="G197" s="14">
        <v>15605</v>
      </c>
      <c r="H197" s="14">
        <v>0.0650689815623919</v>
      </c>
      <c r="I197" s="14">
        <v>0.464944129679223</v>
      </c>
      <c r="J197" s="14">
        <v>4.52975326560232</v>
      </c>
      <c r="K197" s="14" t="s">
        <v>16632</v>
      </c>
    </row>
    <row r="198" spans="1:11">
      <c r="A198" s="14" t="s">
        <v>16633</v>
      </c>
      <c r="B198" s="14" t="s">
        <v>16634</v>
      </c>
      <c r="C198" s="14" t="s">
        <v>16086</v>
      </c>
      <c r="D198" s="14">
        <v>2</v>
      </c>
      <c r="E198" s="14">
        <v>1378</v>
      </c>
      <c r="F198" s="14">
        <v>5</v>
      </c>
      <c r="G198" s="14">
        <v>15605</v>
      </c>
      <c r="H198" s="14">
        <v>0.0650689815623919</v>
      </c>
      <c r="I198" s="14">
        <v>0.464944129679223</v>
      </c>
      <c r="J198" s="14">
        <v>4.52975326560232</v>
      </c>
      <c r="K198" s="14" t="s">
        <v>16632</v>
      </c>
    </row>
    <row r="199" spans="1:11">
      <c r="A199" s="14" t="s">
        <v>16635</v>
      </c>
      <c r="B199" s="14" t="s">
        <v>16636</v>
      </c>
      <c r="C199" s="14" t="s">
        <v>16090</v>
      </c>
      <c r="D199" s="14">
        <v>2</v>
      </c>
      <c r="E199" s="14">
        <v>1378</v>
      </c>
      <c r="F199" s="14">
        <v>5</v>
      </c>
      <c r="G199" s="14">
        <v>15605</v>
      </c>
      <c r="H199" s="14">
        <v>0.0650689815623919</v>
      </c>
      <c r="I199" s="14">
        <v>0.464944129679223</v>
      </c>
      <c r="J199" s="14">
        <v>4.52975326560232</v>
      </c>
      <c r="K199" s="14" t="s">
        <v>16637</v>
      </c>
    </row>
    <row r="200" spans="1:11">
      <c r="A200" s="14" t="s">
        <v>16638</v>
      </c>
      <c r="B200" s="14" t="s">
        <v>16639</v>
      </c>
      <c r="C200" s="14" t="s">
        <v>16090</v>
      </c>
      <c r="D200" s="14">
        <v>2</v>
      </c>
      <c r="E200" s="14">
        <v>1378</v>
      </c>
      <c r="F200" s="14">
        <v>5</v>
      </c>
      <c r="G200" s="14">
        <v>15605</v>
      </c>
      <c r="H200" s="14">
        <v>0.0650689815623919</v>
      </c>
      <c r="I200" s="14">
        <v>0.464944129679223</v>
      </c>
      <c r="J200" s="14">
        <v>4.52975326560232</v>
      </c>
      <c r="K200" s="14" t="s">
        <v>16640</v>
      </c>
    </row>
    <row r="201" spans="1:11">
      <c r="A201" s="14" t="s">
        <v>16641</v>
      </c>
      <c r="B201" s="14" t="s">
        <v>16642</v>
      </c>
      <c r="C201" s="14" t="s">
        <v>16086</v>
      </c>
      <c r="D201" s="14">
        <v>2</v>
      </c>
      <c r="E201" s="14">
        <v>1378</v>
      </c>
      <c r="F201" s="14">
        <v>5</v>
      </c>
      <c r="G201" s="14">
        <v>15605</v>
      </c>
      <c r="H201" s="14">
        <v>0.0650689815623919</v>
      </c>
      <c r="I201" s="14">
        <v>0.464944129679223</v>
      </c>
      <c r="J201" s="14">
        <v>4.52975326560232</v>
      </c>
      <c r="K201" s="14" t="s">
        <v>16623</v>
      </c>
    </row>
    <row r="202" spans="1:11">
      <c r="A202" s="14" t="s">
        <v>16643</v>
      </c>
      <c r="B202" s="14" t="s">
        <v>16644</v>
      </c>
      <c r="C202" s="14" t="s">
        <v>16086</v>
      </c>
      <c r="D202" s="14">
        <v>2</v>
      </c>
      <c r="E202" s="14">
        <v>1378</v>
      </c>
      <c r="F202" s="14">
        <v>5</v>
      </c>
      <c r="G202" s="14">
        <v>15605</v>
      </c>
      <c r="H202" s="14">
        <v>0.0650689815623919</v>
      </c>
      <c r="I202" s="14">
        <v>0.464944129679223</v>
      </c>
      <c r="J202" s="14">
        <v>4.52975326560232</v>
      </c>
      <c r="K202" s="14" t="s">
        <v>16623</v>
      </c>
    </row>
    <row r="203" spans="1:11">
      <c r="A203" s="14" t="s">
        <v>16645</v>
      </c>
      <c r="B203" s="14" t="s">
        <v>16646</v>
      </c>
      <c r="C203" s="14" t="s">
        <v>16090</v>
      </c>
      <c r="D203" s="14">
        <v>2</v>
      </c>
      <c r="E203" s="14">
        <v>1378</v>
      </c>
      <c r="F203" s="14">
        <v>5</v>
      </c>
      <c r="G203" s="14">
        <v>15605</v>
      </c>
      <c r="H203" s="14">
        <v>0.0650689815623919</v>
      </c>
      <c r="I203" s="14">
        <v>0.464944129679223</v>
      </c>
      <c r="J203" s="14">
        <v>4.52975326560232</v>
      </c>
      <c r="K203" s="14" t="s">
        <v>16647</v>
      </c>
    </row>
    <row r="204" spans="1:11">
      <c r="A204" s="14" t="s">
        <v>16648</v>
      </c>
      <c r="B204" s="14" t="s">
        <v>16649</v>
      </c>
      <c r="C204" s="14" t="s">
        <v>16090</v>
      </c>
      <c r="D204" s="14">
        <v>7</v>
      </c>
      <c r="E204" s="14">
        <v>1378</v>
      </c>
      <c r="F204" s="14">
        <v>41</v>
      </c>
      <c r="G204" s="14">
        <v>15605</v>
      </c>
      <c r="H204" s="14">
        <v>0.0655031784907193</v>
      </c>
      <c r="I204" s="14">
        <v>0.464944129679223</v>
      </c>
      <c r="J204" s="14">
        <v>1.93343127190343</v>
      </c>
      <c r="K204" s="14" t="s">
        <v>16650</v>
      </c>
    </row>
    <row r="205" spans="1:11">
      <c r="A205" s="14" t="s">
        <v>16651</v>
      </c>
      <c r="B205" s="14" t="s">
        <v>16652</v>
      </c>
      <c r="C205" s="14" t="s">
        <v>16086</v>
      </c>
      <c r="D205" s="14">
        <v>7</v>
      </c>
      <c r="E205" s="14">
        <v>1378</v>
      </c>
      <c r="F205" s="14">
        <v>41</v>
      </c>
      <c r="G205" s="14">
        <v>15605</v>
      </c>
      <c r="H205" s="14">
        <v>0.0655031784907193</v>
      </c>
      <c r="I205" s="14">
        <v>0.464944129679223</v>
      </c>
      <c r="J205" s="14">
        <v>1.93343127190343</v>
      </c>
      <c r="K205" s="14" t="s">
        <v>16653</v>
      </c>
    </row>
    <row r="206" spans="1:11">
      <c r="A206" s="14" t="s">
        <v>16654</v>
      </c>
      <c r="B206" s="14" t="s">
        <v>16655</v>
      </c>
      <c r="C206" s="14" t="s">
        <v>16086</v>
      </c>
      <c r="D206" s="14">
        <v>7</v>
      </c>
      <c r="E206" s="14">
        <v>1378</v>
      </c>
      <c r="F206" s="14">
        <v>41</v>
      </c>
      <c r="G206" s="14">
        <v>15605</v>
      </c>
      <c r="H206" s="14">
        <v>0.0655031784907193</v>
      </c>
      <c r="I206" s="14">
        <v>0.464944129679223</v>
      </c>
      <c r="J206" s="14">
        <v>1.93343127190343</v>
      </c>
      <c r="K206" s="14" t="s">
        <v>16653</v>
      </c>
    </row>
    <row r="207" spans="1:11">
      <c r="A207" s="14" t="s">
        <v>16656</v>
      </c>
      <c r="B207" s="14" t="s">
        <v>16657</v>
      </c>
      <c r="C207" s="14" t="s">
        <v>16090</v>
      </c>
      <c r="D207" s="14">
        <v>3</v>
      </c>
      <c r="E207" s="14">
        <v>1378</v>
      </c>
      <c r="F207" s="14">
        <v>11</v>
      </c>
      <c r="G207" s="14">
        <v>15605</v>
      </c>
      <c r="H207" s="14">
        <v>0.0662413473176534</v>
      </c>
      <c r="I207" s="14">
        <v>0.465618790854185</v>
      </c>
      <c r="J207" s="14">
        <v>3.08846813563795</v>
      </c>
      <c r="K207" s="14" t="s">
        <v>16658</v>
      </c>
    </row>
    <row r="208" spans="1:11">
      <c r="A208" s="14" t="s">
        <v>16659</v>
      </c>
      <c r="B208" s="14" t="s">
        <v>16660</v>
      </c>
      <c r="C208" s="14" t="s">
        <v>16090</v>
      </c>
      <c r="D208" s="14">
        <v>3</v>
      </c>
      <c r="E208" s="14">
        <v>1378</v>
      </c>
      <c r="F208" s="14">
        <v>11</v>
      </c>
      <c r="G208" s="14">
        <v>15605</v>
      </c>
      <c r="H208" s="14">
        <v>0.0662413473176534</v>
      </c>
      <c r="I208" s="14">
        <v>0.465618790854185</v>
      </c>
      <c r="J208" s="14">
        <v>3.08846813563795</v>
      </c>
      <c r="K208" s="14" t="s">
        <v>16661</v>
      </c>
    </row>
    <row r="209" spans="1:11">
      <c r="A209" s="14" t="s">
        <v>16662</v>
      </c>
      <c r="B209" s="14" t="s">
        <v>16663</v>
      </c>
      <c r="C209" s="14" t="s">
        <v>16086</v>
      </c>
      <c r="D209" s="14">
        <v>4</v>
      </c>
      <c r="E209" s="14">
        <v>1378</v>
      </c>
      <c r="F209" s="14">
        <v>18</v>
      </c>
      <c r="G209" s="14">
        <v>15605</v>
      </c>
      <c r="H209" s="14">
        <v>0.068174587888519</v>
      </c>
      <c r="I209" s="14">
        <v>0.47232920221328</v>
      </c>
      <c r="J209" s="14">
        <v>2.51652959200129</v>
      </c>
      <c r="K209" s="14" t="s">
        <v>16186</v>
      </c>
    </row>
    <row r="210" spans="1:11">
      <c r="A210" s="14" t="s">
        <v>16664</v>
      </c>
      <c r="B210" s="14" t="s">
        <v>16665</v>
      </c>
      <c r="C210" s="14" t="s">
        <v>16090</v>
      </c>
      <c r="D210" s="14">
        <v>4</v>
      </c>
      <c r="E210" s="14">
        <v>1378</v>
      </c>
      <c r="F210" s="14">
        <v>18</v>
      </c>
      <c r="G210" s="14">
        <v>15605</v>
      </c>
      <c r="H210" s="14">
        <v>0.068174587888519</v>
      </c>
      <c r="I210" s="14">
        <v>0.47232920221328</v>
      </c>
      <c r="J210" s="14">
        <v>2.51652959200129</v>
      </c>
      <c r="K210" s="14" t="s">
        <v>16666</v>
      </c>
    </row>
    <row r="211" spans="1:11">
      <c r="A211" s="14" t="s">
        <v>16667</v>
      </c>
      <c r="B211" s="14" t="s">
        <v>16668</v>
      </c>
      <c r="C211" s="14" t="s">
        <v>16086</v>
      </c>
      <c r="D211" s="14">
        <v>4</v>
      </c>
      <c r="E211" s="14">
        <v>1378</v>
      </c>
      <c r="F211" s="14">
        <v>18</v>
      </c>
      <c r="G211" s="14">
        <v>15605</v>
      </c>
      <c r="H211" s="14">
        <v>0.068174587888519</v>
      </c>
      <c r="I211" s="14">
        <v>0.47232920221328</v>
      </c>
      <c r="J211" s="14">
        <v>2.51652959200129</v>
      </c>
      <c r="K211" s="14" t="s">
        <v>16669</v>
      </c>
    </row>
    <row r="212" spans="1:11">
      <c r="A212" s="14" t="s">
        <v>16670</v>
      </c>
      <c r="B212" s="14" t="s">
        <v>16671</v>
      </c>
      <c r="C212" s="14" t="s">
        <v>16090</v>
      </c>
      <c r="D212" s="14">
        <v>10</v>
      </c>
      <c r="E212" s="14">
        <v>1378</v>
      </c>
      <c r="F212" s="14">
        <v>67</v>
      </c>
      <c r="G212" s="14">
        <v>15605</v>
      </c>
      <c r="H212" s="14">
        <v>0.0685028669660305</v>
      </c>
      <c r="I212" s="14">
        <v>0.472343577937201</v>
      </c>
      <c r="J212" s="14">
        <v>1.69020644238893</v>
      </c>
      <c r="K212" s="14" t="s">
        <v>16672</v>
      </c>
    </row>
    <row r="213" spans="1:11">
      <c r="A213" s="14" t="s">
        <v>16673</v>
      </c>
      <c r="B213" s="14" t="s">
        <v>16674</v>
      </c>
      <c r="C213" s="14" t="s">
        <v>16086</v>
      </c>
      <c r="D213" s="14">
        <v>7</v>
      </c>
      <c r="E213" s="14">
        <v>1378</v>
      </c>
      <c r="F213" s="14">
        <v>42</v>
      </c>
      <c r="G213" s="14">
        <v>15605</v>
      </c>
      <c r="H213" s="14">
        <v>0.0728936675426091</v>
      </c>
      <c r="I213" s="14">
        <v>0.500237111856389</v>
      </c>
      <c r="J213" s="14">
        <v>1.88739719400097</v>
      </c>
      <c r="K213" s="14" t="s">
        <v>16675</v>
      </c>
    </row>
    <row r="214" spans="1:11">
      <c r="A214" s="14" t="s">
        <v>16676</v>
      </c>
      <c r="B214" s="14" t="s">
        <v>16677</v>
      </c>
      <c r="C214" s="14" t="s">
        <v>16086</v>
      </c>
      <c r="D214" s="14">
        <v>17</v>
      </c>
      <c r="E214" s="14">
        <v>1378</v>
      </c>
      <c r="F214" s="14">
        <v>132</v>
      </c>
      <c r="G214" s="14">
        <v>15605</v>
      </c>
      <c r="H214" s="14">
        <v>0.0732578783931159</v>
      </c>
      <c r="I214" s="14">
        <v>0.500365131666188</v>
      </c>
      <c r="J214" s="14">
        <v>1.45844328627347</v>
      </c>
      <c r="K214" s="14" t="s">
        <v>16678</v>
      </c>
    </row>
    <row r="215" spans="1:11">
      <c r="A215" s="14" t="s">
        <v>16679</v>
      </c>
      <c r="B215" s="14" t="s">
        <v>16680</v>
      </c>
      <c r="C215" s="14" t="s">
        <v>16090</v>
      </c>
      <c r="D215" s="14">
        <v>11</v>
      </c>
      <c r="E215" s="14">
        <v>1378</v>
      </c>
      <c r="F215" s="14">
        <v>77</v>
      </c>
      <c r="G215" s="14">
        <v>15605</v>
      </c>
      <c r="H215" s="14">
        <v>0.0748266329493005</v>
      </c>
      <c r="I215" s="14">
        <v>0.508680584556747</v>
      </c>
      <c r="J215" s="14">
        <v>1.6177690234294</v>
      </c>
      <c r="K215" s="14" t="s">
        <v>16681</v>
      </c>
    </row>
    <row r="216" spans="1:11">
      <c r="A216" s="14" t="s">
        <v>16682</v>
      </c>
      <c r="B216" s="14" t="s">
        <v>16683</v>
      </c>
      <c r="C216" s="14" t="s">
        <v>16090</v>
      </c>
      <c r="D216" s="14">
        <v>4</v>
      </c>
      <c r="E216" s="14">
        <v>1378</v>
      </c>
      <c r="F216" s="14">
        <v>19</v>
      </c>
      <c r="G216" s="14">
        <v>15605</v>
      </c>
      <c r="H216" s="14">
        <v>0.0805636177270955</v>
      </c>
      <c r="I216" s="14">
        <v>0.53887180697367</v>
      </c>
      <c r="J216" s="14">
        <v>2.38408066610649</v>
      </c>
      <c r="K216" s="14" t="s">
        <v>16684</v>
      </c>
    </row>
    <row r="217" spans="1:11">
      <c r="A217" s="14" t="s">
        <v>16685</v>
      </c>
      <c r="B217" s="14" t="s">
        <v>16686</v>
      </c>
      <c r="C217" s="14" t="s">
        <v>16090</v>
      </c>
      <c r="D217" s="14">
        <v>4</v>
      </c>
      <c r="E217" s="14">
        <v>1378</v>
      </c>
      <c r="F217" s="14">
        <v>19</v>
      </c>
      <c r="G217" s="14">
        <v>15605</v>
      </c>
      <c r="H217" s="14">
        <v>0.0805636177270955</v>
      </c>
      <c r="I217" s="14">
        <v>0.53887180697367</v>
      </c>
      <c r="J217" s="14">
        <v>2.38408066610649</v>
      </c>
      <c r="K217" s="14" t="s">
        <v>16687</v>
      </c>
    </row>
    <row r="218" spans="1:11">
      <c r="A218" s="14" t="s">
        <v>16688</v>
      </c>
      <c r="B218" s="14" t="s">
        <v>16689</v>
      </c>
      <c r="C218" s="14" t="s">
        <v>16090</v>
      </c>
      <c r="D218" s="14">
        <v>4</v>
      </c>
      <c r="E218" s="14">
        <v>1378</v>
      </c>
      <c r="F218" s="14">
        <v>19</v>
      </c>
      <c r="G218" s="14">
        <v>15605</v>
      </c>
      <c r="H218" s="14">
        <v>0.0805636177270955</v>
      </c>
      <c r="I218" s="14">
        <v>0.53887180697367</v>
      </c>
      <c r="J218" s="14">
        <v>2.38408066610649</v>
      </c>
      <c r="K218" s="14" t="s">
        <v>16690</v>
      </c>
    </row>
    <row r="219" spans="1:11">
      <c r="A219" s="14" t="s">
        <v>16691</v>
      </c>
      <c r="B219" s="14" t="s">
        <v>16692</v>
      </c>
      <c r="C219" s="14" t="s">
        <v>16090</v>
      </c>
      <c r="D219" s="14">
        <v>7</v>
      </c>
      <c r="E219" s="14">
        <v>1378</v>
      </c>
      <c r="F219" s="14">
        <v>43</v>
      </c>
      <c r="G219" s="14">
        <v>15605</v>
      </c>
      <c r="H219" s="14">
        <v>0.0807563412384574</v>
      </c>
      <c r="I219" s="14">
        <v>0.53887180697367</v>
      </c>
      <c r="J219" s="14">
        <v>1.84350423600094</v>
      </c>
      <c r="K219" s="14" t="s">
        <v>16693</v>
      </c>
    </row>
    <row r="220" spans="1:11">
      <c r="A220" s="14" t="s">
        <v>16694</v>
      </c>
      <c r="B220" s="14" t="s">
        <v>16695</v>
      </c>
      <c r="C220" s="14" t="s">
        <v>16086</v>
      </c>
      <c r="D220" s="14">
        <v>3</v>
      </c>
      <c r="E220" s="14">
        <v>1378</v>
      </c>
      <c r="F220" s="14">
        <v>12</v>
      </c>
      <c r="G220" s="14">
        <v>15605</v>
      </c>
      <c r="H220" s="14">
        <v>0.0827137554269965</v>
      </c>
      <c r="I220" s="14">
        <v>0.541943519720774</v>
      </c>
      <c r="J220" s="14">
        <v>2.83109579100145</v>
      </c>
      <c r="K220" s="14" t="s">
        <v>16696</v>
      </c>
    </row>
    <row r="221" spans="1:11">
      <c r="A221" s="14" t="s">
        <v>16697</v>
      </c>
      <c r="B221" s="14" t="s">
        <v>16698</v>
      </c>
      <c r="C221" s="14" t="s">
        <v>16090</v>
      </c>
      <c r="D221" s="14">
        <v>3</v>
      </c>
      <c r="E221" s="14">
        <v>1378</v>
      </c>
      <c r="F221" s="14">
        <v>12</v>
      </c>
      <c r="G221" s="14">
        <v>15605</v>
      </c>
      <c r="H221" s="14">
        <v>0.0827137554269965</v>
      </c>
      <c r="I221" s="14">
        <v>0.541943519720774</v>
      </c>
      <c r="J221" s="14">
        <v>2.83109579100145</v>
      </c>
      <c r="K221" s="14" t="s">
        <v>16699</v>
      </c>
    </row>
    <row r="222" spans="1:11">
      <c r="A222" s="14" t="s">
        <v>16700</v>
      </c>
      <c r="B222" s="14" t="s">
        <v>16701</v>
      </c>
      <c r="C222" s="14" t="s">
        <v>16090</v>
      </c>
      <c r="D222" s="14">
        <v>3</v>
      </c>
      <c r="E222" s="14">
        <v>1378</v>
      </c>
      <c r="F222" s="14">
        <v>12</v>
      </c>
      <c r="G222" s="14">
        <v>15605</v>
      </c>
      <c r="H222" s="14">
        <v>0.0827137554269965</v>
      </c>
      <c r="I222" s="14">
        <v>0.541943519720774</v>
      </c>
      <c r="J222" s="14">
        <v>2.83109579100145</v>
      </c>
      <c r="K222" s="14" t="s">
        <v>16553</v>
      </c>
    </row>
    <row r="223" spans="1:11">
      <c r="A223" s="14" t="s">
        <v>16702</v>
      </c>
      <c r="B223" s="14" t="s">
        <v>16703</v>
      </c>
      <c r="C223" s="14" t="s">
        <v>16090</v>
      </c>
      <c r="D223" s="14">
        <v>3</v>
      </c>
      <c r="E223" s="14">
        <v>1378</v>
      </c>
      <c r="F223" s="14">
        <v>12</v>
      </c>
      <c r="G223" s="14">
        <v>15605</v>
      </c>
      <c r="H223" s="14">
        <v>0.0827137554269965</v>
      </c>
      <c r="I223" s="14">
        <v>0.541943519720774</v>
      </c>
      <c r="J223" s="14">
        <v>2.83109579100145</v>
      </c>
      <c r="K223" s="14" t="s">
        <v>16704</v>
      </c>
    </row>
    <row r="224" spans="1:11">
      <c r="A224" s="14" t="s">
        <v>16705</v>
      </c>
      <c r="B224" s="14" t="s">
        <v>16706</v>
      </c>
      <c r="C224" s="14" t="s">
        <v>16090</v>
      </c>
      <c r="D224" s="14">
        <v>8</v>
      </c>
      <c r="E224" s="14">
        <v>1378</v>
      </c>
      <c r="F224" s="14">
        <v>52</v>
      </c>
      <c r="G224" s="14">
        <v>15605</v>
      </c>
      <c r="H224" s="14">
        <v>0.0843026414064614</v>
      </c>
      <c r="I224" s="14">
        <v>0.549865877281784</v>
      </c>
      <c r="J224" s="14">
        <v>1.74221279446243</v>
      </c>
      <c r="K224" s="14" t="s">
        <v>16707</v>
      </c>
    </row>
    <row r="225" spans="1:11">
      <c r="A225" s="14" t="s">
        <v>16708</v>
      </c>
      <c r="B225" s="14" t="s">
        <v>16709</v>
      </c>
      <c r="C225" s="14" t="s">
        <v>16086</v>
      </c>
      <c r="D225" s="14">
        <v>11</v>
      </c>
      <c r="E225" s="14">
        <v>1378</v>
      </c>
      <c r="F225" s="14">
        <v>79</v>
      </c>
      <c r="G225" s="14">
        <v>15605</v>
      </c>
      <c r="H225" s="14">
        <v>0.0864577661440741</v>
      </c>
      <c r="I225" s="14">
        <v>0.555432950125958</v>
      </c>
      <c r="J225" s="14">
        <v>1.57681284562106</v>
      </c>
      <c r="K225" s="14" t="s">
        <v>16710</v>
      </c>
    </row>
    <row r="226" spans="1:11">
      <c r="A226" s="14" t="s">
        <v>16711</v>
      </c>
      <c r="B226" s="14" t="s">
        <v>16712</v>
      </c>
      <c r="C226" s="14" t="s">
        <v>16090</v>
      </c>
      <c r="D226" s="14">
        <v>7</v>
      </c>
      <c r="E226" s="14">
        <v>1378</v>
      </c>
      <c r="F226" s="14">
        <v>44</v>
      </c>
      <c r="G226" s="14">
        <v>15605</v>
      </c>
      <c r="H226" s="14">
        <v>0.089089018730694</v>
      </c>
      <c r="I226" s="14">
        <v>0.555432950125958</v>
      </c>
      <c r="J226" s="14">
        <v>1.80160641245547</v>
      </c>
      <c r="K226" s="14" t="s">
        <v>16713</v>
      </c>
    </row>
    <row r="227" spans="1:11">
      <c r="A227" s="14" t="s">
        <v>16714</v>
      </c>
      <c r="B227" s="14" t="s">
        <v>16715</v>
      </c>
      <c r="C227" s="14" t="s">
        <v>16090</v>
      </c>
      <c r="D227" s="14">
        <v>7</v>
      </c>
      <c r="E227" s="14">
        <v>1378</v>
      </c>
      <c r="F227" s="14">
        <v>44</v>
      </c>
      <c r="G227" s="14">
        <v>15605</v>
      </c>
      <c r="H227" s="14">
        <v>0.089089018730694</v>
      </c>
      <c r="I227" s="14">
        <v>0.555432950125958</v>
      </c>
      <c r="J227" s="14">
        <v>1.80160641245547</v>
      </c>
      <c r="K227" s="14" t="s">
        <v>16716</v>
      </c>
    </row>
    <row r="228" spans="1:11">
      <c r="A228" s="14" t="s">
        <v>16717</v>
      </c>
      <c r="B228" s="14" t="s">
        <v>16718</v>
      </c>
      <c r="C228" s="14" t="s">
        <v>16086</v>
      </c>
      <c r="D228" s="14">
        <v>12</v>
      </c>
      <c r="E228" s="14">
        <v>1378</v>
      </c>
      <c r="F228" s="14">
        <v>89</v>
      </c>
      <c r="G228" s="14">
        <v>15605</v>
      </c>
      <c r="H228" s="14">
        <v>0.0914630894783326</v>
      </c>
      <c r="I228" s="14">
        <v>0.555432950125958</v>
      </c>
      <c r="J228" s="14">
        <v>1.52688312323674</v>
      </c>
      <c r="K228" s="14" t="s">
        <v>16719</v>
      </c>
    </row>
    <row r="229" spans="1:11">
      <c r="A229" s="14" t="s">
        <v>16720</v>
      </c>
      <c r="B229" s="14" t="s">
        <v>16721</v>
      </c>
      <c r="C229" s="14" t="s">
        <v>16086</v>
      </c>
      <c r="D229" s="14">
        <v>2</v>
      </c>
      <c r="E229" s="14">
        <v>1378</v>
      </c>
      <c r="F229" s="14">
        <v>6</v>
      </c>
      <c r="G229" s="14">
        <v>15605</v>
      </c>
      <c r="H229" s="14">
        <v>0.0920003353320263</v>
      </c>
      <c r="I229" s="14">
        <v>0.555432950125958</v>
      </c>
      <c r="J229" s="14">
        <v>3.77479438800194</v>
      </c>
      <c r="K229" s="14" t="s">
        <v>16722</v>
      </c>
    </row>
    <row r="230" spans="1:11">
      <c r="A230" s="14" t="s">
        <v>16723</v>
      </c>
      <c r="B230" s="14" t="s">
        <v>16724</v>
      </c>
      <c r="C230" s="14" t="s">
        <v>16090</v>
      </c>
      <c r="D230" s="14">
        <v>2</v>
      </c>
      <c r="E230" s="14">
        <v>1378</v>
      </c>
      <c r="F230" s="14">
        <v>6</v>
      </c>
      <c r="G230" s="14">
        <v>15605</v>
      </c>
      <c r="H230" s="14">
        <v>0.0920003353320263</v>
      </c>
      <c r="I230" s="14">
        <v>0.555432950125958</v>
      </c>
      <c r="J230" s="14">
        <v>3.77479438800194</v>
      </c>
      <c r="K230" s="14" t="s">
        <v>16722</v>
      </c>
    </row>
    <row r="231" spans="1:11">
      <c r="A231" s="14" t="s">
        <v>16725</v>
      </c>
      <c r="B231" s="14" t="s">
        <v>16726</v>
      </c>
      <c r="C231" s="14" t="s">
        <v>16090</v>
      </c>
      <c r="D231" s="14">
        <v>2</v>
      </c>
      <c r="E231" s="14">
        <v>1378</v>
      </c>
      <c r="F231" s="14">
        <v>6</v>
      </c>
      <c r="G231" s="14">
        <v>15605</v>
      </c>
      <c r="H231" s="14">
        <v>0.0920003353320263</v>
      </c>
      <c r="I231" s="14">
        <v>0.555432950125958</v>
      </c>
      <c r="J231" s="14">
        <v>3.77479438800194</v>
      </c>
      <c r="K231" s="14" t="s">
        <v>16727</v>
      </c>
    </row>
    <row r="232" spans="1:11">
      <c r="A232" s="14" t="s">
        <v>16728</v>
      </c>
      <c r="B232" s="14" t="s">
        <v>16729</v>
      </c>
      <c r="C232" s="14" t="s">
        <v>16090</v>
      </c>
      <c r="D232" s="14">
        <v>2</v>
      </c>
      <c r="E232" s="14">
        <v>1378</v>
      </c>
      <c r="F232" s="14">
        <v>6</v>
      </c>
      <c r="G232" s="14">
        <v>15605</v>
      </c>
      <c r="H232" s="14">
        <v>0.0920003353320263</v>
      </c>
      <c r="I232" s="14">
        <v>0.555432950125958</v>
      </c>
      <c r="J232" s="14">
        <v>3.77479438800194</v>
      </c>
      <c r="K232" s="14" t="s">
        <v>16730</v>
      </c>
    </row>
    <row r="233" spans="1:11">
      <c r="A233" s="14" t="s">
        <v>16731</v>
      </c>
      <c r="B233" s="14" t="s">
        <v>16732</v>
      </c>
      <c r="C233" s="14" t="s">
        <v>16086</v>
      </c>
      <c r="D233" s="14">
        <v>2</v>
      </c>
      <c r="E233" s="14">
        <v>1378</v>
      </c>
      <c r="F233" s="14">
        <v>6</v>
      </c>
      <c r="G233" s="14">
        <v>15605</v>
      </c>
      <c r="H233" s="14">
        <v>0.0920003353320263</v>
      </c>
      <c r="I233" s="14">
        <v>0.555432950125958</v>
      </c>
      <c r="J233" s="14">
        <v>3.77479438800194</v>
      </c>
      <c r="K233" s="14" t="s">
        <v>16610</v>
      </c>
    </row>
    <row r="234" spans="1:11">
      <c r="A234" s="14" t="s">
        <v>16733</v>
      </c>
      <c r="B234" s="14" t="s">
        <v>16734</v>
      </c>
      <c r="C234" s="14" t="s">
        <v>16086</v>
      </c>
      <c r="D234" s="14">
        <v>2</v>
      </c>
      <c r="E234" s="14">
        <v>1378</v>
      </c>
      <c r="F234" s="14">
        <v>6</v>
      </c>
      <c r="G234" s="14">
        <v>15605</v>
      </c>
      <c r="H234" s="14">
        <v>0.0920003353320263</v>
      </c>
      <c r="I234" s="14">
        <v>0.555432950125958</v>
      </c>
      <c r="J234" s="14">
        <v>3.77479438800194</v>
      </c>
      <c r="K234" s="14" t="s">
        <v>16610</v>
      </c>
    </row>
    <row r="235" spans="1:11">
      <c r="A235" s="14" t="s">
        <v>16735</v>
      </c>
      <c r="B235" s="14" t="s">
        <v>16736</v>
      </c>
      <c r="C235" s="14" t="s">
        <v>16090</v>
      </c>
      <c r="D235" s="14">
        <v>2</v>
      </c>
      <c r="E235" s="14">
        <v>1378</v>
      </c>
      <c r="F235" s="14">
        <v>6</v>
      </c>
      <c r="G235" s="14">
        <v>15605</v>
      </c>
      <c r="H235" s="14">
        <v>0.0920003353320263</v>
      </c>
      <c r="I235" s="14">
        <v>0.555432950125958</v>
      </c>
      <c r="J235" s="14">
        <v>3.77479438800194</v>
      </c>
      <c r="K235" s="14" t="s">
        <v>16737</v>
      </c>
    </row>
    <row r="236" spans="1:11">
      <c r="A236" s="14" t="s">
        <v>16738</v>
      </c>
      <c r="B236" s="14" t="s">
        <v>16739</v>
      </c>
      <c r="C236" s="14" t="s">
        <v>16090</v>
      </c>
      <c r="D236" s="14">
        <v>2</v>
      </c>
      <c r="E236" s="14">
        <v>1378</v>
      </c>
      <c r="F236" s="14">
        <v>6</v>
      </c>
      <c r="G236" s="14">
        <v>15605</v>
      </c>
      <c r="H236" s="14">
        <v>0.0920003353320263</v>
      </c>
      <c r="I236" s="14">
        <v>0.555432950125958</v>
      </c>
      <c r="J236" s="14">
        <v>3.77479438800194</v>
      </c>
      <c r="K236" s="14" t="s">
        <v>16740</v>
      </c>
    </row>
    <row r="237" spans="1:11">
      <c r="A237" s="14" t="s">
        <v>16741</v>
      </c>
      <c r="B237" s="14" t="s">
        <v>16742</v>
      </c>
      <c r="C237" s="14" t="s">
        <v>16090</v>
      </c>
      <c r="D237" s="14">
        <v>2</v>
      </c>
      <c r="E237" s="14">
        <v>1378</v>
      </c>
      <c r="F237" s="14">
        <v>6</v>
      </c>
      <c r="G237" s="14">
        <v>15605</v>
      </c>
      <c r="H237" s="14">
        <v>0.0920003353320263</v>
      </c>
      <c r="I237" s="14">
        <v>0.555432950125958</v>
      </c>
      <c r="J237" s="14">
        <v>3.77479438800194</v>
      </c>
      <c r="K237" s="14" t="s">
        <v>16610</v>
      </c>
    </row>
    <row r="238" spans="1:11">
      <c r="A238" s="14" t="s">
        <v>16743</v>
      </c>
      <c r="B238" s="14" t="s">
        <v>16744</v>
      </c>
      <c r="C238" s="14" t="s">
        <v>16096</v>
      </c>
      <c r="D238" s="14">
        <v>2</v>
      </c>
      <c r="E238" s="14">
        <v>1378</v>
      </c>
      <c r="F238" s="14">
        <v>6</v>
      </c>
      <c r="G238" s="14">
        <v>15605</v>
      </c>
      <c r="H238" s="14">
        <v>0.0920003353320263</v>
      </c>
      <c r="I238" s="14">
        <v>0.555432950125958</v>
      </c>
      <c r="J238" s="14">
        <v>3.77479438800194</v>
      </c>
      <c r="K238" s="14" t="s">
        <v>16745</v>
      </c>
    </row>
    <row r="239" spans="1:11">
      <c r="A239" s="14" t="s">
        <v>16746</v>
      </c>
      <c r="B239" s="14" t="s">
        <v>16747</v>
      </c>
      <c r="C239" s="14" t="s">
        <v>16090</v>
      </c>
      <c r="D239" s="14">
        <v>2</v>
      </c>
      <c r="E239" s="14">
        <v>1378</v>
      </c>
      <c r="F239" s="14">
        <v>6</v>
      </c>
      <c r="G239" s="14">
        <v>15605</v>
      </c>
      <c r="H239" s="14">
        <v>0.0920003353320263</v>
      </c>
      <c r="I239" s="14">
        <v>0.555432950125958</v>
      </c>
      <c r="J239" s="14">
        <v>3.77479438800194</v>
      </c>
      <c r="K239" s="14" t="s">
        <v>16748</v>
      </c>
    </row>
    <row r="240" spans="1:11">
      <c r="A240" s="14" t="s">
        <v>16749</v>
      </c>
      <c r="B240" s="14" t="s">
        <v>16750</v>
      </c>
      <c r="C240" s="14" t="s">
        <v>16090</v>
      </c>
      <c r="D240" s="14">
        <v>8</v>
      </c>
      <c r="E240" s="14">
        <v>1378</v>
      </c>
      <c r="F240" s="14">
        <v>53</v>
      </c>
      <c r="G240" s="14">
        <v>15605</v>
      </c>
      <c r="H240" s="14">
        <v>0.0920084845359971</v>
      </c>
      <c r="I240" s="14">
        <v>0.555432950125958</v>
      </c>
      <c r="J240" s="14">
        <v>1.70934085494427</v>
      </c>
      <c r="K240" s="14" t="s">
        <v>16751</v>
      </c>
    </row>
    <row r="241" spans="1:11">
      <c r="A241" s="14" t="s">
        <v>16752</v>
      </c>
      <c r="B241" s="14" t="s">
        <v>16753</v>
      </c>
      <c r="C241" s="14" t="s">
        <v>16090</v>
      </c>
      <c r="D241" s="14">
        <v>21</v>
      </c>
      <c r="E241" s="14">
        <v>1378</v>
      </c>
      <c r="F241" s="14">
        <v>175</v>
      </c>
      <c r="G241" s="14">
        <v>15605</v>
      </c>
      <c r="H241" s="14">
        <v>0.0920479100085652</v>
      </c>
      <c r="I241" s="14">
        <v>0.555432950125958</v>
      </c>
      <c r="J241" s="14">
        <v>1.3589259796807</v>
      </c>
      <c r="K241" s="14" t="s">
        <v>16754</v>
      </c>
    </row>
    <row r="242" spans="1:11">
      <c r="A242" s="14" t="s">
        <v>16755</v>
      </c>
      <c r="B242" s="14" t="s">
        <v>16756</v>
      </c>
      <c r="C242" s="14" t="s">
        <v>16086</v>
      </c>
      <c r="D242" s="14">
        <v>9</v>
      </c>
      <c r="E242" s="14">
        <v>1378</v>
      </c>
      <c r="F242" s="14">
        <v>62</v>
      </c>
      <c r="G242" s="14">
        <v>15605</v>
      </c>
      <c r="H242" s="14">
        <v>0.0932373337722315</v>
      </c>
      <c r="I242" s="14">
        <v>0.555432950125958</v>
      </c>
      <c r="J242" s="14">
        <v>1.64386207219439</v>
      </c>
      <c r="K242" s="14" t="s">
        <v>16757</v>
      </c>
    </row>
    <row r="243" spans="1:11">
      <c r="A243" s="14" t="s">
        <v>16758</v>
      </c>
      <c r="B243" s="14" t="s">
        <v>16759</v>
      </c>
      <c r="C243" s="14" t="s">
        <v>16086</v>
      </c>
      <c r="D243" s="14">
        <v>4</v>
      </c>
      <c r="E243" s="14">
        <v>1378</v>
      </c>
      <c r="F243" s="14">
        <v>20</v>
      </c>
      <c r="G243" s="14">
        <v>15605</v>
      </c>
      <c r="H243" s="14">
        <v>0.0939786414232456</v>
      </c>
      <c r="I243" s="14">
        <v>0.555432950125958</v>
      </c>
      <c r="J243" s="14">
        <v>2.26487663280116</v>
      </c>
      <c r="K243" s="14" t="s">
        <v>16760</v>
      </c>
    </row>
    <row r="244" spans="1:11">
      <c r="A244" s="14" t="s">
        <v>16761</v>
      </c>
      <c r="B244" s="14" t="s">
        <v>16762</v>
      </c>
      <c r="C244" s="14" t="s">
        <v>16090</v>
      </c>
      <c r="D244" s="14">
        <v>4</v>
      </c>
      <c r="E244" s="14">
        <v>1378</v>
      </c>
      <c r="F244" s="14">
        <v>20</v>
      </c>
      <c r="G244" s="14">
        <v>15605</v>
      </c>
      <c r="H244" s="14">
        <v>0.0939786414232456</v>
      </c>
      <c r="I244" s="14">
        <v>0.555432950125958</v>
      </c>
      <c r="J244" s="14">
        <v>2.26487663280116</v>
      </c>
      <c r="K244" s="14" t="s">
        <v>16763</v>
      </c>
    </row>
    <row r="245" spans="1:11">
      <c r="A245" s="14" t="s">
        <v>16764</v>
      </c>
      <c r="B245" s="14" t="s">
        <v>16765</v>
      </c>
      <c r="C245" s="14" t="s">
        <v>16090</v>
      </c>
      <c r="D245" s="14">
        <v>4</v>
      </c>
      <c r="E245" s="14">
        <v>1378</v>
      </c>
      <c r="F245" s="14">
        <v>20</v>
      </c>
      <c r="G245" s="14">
        <v>15605</v>
      </c>
      <c r="H245" s="14">
        <v>0.0939786414232456</v>
      </c>
      <c r="I245" s="14">
        <v>0.555432950125958</v>
      </c>
      <c r="J245" s="14">
        <v>2.26487663280116</v>
      </c>
      <c r="K245" s="14" t="s">
        <v>16766</v>
      </c>
    </row>
    <row r="246" spans="1:11">
      <c r="A246" s="14" t="s">
        <v>16767</v>
      </c>
      <c r="B246" s="14" t="s">
        <v>16768</v>
      </c>
      <c r="C246" s="14" t="s">
        <v>16090</v>
      </c>
      <c r="D246" s="14">
        <v>4</v>
      </c>
      <c r="E246" s="14">
        <v>1378</v>
      </c>
      <c r="F246" s="14">
        <v>20</v>
      </c>
      <c r="G246" s="14">
        <v>15605</v>
      </c>
      <c r="H246" s="14">
        <v>0.0939786414232456</v>
      </c>
      <c r="I246" s="14">
        <v>0.555432950125958</v>
      </c>
      <c r="J246" s="14">
        <v>2.26487663280116</v>
      </c>
      <c r="K246" s="14" t="s">
        <v>16769</v>
      </c>
    </row>
    <row r="247" spans="1:11">
      <c r="A247" s="14" t="s">
        <v>16770</v>
      </c>
      <c r="B247" s="14" t="s">
        <v>16771</v>
      </c>
      <c r="C247" s="14" t="s">
        <v>16090</v>
      </c>
      <c r="D247" s="14">
        <v>4</v>
      </c>
      <c r="E247" s="14">
        <v>1378</v>
      </c>
      <c r="F247" s="14">
        <v>20</v>
      </c>
      <c r="G247" s="14">
        <v>15605</v>
      </c>
      <c r="H247" s="14">
        <v>0.0939786414232456</v>
      </c>
      <c r="I247" s="14">
        <v>0.555432950125958</v>
      </c>
      <c r="J247" s="14">
        <v>2.26487663280116</v>
      </c>
      <c r="K247" s="14" t="s">
        <v>16772</v>
      </c>
    </row>
    <row r="248" spans="1:11">
      <c r="A248" s="14" t="s">
        <v>16773</v>
      </c>
      <c r="B248" s="14" t="s">
        <v>16774</v>
      </c>
      <c r="C248" s="14" t="s">
        <v>16086</v>
      </c>
      <c r="D248" s="14">
        <v>7</v>
      </c>
      <c r="E248" s="14">
        <v>1378</v>
      </c>
      <c r="F248" s="14">
        <v>45</v>
      </c>
      <c r="G248" s="14">
        <v>15605</v>
      </c>
      <c r="H248" s="14">
        <v>0.0978873142655039</v>
      </c>
      <c r="I248" s="14">
        <v>0.576182240066868</v>
      </c>
      <c r="J248" s="14">
        <v>1.7615707144009</v>
      </c>
      <c r="K248" s="14" t="s">
        <v>16775</v>
      </c>
    </row>
    <row r="249" spans="1:11">
      <c r="A249" s="14" t="s">
        <v>16776</v>
      </c>
      <c r="B249" s="14" t="s">
        <v>16777</v>
      </c>
      <c r="C249" s="14" t="s">
        <v>16086</v>
      </c>
      <c r="D249" s="14">
        <v>3</v>
      </c>
      <c r="E249" s="14">
        <v>1378</v>
      </c>
      <c r="F249" s="14">
        <v>13</v>
      </c>
      <c r="G249" s="14">
        <v>15605</v>
      </c>
      <c r="H249" s="14">
        <v>0.10073758908302</v>
      </c>
      <c r="I249" s="14">
        <v>0.581147525865388</v>
      </c>
      <c r="J249" s="14">
        <v>2.61331919169365</v>
      </c>
      <c r="K249" s="14" t="s">
        <v>16778</v>
      </c>
    </row>
    <row r="250" spans="1:11">
      <c r="A250" s="14" t="s">
        <v>16779</v>
      </c>
      <c r="B250" s="14" t="s">
        <v>16780</v>
      </c>
      <c r="C250" s="14" t="s">
        <v>16090</v>
      </c>
      <c r="D250" s="14">
        <v>3</v>
      </c>
      <c r="E250" s="14">
        <v>1378</v>
      </c>
      <c r="F250" s="14">
        <v>13</v>
      </c>
      <c r="G250" s="14">
        <v>15605</v>
      </c>
      <c r="H250" s="14">
        <v>0.10073758908302</v>
      </c>
      <c r="I250" s="14">
        <v>0.581147525865388</v>
      </c>
      <c r="J250" s="14">
        <v>2.61331919169365</v>
      </c>
      <c r="K250" s="14" t="s">
        <v>16781</v>
      </c>
    </row>
    <row r="251" spans="1:11">
      <c r="A251" s="14" t="s">
        <v>16782</v>
      </c>
      <c r="B251" s="14" t="s">
        <v>16783</v>
      </c>
      <c r="C251" s="14" t="s">
        <v>16090</v>
      </c>
      <c r="D251" s="14">
        <v>3</v>
      </c>
      <c r="E251" s="14">
        <v>1378</v>
      </c>
      <c r="F251" s="14">
        <v>13</v>
      </c>
      <c r="G251" s="14">
        <v>15605</v>
      </c>
      <c r="H251" s="14">
        <v>0.10073758908302</v>
      </c>
      <c r="I251" s="14">
        <v>0.581147525865388</v>
      </c>
      <c r="J251" s="14">
        <v>2.61331919169365</v>
      </c>
      <c r="K251" s="14" t="s">
        <v>16784</v>
      </c>
    </row>
    <row r="252" spans="1:11">
      <c r="A252" s="14" t="s">
        <v>16785</v>
      </c>
      <c r="B252" s="14" t="s">
        <v>16786</v>
      </c>
      <c r="C252" s="14" t="s">
        <v>16090</v>
      </c>
      <c r="D252" s="14">
        <v>3</v>
      </c>
      <c r="E252" s="14">
        <v>1378</v>
      </c>
      <c r="F252" s="14">
        <v>13</v>
      </c>
      <c r="G252" s="14">
        <v>15605</v>
      </c>
      <c r="H252" s="14">
        <v>0.10073758908302</v>
      </c>
      <c r="I252" s="14">
        <v>0.581147525865388</v>
      </c>
      <c r="J252" s="14">
        <v>2.61331919169365</v>
      </c>
      <c r="K252" s="14" t="s">
        <v>16787</v>
      </c>
    </row>
    <row r="253" spans="1:11">
      <c r="A253" s="14" t="s">
        <v>16788</v>
      </c>
      <c r="B253" s="14" t="s">
        <v>16789</v>
      </c>
      <c r="C253" s="14" t="s">
        <v>16086</v>
      </c>
      <c r="D253" s="14">
        <v>3</v>
      </c>
      <c r="E253" s="14">
        <v>1378</v>
      </c>
      <c r="F253" s="14">
        <v>13</v>
      </c>
      <c r="G253" s="14">
        <v>15605</v>
      </c>
      <c r="H253" s="14">
        <v>0.10073758908302</v>
      </c>
      <c r="I253" s="14">
        <v>0.581147525865388</v>
      </c>
      <c r="J253" s="14">
        <v>2.61331919169365</v>
      </c>
      <c r="K253" s="14" t="s">
        <v>16790</v>
      </c>
    </row>
    <row r="254" spans="1:11">
      <c r="A254" s="14" t="s">
        <v>16791</v>
      </c>
      <c r="B254" s="14" t="s">
        <v>16792</v>
      </c>
      <c r="C254" s="14" t="s">
        <v>16090</v>
      </c>
      <c r="D254" s="14">
        <v>6</v>
      </c>
      <c r="E254" s="14">
        <v>1378</v>
      </c>
      <c r="F254" s="14">
        <v>37</v>
      </c>
      <c r="G254" s="14">
        <v>15605</v>
      </c>
      <c r="H254" s="14">
        <v>0.103323621358078</v>
      </c>
      <c r="I254" s="14">
        <v>0.593700808438481</v>
      </c>
      <c r="J254" s="14">
        <v>1.83638645902797</v>
      </c>
      <c r="K254" s="14" t="s">
        <v>16793</v>
      </c>
    </row>
    <row r="255" spans="1:11">
      <c r="A255" s="14" t="s">
        <v>16794</v>
      </c>
      <c r="B255" s="14" t="s">
        <v>16795</v>
      </c>
      <c r="C255" s="14" t="s">
        <v>16090</v>
      </c>
      <c r="D255" s="14">
        <v>7</v>
      </c>
      <c r="E255" s="14">
        <v>1378</v>
      </c>
      <c r="F255" s="14">
        <v>46</v>
      </c>
      <c r="G255" s="14">
        <v>15605</v>
      </c>
      <c r="H255" s="14">
        <v>0.107144706148791</v>
      </c>
      <c r="I255" s="14">
        <v>0.608213995891332</v>
      </c>
      <c r="J255" s="14">
        <v>1.72327569887045</v>
      </c>
      <c r="K255" s="14" t="s">
        <v>16796</v>
      </c>
    </row>
    <row r="256" spans="1:11">
      <c r="A256" s="14" t="s">
        <v>16797</v>
      </c>
      <c r="B256" s="14" t="s">
        <v>16798</v>
      </c>
      <c r="C256" s="14" t="s">
        <v>16090</v>
      </c>
      <c r="D256" s="14">
        <v>7</v>
      </c>
      <c r="E256" s="14">
        <v>1378</v>
      </c>
      <c r="F256" s="14">
        <v>46</v>
      </c>
      <c r="G256" s="14">
        <v>15605</v>
      </c>
      <c r="H256" s="14">
        <v>0.107144706148791</v>
      </c>
      <c r="I256" s="14">
        <v>0.608213995891332</v>
      </c>
      <c r="J256" s="14">
        <v>1.72327569887045</v>
      </c>
      <c r="K256" s="14" t="s">
        <v>16799</v>
      </c>
    </row>
    <row r="257" spans="1:11">
      <c r="A257" s="14" t="s">
        <v>5446</v>
      </c>
      <c r="B257" s="14" t="s">
        <v>5447</v>
      </c>
      <c r="C257" s="14" t="s">
        <v>16086</v>
      </c>
      <c r="D257" s="14">
        <v>5</v>
      </c>
      <c r="E257" s="14">
        <v>1378</v>
      </c>
      <c r="F257" s="14">
        <v>29</v>
      </c>
      <c r="G257" s="14">
        <v>15605</v>
      </c>
      <c r="H257" s="14">
        <v>0.10746905309731</v>
      </c>
      <c r="I257" s="14">
        <v>0.608213995891332</v>
      </c>
      <c r="J257" s="14">
        <v>1.95247985586307</v>
      </c>
      <c r="K257" s="14" t="s">
        <v>16800</v>
      </c>
    </row>
    <row r="258" spans="1:11">
      <c r="A258" s="14" t="s">
        <v>16801</v>
      </c>
      <c r="B258" s="14" t="s">
        <v>16802</v>
      </c>
      <c r="C258" s="14" t="s">
        <v>16090</v>
      </c>
      <c r="D258" s="14">
        <v>4</v>
      </c>
      <c r="E258" s="14">
        <v>1378</v>
      </c>
      <c r="F258" s="14">
        <v>21</v>
      </c>
      <c r="G258" s="14">
        <v>15605</v>
      </c>
      <c r="H258" s="14">
        <v>0.108369620814892</v>
      </c>
      <c r="I258" s="14">
        <v>0.608213995891332</v>
      </c>
      <c r="J258" s="14">
        <v>2.15702536457253</v>
      </c>
      <c r="K258" s="14" t="s">
        <v>16803</v>
      </c>
    </row>
    <row r="259" spans="1:11">
      <c r="A259" s="14" t="s">
        <v>16804</v>
      </c>
      <c r="B259" s="14" t="s">
        <v>16805</v>
      </c>
      <c r="C259" s="14" t="s">
        <v>16090</v>
      </c>
      <c r="D259" s="14">
        <v>4</v>
      </c>
      <c r="E259" s="14">
        <v>1378</v>
      </c>
      <c r="F259" s="14">
        <v>21</v>
      </c>
      <c r="G259" s="14">
        <v>15605</v>
      </c>
      <c r="H259" s="14">
        <v>0.108369620814892</v>
      </c>
      <c r="I259" s="14">
        <v>0.608213995891332</v>
      </c>
      <c r="J259" s="14">
        <v>2.15702536457253</v>
      </c>
      <c r="K259" s="14" t="s">
        <v>16806</v>
      </c>
    </row>
    <row r="260" spans="1:11">
      <c r="A260" s="14" t="s">
        <v>16807</v>
      </c>
      <c r="B260" s="14" t="s">
        <v>16808</v>
      </c>
      <c r="C260" s="14" t="s">
        <v>16090</v>
      </c>
      <c r="D260" s="14">
        <v>4</v>
      </c>
      <c r="E260" s="14">
        <v>1378</v>
      </c>
      <c r="F260" s="14">
        <v>21</v>
      </c>
      <c r="G260" s="14">
        <v>15605</v>
      </c>
      <c r="H260" s="14">
        <v>0.108369620814892</v>
      </c>
      <c r="I260" s="14">
        <v>0.608213995891332</v>
      </c>
      <c r="J260" s="14">
        <v>2.15702536457253</v>
      </c>
      <c r="K260" s="14" t="s">
        <v>16809</v>
      </c>
    </row>
    <row r="261" spans="1:11">
      <c r="A261" s="14" t="s">
        <v>16810</v>
      </c>
      <c r="B261" s="14" t="s">
        <v>16811</v>
      </c>
      <c r="C261" s="14" t="s">
        <v>16090</v>
      </c>
      <c r="D261" s="14">
        <v>24</v>
      </c>
      <c r="E261" s="14">
        <v>1378</v>
      </c>
      <c r="F261" s="14">
        <v>209</v>
      </c>
      <c r="G261" s="14">
        <v>15605</v>
      </c>
      <c r="H261" s="14">
        <v>0.110436192496509</v>
      </c>
      <c r="I261" s="14">
        <v>0.612837982965787</v>
      </c>
      <c r="J261" s="14">
        <v>1.30040763605808</v>
      </c>
      <c r="K261" s="14" t="s">
        <v>16812</v>
      </c>
    </row>
    <row r="262" spans="1:11">
      <c r="A262" s="14" t="s">
        <v>16813</v>
      </c>
      <c r="B262" s="14" t="s">
        <v>16814</v>
      </c>
      <c r="C262" s="14" t="s">
        <v>16086</v>
      </c>
      <c r="D262" s="14">
        <v>13</v>
      </c>
      <c r="E262" s="14">
        <v>1378</v>
      </c>
      <c r="F262" s="14">
        <v>102</v>
      </c>
      <c r="G262" s="14">
        <v>15605</v>
      </c>
      <c r="H262" s="14">
        <v>0.113843750263943</v>
      </c>
      <c r="I262" s="14">
        <v>0.612837982965787</v>
      </c>
      <c r="J262" s="14">
        <v>1.44330373658898</v>
      </c>
      <c r="K262" s="14" t="s">
        <v>16815</v>
      </c>
    </row>
    <row r="263" spans="1:11">
      <c r="A263" s="14" t="s">
        <v>16816</v>
      </c>
      <c r="B263" s="14" t="s">
        <v>16817</v>
      </c>
      <c r="C263" s="14" t="s">
        <v>16086</v>
      </c>
      <c r="D263" s="14">
        <v>14</v>
      </c>
      <c r="E263" s="14">
        <v>1378</v>
      </c>
      <c r="F263" s="14">
        <v>112</v>
      </c>
      <c r="G263" s="14">
        <v>15605</v>
      </c>
      <c r="H263" s="14">
        <v>0.116642180281722</v>
      </c>
      <c r="I263" s="14">
        <v>0.612837982965787</v>
      </c>
      <c r="J263" s="14">
        <v>1.41554789550073</v>
      </c>
      <c r="K263" s="14" t="s">
        <v>16818</v>
      </c>
    </row>
    <row r="264" spans="1:11">
      <c r="A264" s="14" t="s">
        <v>16819</v>
      </c>
      <c r="B264" s="14" t="s">
        <v>16820</v>
      </c>
      <c r="C264" s="14" t="s">
        <v>16090</v>
      </c>
      <c r="D264" s="14">
        <v>9</v>
      </c>
      <c r="E264" s="14">
        <v>1378</v>
      </c>
      <c r="F264" s="14">
        <v>65</v>
      </c>
      <c r="G264" s="14">
        <v>15605</v>
      </c>
      <c r="H264" s="14">
        <v>0.116685397885454</v>
      </c>
      <c r="I264" s="14">
        <v>0.612837982965787</v>
      </c>
      <c r="J264" s="14">
        <v>1.56799151501619</v>
      </c>
      <c r="K264" s="14" t="s">
        <v>16821</v>
      </c>
    </row>
    <row r="265" spans="1:11">
      <c r="A265" s="14" t="s">
        <v>16822</v>
      </c>
      <c r="B265" s="14" t="s">
        <v>16823</v>
      </c>
      <c r="C265" s="14" t="s">
        <v>16086</v>
      </c>
      <c r="D265" s="14">
        <v>7</v>
      </c>
      <c r="E265" s="14">
        <v>1378</v>
      </c>
      <c r="F265" s="14">
        <v>47</v>
      </c>
      <c r="G265" s="14">
        <v>15605</v>
      </c>
      <c r="H265" s="14">
        <v>0.116852621660462</v>
      </c>
      <c r="I265" s="14">
        <v>0.612837982965787</v>
      </c>
      <c r="J265" s="14">
        <v>1.68661025846895</v>
      </c>
      <c r="K265" s="14" t="s">
        <v>16824</v>
      </c>
    </row>
    <row r="266" spans="1:11">
      <c r="A266" s="14" t="s">
        <v>16825</v>
      </c>
      <c r="B266" s="14" t="s">
        <v>16826</v>
      </c>
      <c r="C266" s="14" t="s">
        <v>16090</v>
      </c>
      <c r="D266" s="14">
        <v>5</v>
      </c>
      <c r="E266" s="14">
        <v>1378</v>
      </c>
      <c r="F266" s="14">
        <v>30</v>
      </c>
      <c r="G266" s="14">
        <v>15605</v>
      </c>
      <c r="H266" s="14">
        <v>0.120106048459591</v>
      </c>
      <c r="I266" s="14">
        <v>0.612837982965787</v>
      </c>
      <c r="J266" s="14">
        <v>1.88739719400097</v>
      </c>
      <c r="K266" s="14" t="s">
        <v>16827</v>
      </c>
    </row>
    <row r="267" spans="1:11">
      <c r="A267" s="14" t="s">
        <v>16828</v>
      </c>
      <c r="B267" s="14" t="s">
        <v>16829</v>
      </c>
      <c r="C267" s="14" t="s">
        <v>16090</v>
      </c>
      <c r="D267" s="14">
        <v>3</v>
      </c>
      <c r="E267" s="14">
        <v>1378</v>
      </c>
      <c r="F267" s="14">
        <v>14</v>
      </c>
      <c r="G267" s="14">
        <v>15605</v>
      </c>
      <c r="H267" s="14">
        <v>0.120160037425642</v>
      </c>
      <c r="I267" s="14">
        <v>0.612837982965787</v>
      </c>
      <c r="J267" s="14">
        <v>2.4266535351441</v>
      </c>
      <c r="K267" s="14" t="s">
        <v>16781</v>
      </c>
    </row>
    <row r="268" spans="1:11">
      <c r="A268" s="14" t="s">
        <v>16830</v>
      </c>
      <c r="B268" s="14" t="s">
        <v>16831</v>
      </c>
      <c r="C268" s="14" t="s">
        <v>16090</v>
      </c>
      <c r="D268" s="14">
        <v>3</v>
      </c>
      <c r="E268" s="14">
        <v>1378</v>
      </c>
      <c r="F268" s="14">
        <v>14</v>
      </c>
      <c r="G268" s="14">
        <v>15605</v>
      </c>
      <c r="H268" s="14">
        <v>0.120160037425642</v>
      </c>
      <c r="I268" s="14">
        <v>0.612837982965787</v>
      </c>
      <c r="J268" s="14">
        <v>2.4266535351441</v>
      </c>
      <c r="K268" s="14" t="s">
        <v>16832</v>
      </c>
    </row>
    <row r="269" spans="1:11">
      <c r="A269" s="14" t="s">
        <v>16833</v>
      </c>
      <c r="B269" s="14" t="s">
        <v>16834</v>
      </c>
      <c r="C269" s="14" t="s">
        <v>16090</v>
      </c>
      <c r="D269" s="14">
        <v>3</v>
      </c>
      <c r="E269" s="14">
        <v>1378</v>
      </c>
      <c r="F269" s="14">
        <v>14</v>
      </c>
      <c r="G269" s="14">
        <v>15605</v>
      </c>
      <c r="H269" s="14">
        <v>0.120160037425642</v>
      </c>
      <c r="I269" s="14">
        <v>0.612837982965787</v>
      </c>
      <c r="J269" s="14">
        <v>2.4266535351441</v>
      </c>
      <c r="K269" s="14" t="s">
        <v>16835</v>
      </c>
    </row>
    <row r="270" spans="1:11">
      <c r="A270" s="14" t="s">
        <v>16836</v>
      </c>
      <c r="B270" s="14" t="s">
        <v>16837</v>
      </c>
      <c r="C270" s="14" t="s">
        <v>16090</v>
      </c>
      <c r="D270" s="14">
        <v>3</v>
      </c>
      <c r="E270" s="14">
        <v>1378</v>
      </c>
      <c r="F270" s="14">
        <v>14</v>
      </c>
      <c r="G270" s="14">
        <v>15605</v>
      </c>
      <c r="H270" s="14">
        <v>0.120160037425642</v>
      </c>
      <c r="I270" s="14">
        <v>0.612837982965787</v>
      </c>
      <c r="J270" s="14">
        <v>2.4266535351441</v>
      </c>
      <c r="K270" s="14" t="s">
        <v>16838</v>
      </c>
    </row>
    <row r="271" spans="1:11">
      <c r="A271" s="14" t="s">
        <v>16839</v>
      </c>
      <c r="B271" s="14" t="s">
        <v>16840</v>
      </c>
      <c r="C271" s="14" t="s">
        <v>16086</v>
      </c>
      <c r="D271" s="14">
        <v>3</v>
      </c>
      <c r="E271" s="14">
        <v>1378</v>
      </c>
      <c r="F271" s="14">
        <v>14</v>
      </c>
      <c r="G271" s="14">
        <v>15605</v>
      </c>
      <c r="H271" s="14">
        <v>0.120160037425642</v>
      </c>
      <c r="I271" s="14">
        <v>0.612837982965787</v>
      </c>
      <c r="J271" s="14">
        <v>2.4266535351441</v>
      </c>
      <c r="K271" s="14" t="s">
        <v>16841</v>
      </c>
    </row>
    <row r="272" spans="1:11">
      <c r="A272" s="14" t="s">
        <v>16842</v>
      </c>
      <c r="B272" s="14" t="s">
        <v>16843</v>
      </c>
      <c r="C272" s="14" t="s">
        <v>16086</v>
      </c>
      <c r="D272" s="14">
        <v>3</v>
      </c>
      <c r="E272" s="14">
        <v>1378</v>
      </c>
      <c r="F272" s="14">
        <v>14</v>
      </c>
      <c r="G272" s="14">
        <v>15605</v>
      </c>
      <c r="H272" s="14">
        <v>0.120160037425642</v>
      </c>
      <c r="I272" s="14">
        <v>0.612837982965787</v>
      </c>
      <c r="J272" s="14">
        <v>2.4266535351441</v>
      </c>
      <c r="K272" s="14" t="s">
        <v>16841</v>
      </c>
    </row>
    <row r="273" spans="1:11">
      <c r="A273" s="14" t="s">
        <v>16844</v>
      </c>
      <c r="B273" s="14" t="s">
        <v>16845</v>
      </c>
      <c r="C273" s="14" t="s">
        <v>16086</v>
      </c>
      <c r="D273" s="14">
        <v>2</v>
      </c>
      <c r="E273" s="14">
        <v>1378</v>
      </c>
      <c r="F273" s="14">
        <v>7</v>
      </c>
      <c r="G273" s="14">
        <v>15605</v>
      </c>
      <c r="H273" s="14">
        <v>0.121467196899987</v>
      </c>
      <c r="I273" s="14">
        <v>0.612837982965787</v>
      </c>
      <c r="J273" s="14">
        <v>3.2355380468588</v>
      </c>
      <c r="K273" s="14" t="s">
        <v>16846</v>
      </c>
    </row>
    <row r="274" spans="1:11">
      <c r="A274" s="14" t="s">
        <v>16847</v>
      </c>
      <c r="B274" s="14" t="s">
        <v>16848</v>
      </c>
      <c r="C274" s="14" t="s">
        <v>16086</v>
      </c>
      <c r="D274" s="14">
        <v>2</v>
      </c>
      <c r="E274" s="14">
        <v>1378</v>
      </c>
      <c r="F274" s="14">
        <v>7</v>
      </c>
      <c r="G274" s="14">
        <v>15605</v>
      </c>
      <c r="H274" s="14">
        <v>0.121467196899987</v>
      </c>
      <c r="I274" s="14">
        <v>0.612837982965787</v>
      </c>
      <c r="J274" s="14">
        <v>3.2355380468588</v>
      </c>
      <c r="K274" s="14" t="s">
        <v>16849</v>
      </c>
    </row>
    <row r="275" spans="1:11">
      <c r="A275" s="14" t="s">
        <v>16850</v>
      </c>
      <c r="B275" s="14" t="s">
        <v>16851</v>
      </c>
      <c r="C275" s="14" t="s">
        <v>16090</v>
      </c>
      <c r="D275" s="14">
        <v>2</v>
      </c>
      <c r="E275" s="14">
        <v>1378</v>
      </c>
      <c r="F275" s="14">
        <v>7</v>
      </c>
      <c r="G275" s="14">
        <v>15605</v>
      </c>
      <c r="H275" s="14">
        <v>0.121467196899987</v>
      </c>
      <c r="I275" s="14">
        <v>0.612837982965787</v>
      </c>
      <c r="J275" s="14">
        <v>3.2355380468588</v>
      </c>
      <c r="K275" s="14" t="s">
        <v>16852</v>
      </c>
    </row>
    <row r="276" spans="1:11">
      <c r="A276" s="14" t="s">
        <v>16853</v>
      </c>
      <c r="B276" s="14" t="s">
        <v>16854</v>
      </c>
      <c r="C276" s="14" t="s">
        <v>16090</v>
      </c>
      <c r="D276" s="14">
        <v>2</v>
      </c>
      <c r="E276" s="14">
        <v>1378</v>
      </c>
      <c r="F276" s="14">
        <v>7</v>
      </c>
      <c r="G276" s="14">
        <v>15605</v>
      </c>
      <c r="H276" s="14">
        <v>0.121467196899987</v>
      </c>
      <c r="I276" s="14">
        <v>0.612837982965787</v>
      </c>
      <c r="J276" s="14">
        <v>3.2355380468588</v>
      </c>
      <c r="K276" s="14" t="s">
        <v>16855</v>
      </c>
    </row>
    <row r="277" spans="1:11">
      <c r="A277" s="14" t="s">
        <v>16856</v>
      </c>
      <c r="B277" s="14" t="s">
        <v>16857</v>
      </c>
      <c r="C277" s="14" t="s">
        <v>16090</v>
      </c>
      <c r="D277" s="14">
        <v>2</v>
      </c>
      <c r="E277" s="14">
        <v>1378</v>
      </c>
      <c r="F277" s="14">
        <v>7</v>
      </c>
      <c r="G277" s="14">
        <v>15605</v>
      </c>
      <c r="H277" s="14">
        <v>0.121467196899987</v>
      </c>
      <c r="I277" s="14">
        <v>0.612837982965787</v>
      </c>
      <c r="J277" s="14">
        <v>3.2355380468588</v>
      </c>
      <c r="K277" s="14" t="s">
        <v>16858</v>
      </c>
    </row>
    <row r="278" spans="1:11">
      <c r="A278" s="14" t="s">
        <v>16859</v>
      </c>
      <c r="B278" s="14" t="s">
        <v>16860</v>
      </c>
      <c r="C278" s="14" t="s">
        <v>16090</v>
      </c>
      <c r="D278" s="14">
        <v>2</v>
      </c>
      <c r="E278" s="14">
        <v>1378</v>
      </c>
      <c r="F278" s="14">
        <v>7</v>
      </c>
      <c r="G278" s="14">
        <v>15605</v>
      </c>
      <c r="H278" s="14">
        <v>0.121467196899987</v>
      </c>
      <c r="I278" s="14">
        <v>0.612837982965787</v>
      </c>
      <c r="J278" s="14">
        <v>3.2355380468588</v>
      </c>
      <c r="K278" s="14" t="s">
        <v>16861</v>
      </c>
    </row>
    <row r="279" spans="1:11">
      <c r="A279" s="14" t="s">
        <v>16862</v>
      </c>
      <c r="B279" s="14" t="s">
        <v>16863</v>
      </c>
      <c r="C279" s="14" t="s">
        <v>16086</v>
      </c>
      <c r="D279" s="14">
        <v>2</v>
      </c>
      <c r="E279" s="14">
        <v>1378</v>
      </c>
      <c r="F279" s="14">
        <v>7</v>
      </c>
      <c r="G279" s="14">
        <v>15605</v>
      </c>
      <c r="H279" s="14">
        <v>0.121467196899987</v>
      </c>
      <c r="I279" s="14">
        <v>0.612837982965787</v>
      </c>
      <c r="J279" s="14">
        <v>3.2355380468588</v>
      </c>
      <c r="K279" s="14" t="s">
        <v>16748</v>
      </c>
    </row>
    <row r="280" spans="1:11">
      <c r="A280" s="14" t="s">
        <v>16864</v>
      </c>
      <c r="B280" s="14" t="s">
        <v>16865</v>
      </c>
      <c r="C280" s="14" t="s">
        <v>16090</v>
      </c>
      <c r="D280" s="14">
        <v>2</v>
      </c>
      <c r="E280" s="14">
        <v>1378</v>
      </c>
      <c r="F280" s="14">
        <v>7</v>
      </c>
      <c r="G280" s="14">
        <v>15605</v>
      </c>
      <c r="H280" s="14">
        <v>0.121467196899987</v>
      </c>
      <c r="I280" s="14">
        <v>0.612837982965787</v>
      </c>
      <c r="J280" s="14">
        <v>3.2355380468588</v>
      </c>
      <c r="K280" s="14" t="s">
        <v>16866</v>
      </c>
    </row>
    <row r="281" spans="1:11">
      <c r="A281" s="14" t="s">
        <v>16867</v>
      </c>
      <c r="B281" s="14" t="s">
        <v>16868</v>
      </c>
      <c r="C281" s="14" t="s">
        <v>16096</v>
      </c>
      <c r="D281" s="14">
        <v>2</v>
      </c>
      <c r="E281" s="14">
        <v>1378</v>
      </c>
      <c r="F281" s="14">
        <v>7</v>
      </c>
      <c r="G281" s="14">
        <v>15605</v>
      </c>
      <c r="H281" s="14">
        <v>0.121467196899987</v>
      </c>
      <c r="I281" s="14">
        <v>0.612837982965787</v>
      </c>
      <c r="J281" s="14">
        <v>3.2355380468588</v>
      </c>
      <c r="K281" s="14" t="s">
        <v>16869</v>
      </c>
    </row>
    <row r="282" spans="1:11">
      <c r="A282" s="14" t="s">
        <v>16870</v>
      </c>
      <c r="B282" s="14" t="s">
        <v>16871</v>
      </c>
      <c r="C282" s="14" t="s">
        <v>16086</v>
      </c>
      <c r="D282" s="14">
        <v>2</v>
      </c>
      <c r="E282" s="14">
        <v>1378</v>
      </c>
      <c r="F282" s="14">
        <v>7</v>
      </c>
      <c r="G282" s="14">
        <v>15605</v>
      </c>
      <c r="H282" s="14">
        <v>0.121467196899987</v>
      </c>
      <c r="I282" s="14">
        <v>0.612837982965787</v>
      </c>
      <c r="J282" s="14">
        <v>3.2355380468588</v>
      </c>
      <c r="K282" s="14" t="s">
        <v>16872</v>
      </c>
    </row>
    <row r="283" spans="1:11">
      <c r="A283" s="14" t="s">
        <v>16873</v>
      </c>
      <c r="B283" s="14" t="s">
        <v>16874</v>
      </c>
      <c r="C283" s="14" t="s">
        <v>16086</v>
      </c>
      <c r="D283" s="14">
        <v>2</v>
      </c>
      <c r="E283" s="14">
        <v>1378</v>
      </c>
      <c r="F283" s="14">
        <v>7</v>
      </c>
      <c r="G283" s="14">
        <v>15605</v>
      </c>
      <c r="H283" s="14">
        <v>0.121467196899987</v>
      </c>
      <c r="I283" s="14">
        <v>0.612837982965787</v>
      </c>
      <c r="J283" s="14">
        <v>3.2355380468588</v>
      </c>
      <c r="K283" s="14" t="s">
        <v>16875</v>
      </c>
    </row>
    <row r="284" spans="1:11">
      <c r="A284" s="14" t="s">
        <v>16876</v>
      </c>
      <c r="B284" s="14" t="s">
        <v>16877</v>
      </c>
      <c r="C284" s="14" t="s">
        <v>16090</v>
      </c>
      <c r="D284" s="14">
        <v>2</v>
      </c>
      <c r="E284" s="14">
        <v>1378</v>
      </c>
      <c r="F284" s="14">
        <v>7</v>
      </c>
      <c r="G284" s="14">
        <v>15605</v>
      </c>
      <c r="H284" s="14">
        <v>0.121467196899987</v>
      </c>
      <c r="I284" s="14">
        <v>0.612837982965787</v>
      </c>
      <c r="J284" s="14">
        <v>3.2355380468588</v>
      </c>
      <c r="K284" s="14" t="s">
        <v>16878</v>
      </c>
    </row>
    <row r="285" spans="1:11">
      <c r="A285" s="14" t="s">
        <v>16879</v>
      </c>
      <c r="B285" s="14" t="s">
        <v>16880</v>
      </c>
      <c r="C285" s="14" t="s">
        <v>16090</v>
      </c>
      <c r="D285" s="14">
        <v>2</v>
      </c>
      <c r="E285" s="14">
        <v>1378</v>
      </c>
      <c r="F285" s="14">
        <v>7</v>
      </c>
      <c r="G285" s="14">
        <v>15605</v>
      </c>
      <c r="H285" s="14">
        <v>0.121467196899987</v>
      </c>
      <c r="I285" s="14">
        <v>0.612837982965787</v>
      </c>
      <c r="J285" s="14">
        <v>3.2355380468588</v>
      </c>
      <c r="K285" s="14" t="s">
        <v>16881</v>
      </c>
    </row>
    <row r="286" spans="1:11">
      <c r="A286" s="14" t="s">
        <v>16882</v>
      </c>
      <c r="B286" s="14" t="s">
        <v>16883</v>
      </c>
      <c r="C286" s="14" t="s">
        <v>16086</v>
      </c>
      <c r="D286" s="14">
        <v>2</v>
      </c>
      <c r="E286" s="14">
        <v>1378</v>
      </c>
      <c r="F286" s="14">
        <v>7</v>
      </c>
      <c r="G286" s="14">
        <v>15605</v>
      </c>
      <c r="H286" s="14">
        <v>0.121467196899987</v>
      </c>
      <c r="I286" s="14">
        <v>0.612837982965787</v>
      </c>
      <c r="J286" s="14">
        <v>3.2355380468588</v>
      </c>
      <c r="K286" s="14" t="s">
        <v>16884</v>
      </c>
    </row>
    <row r="287" spans="1:11">
      <c r="A287" s="14" t="s">
        <v>16885</v>
      </c>
      <c r="B287" s="14" t="s">
        <v>16886</v>
      </c>
      <c r="C287" s="14" t="s">
        <v>16090</v>
      </c>
      <c r="D287" s="14">
        <v>2</v>
      </c>
      <c r="E287" s="14">
        <v>1378</v>
      </c>
      <c r="F287" s="14">
        <v>7</v>
      </c>
      <c r="G287" s="14">
        <v>15605</v>
      </c>
      <c r="H287" s="14">
        <v>0.121467196899987</v>
      </c>
      <c r="I287" s="14">
        <v>0.612837982965787</v>
      </c>
      <c r="J287" s="14">
        <v>3.2355380468588</v>
      </c>
      <c r="K287" s="14" t="s">
        <v>16887</v>
      </c>
    </row>
    <row r="288" spans="1:11">
      <c r="A288" s="14" t="s">
        <v>16888</v>
      </c>
      <c r="B288" s="14" t="s">
        <v>16889</v>
      </c>
      <c r="C288" s="14" t="s">
        <v>16090</v>
      </c>
      <c r="D288" s="14">
        <v>2</v>
      </c>
      <c r="E288" s="14">
        <v>1378</v>
      </c>
      <c r="F288" s="14">
        <v>7</v>
      </c>
      <c r="G288" s="14">
        <v>15605</v>
      </c>
      <c r="H288" s="14">
        <v>0.121467196899987</v>
      </c>
      <c r="I288" s="14">
        <v>0.612837982965787</v>
      </c>
      <c r="J288" s="14">
        <v>3.2355380468588</v>
      </c>
      <c r="K288" s="14" t="s">
        <v>16748</v>
      </c>
    </row>
    <row r="289" spans="1:11">
      <c r="A289" s="14" t="s">
        <v>16890</v>
      </c>
      <c r="B289" s="14" t="s">
        <v>16891</v>
      </c>
      <c r="C289" s="14" t="s">
        <v>16090</v>
      </c>
      <c r="D289" s="14">
        <v>2</v>
      </c>
      <c r="E289" s="14">
        <v>1378</v>
      </c>
      <c r="F289" s="14">
        <v>7</v>
      </c>
      <c r="G289" s="14">
        <v>15605</v>
      </c>
      <c r="H289" s="14">
        <v>0.121467196899987</v>
      </c>
      <c r="I289" s="14">
        <v>0.612837982965787</v>
      </c>
      <c r="J289" s="14">
        <v>3.2355380468588</v>
      </c>
      <c r="K289" s="14" t="s">
        <v>16892</v>
      </c>
    </row>
    <row r="290" spans="1:11">
      <c r="A290" s="14" t="s">
        <v>16893</v>
      </c>
      <c r="B290" s="14" t="s">
        <v>16894</v>
      </c>
      <c r="C290" s="14" t="s">
        <v>16086</v>
      </c>
      <c r="D290" s="14">
        <v>4</v>
      </c>
      <c r="E290" s="14">
        <v>1378</v>
      </c>
      <c r="F290" s="14">
        <v>22</v>
      </c>
      <c r="G290" s="14">
        <v>15605</v>
      </c>
      <c r="H290" s="14">
        <v>0.123678813149841</v>
      </c>
      <c r="I290" s="14">
        <v>0.619677928861488</v>
      </c>
      <c r="J290" s="14">
        <v>2.05897875709196</v>
      </c>
      <c r="K290" s="14" t="s">
        <v>16895</v>
      </c>
    </row>
    <row r="291" spans="1:11">
      <c r="A291" s="14" t="s">
        <v>16896</v>
      </c>
      <c r="B291" s="14" t="s">
        <v>16897</v>
      </c>
      <c r="C291" s="14" t="s">
        <v>16086</v>
      </c>
      <c r="D291" s="14">
        <v>4</v>
      </c>
      <c r="E291" s="14">
        <v>1378</v>
      </c>
      <c r="F291" s="14">
        <v>22</v>
      </c>
      <c r="G291" s="14">
        <v>15605</v>
      </c>
      <c r="H291" s="14">
        <v>0.123678813149841</v>
      </c>
      <c r="I291" s="14">
        <v>0.619677928861488</v>
      </c>
      <c r="J291" s="14">
        <v>2.05897875709196</v>
      </c>
      <c r="K291" s="14" t="s">
        <v>16669</v>
      </c>
    </row>
    <row r="292" spans="1:11">
      <c r="A292" s="14" t="s">
        <v>16898</v>
      </c>
      <c r="B292" s="14" t="s">
        <v>16899</v>
      </c>
      <c r="C292" s="14" t="s">
        <v>16090</v>
      </c>
      <c r="D292" s="14">
        <v>6</v>
      </c>
      <c r="E292" s="14">
        <v>1378</v>
      </c>
      <c r="F292" s="14">
        <v>39</v>
      </c>
      <c r="G292" s="14">
        <v>15605</v>
      </c>
      <c r="H292" s="14">
        <v>0.125299005343779</v>
      </c>
      <c r="I292" s="14">
        <v>0.625630895647559</v>
      </c>
      <c r="J292" s="14">
        <v>1.74221279446243</v>
      </c>
      <c r="K292" s="14" t="s">
        <v>16900</v>
      </c>
    </row>
    <row r="293" spans="1:11">
      <c r="A293" s="14" t="s">
        <v>16901</v>
      </c>
      <c r="B293" s="14" t="s">
        <v>16902</v>
      </c>
      <c r="C293" s="14" t="s">
        <v>16090</v>
      </c>
      <c r="D293" s="14">
        <v>16</v>
      </c>
      <c r="E293" s="14">
        <v>1378</v>
      </c>
      <c r="F293" s="14">
        <v>133</v>
      </c>
      <c r="G293" s="14">
        <v>15605</v>
      </c>
      <c r="H293" s="14">
        <v>0.126451056807848</v>
      </c>
      <c r="I293" s="14">
        <v>0.628233953036971</v>
      </c>
      <c r="J293" s="14">
        <v>1.36233180920371</v>
      </c>
      <c r="K293" s="14" t="s">
        <v>16903</v>
      </c>
    </row>
    <row r="294" spans="1:11">
      <c r="A294" s="14" t="s">
        <v>16904</v>
      </c>
      <c r="B294" s="14" t="s">
        <v>16905</v>
      </c>
      <c r="C294" s="14" t="s">
        <v>16086</v>
      </c>
      <c r="D294" s="14">
        <v>8</v>
      </c>
      <c r="E294" s="14">
        <v>1378</v>
      </c>
      <c r="F294" s="14">
        <v>57</v>
      </c>
      <c r="G294" s="14">
        <v>15605</v>
      </c>
      <c r="H294" s="14">
        <v>0.126688062352759</v>
      </c>
      <c r="I294" s="14">
        <v>0.628233953036971</v>
      </c>
      <c r="J294" s="14">
        <v>1.58938711073766</v>
      </c>
      <c r="K294" s="14" t="s">
        <v>16906</v>
      </c>
    </row>
    <row r="295" spans="1:11">
      <c r="A295" s="14" t="s">
        <v>16907</v>
      </c>
      <c r="B295" s="14" t="s">
        <v>16908</v>
      </c>
      <c r="C295" s="14" t="s">
        <v>16090</v>
      </c>
      <c r="D295" s="14">
        <v>28</v>
      </c>
      <c r="E295" s="14">
        <v>1378</v>
      </c>
      <c r="F295" s="14">
        <v>254</v>
      </c>
      <c r="G295" s="14">
        <v>15605</v>
      </c>
      <c r="H295" s="14">
        <v>0.130415771555296</v>
      </c>
      <c r="I295" s="14">
        <v>0.644512072396138</v>
      </c>
      <c r="J295" s="14">
        <v>1.24835719918174</v>
      </c>
      <c r="K295" s="14" t="s">
        <v>16909</v>
      </c>
    </row>
    <row r="296" spans="1:11">
      <c r="A296" s="14" t="s">
        <v>16910</v>
      </c>
      <c r="B296" s="14" t="s">
        <v>16911</v>
      </c>
      <c r="C296" s="14" t="s">
        <v>16086</v>
      </c>
      <c r="D296" s="14">
        <v>5</v>
      </c>
      <c r="E296" s="14">
        <v>1378</v>
      </c>
      <c r="F296" s="14">
        <v>31</v>
      </c>
      <c r="G296" s="14">
        <v>15605</v>
      </c>
      <c r="H296" s="14">
        <v>0.133401809032633</v>
      </c>
      <c r="I296" s="14">
        <v>0.657026596868205</v>
      </c>
      <c r="J296" s="14">
        <v>1.82651341354932</v>
      </c>
      <c r="K296" s="14" t="s">
        <v>16912</v>
      </c>
    </row>
    <row r="297" spans="1:11">
      <c r="A297" s="14" t="s">
        <v>16913</v>
      </c>
      <c r="B297" s="14" t="s">
        <v>16914</v>
      </c>
      <c r="C297" s="14" t="s">
        <v>16090</v>
      </c>
      <c r="D297" s="14">
        <v>4</v>
      </c>
      <c r="E297" s="14">
        <v>1378</v>
      </c>
      <c r="F297" s="14">
        <v>23</v>
      </c>
      <c r="G297" s="14">
        <v>15605</v>
      </c>
      <c r="H297" s="14">
        <v>0.139842253422204</v>
      </c>
      <c r="I297" s="14">
        <v>0.675195562626119</v>
      </c>
      <c r="J297" s="14">
        <v>1.96945794156623</v>
      </c>
      <c r="K297" s="14" t="s">
        <v>16915</v>
      </c>
    </row>
    <row r="298" spans="1:11">
      <c r="A298" s="14" t="s">
        <v>16916</v>
      </c>
      <c r="B298" s="14" t="s">
        <v>16917</v>
      </c>
      <c r="C298" s="14" t="s">
        <v>16090</v>
      </c>
      <c r="D298" s="14">
        <v>4</v>
      </c>
      <c r="E298" s="14">
        <v>1378</v>
      </c>
      <c r="F298" s="14">
        <v>23</v>
      </c>
      <c r="G298" s="14">
        <v>15605</v>
      </c>
      <c r="H298" s="14">
        <v>0.139842253422204</v>
      </c>
      <c r="I298" s="14">
        <v>0.675195562626119</v>
      </c>
      <c r="J298" s="14">
        <v>1.96945794156623</v>
      </c>
      <c r="K298" s="14" t="s">
        <v>16918</v>
      </c>
    </row>
    <row r="299" spans="1:11">
      <c r="A299" s="14" t="s">
        <v>16919</v>
      </c>
      <c r="B299" s="14" t="s">
        <v>16920</v>
      </c>
      <c r="C299" s="14" t="s">
        <v>16090</v>
      </c>
      <c r="D299" s="14">
        <v>4</v>
      </c>
      <c r="E299" s="14">
        <v>1378</v>
      </c>
      <c r="F299" s="14">
        <v>23</v>
      </c>
      <c r="G299" s="14">
        <v>15605</v>
      </c>
      <c r="H299" s="14">
        <v>0.139842253422204</v>
      </c>
      <c r="I299" s="14">
        <v>0.675195562626119</v>
      </c>
      <c r="J299" s="14">
        <v>1.96945794156623</v>
      </c>
      <c r="K299" s="14" t="s">
        <v>16921</v>
      </c>
    </row>
    <row r="300" spans="1:11">
      <c r="A300" s="14" t="s">
        <v>16922</v>
      </c>
      <c r="B300" s="14" t="s">
        <v>16923</v>
      </c>
      <c r="C300" s="14" t="s">
        <v>16090</v>
      </c>
      <c r="D300" s="14">
        <v>4</v>
      </c>
      <c r="E300" s="14">
        <v>1378</v>
      </c>
      <c r="F300" s="14">
        <v>23</v>
      </c>
      <c r="G300" s="14">
        <v>15605</v>
      </c>
      <c r="H300" s="14">
        <v>0.139842253422204</v>
      </c>
      <c r="I300" s="14">
        <v>0.675195562626119</v>
      </c>
      <c r="J300" s="14">
        <v>1.96945794156623</v>
      </c>
      <c r="K300" s="14" t="s">
        <v>16924</v>
      </c>
    </row>
    <row r="301" spans="1:11">
      <c r="A301" s="14" t="s">
        <v>16925</v>
      </c>
      <c r="B301" s="14" t="s">
        <v>16926</v>
      </c>
      <c r="C301" s="14" t="s">
        <v>16090</v>
      </c>
      <c r="D301" s="14">
        <v>3</v>
      </c>
      <c r="E301" s="14">
        <v>1378</v>
      </c>
      <c r="F301" s="14">
        <v>15</v>
      </c>
      <c r="G301" s="14">
        <v>15605</v>
      </c>
      <c r="H301" s="14">
        <v>0.140821173973127</v>
      </c>
      <c r="I301" s="14">
        <v>0.675195562626119</v>
      </c>
      <c r="J301" s="14">
        <v>2.26487663280116</v>
      </c>
      <c r="K301" s="14" t="s">
        <v>16927</v>
      </c>
    </row>
    <row r="302" spans="1:11">
      <c r="A302" s="14" t="s">
        <v>16928</v>
      </c>
      <c r="B302" s="14" t="s">
        <v>16929</v>
      </c>
      <c r="C302" s="14" t="s">
        <v>16090</v>
      </c>
      <c r="D302" s="14">
        <v>3</v>
      </c>
      <c r="E302" s="14">
        <v>1378</v>
      </c>
      <c r="F302" s="14">
        <v>15</v>
      </c>
      <c r="G302" s="14">
        <v>15605</v>
      </c>
      <c r="H302" s="14">
        <v>0.140821173973127</v>
      </c>
      <c r="I302" s="14">
        <v>0.675195562626119</v>
      </c>
      <c r="J302" s="14">
        <v>2.26487663280116</v>
      </c>
      <c r="K302" s="14" t="s">
        <v>16930</v>
      </c>
    </row>
    <row r="303" spans="1:11">
      <c r="A303" s="14" t="s">
        <v>16931</v>
      </c>
      <c r="B303" s="14" t="s">
        <v>16932</v>
      </c>
      <c r="C303" s="14" t="s">
        <v>16086</v>
      </c>
      <c r="D303" s="14">
        <v>3</v>
      </c>
      <c r="E303" s="14">
        <v>1378</v>
      </c>
      <c r="F303" s="14">
        <v>15</v>
      </c>
      <c r="G303" s="14">
        <v>15605</v>
      </c>
      <c r="H303" s="14">
        <v>0.140821173973127</v>
      </c>
      <c r="I303" s="14">
        <v>0.675195562626119</v>
      </c>
      <c r="J303" s="14">
        <v>2.26487663280116</v>
      </c>
      <c r="K303" s="14" t="s">
        <v>16933</v>
      </c>
    </row>
    <row r="304" spans="1:11">
      <c r="A304" s="14" t="s">
        <v>16934</v>
      </c>
      <c r="B304" s="14" t="s">
        <v>16935</v>
      </c>
      <c r="C304" s="14" t="s">
        <v>16090</v>
      </c>
      <c r="D304" s="14">
        <v>3</v>
      </c>
      <c r="E304" s="14">
        <v>1378</v>
      </c>
      <c r="F304" s="14">
        <v>15</v>
      </c>
      <c r="G304" s="14">
        <v>15605</v>
      </c>
      <c r="H304" s="14">
        <v>0.140821173973127</v>
      </c>
      <c r="I304" s="14">
        <v>0.675195562626119</v>
      </c>
      <c r="J304" s="14">
        <v>2.26487663280116</v>
      </c>
      <c r="K304" s="14" t="s">
        <v>16936</v>
      </c>
    </row>
    <row r="305" spans="1:11">
      <c r="A305" s="14" t="s">
        <v>549</v>
      </c>
      <c r="B305" s="14" t="s">
        <v>550</v>
      </c>
      <c r="C305" s="14" t="s">
        <v>16096</v>
      </c>
      <c r="D305" s="14">
        <v>353</v>
      </c>
      <c r="E305" s="14">
        <v>1378</v>
      </c>
      <c r="F305" s="14">
        <v>3814</v>
      </c>
      <c r="G305" s="14">
        <v>15605</v>
      </c>
      <c r="H305" s="14">
        <v>0.151319362874169</v>
      </c>
      <c r="I305" s="14">
        <v>0.695825457588981</v>
      </c>
      <c r="J305" s="14">
        <v>1.0481141208427</v>
      </c>
      <c r="K305" s="14" t="s">
        <v>16937</v>
      </c>
    </row>
    <row r="306" spans="1:11">
      <c r="A306" s="14" t="s">
        <v>16938</v>
      </c>
      <c r="B306" s="14" t="s">
        <v>16939</v>
      </c>
      <c r="C306" s="14" t="s">
        <v>16086</v>
      </c>
      <c r="D306" s="14">
        <v>2</v>
      </c>
      <c r="E306" s="14">
        <v>1378</v>
      </c>
      <c r="F306" s="14">
        <v>8</v>
      </c>
      <c r="G306" s="14">
        <v>15605</v>
      </c>
      <c r="H306" s="14">
        <v>0.152812496901447</v>
      </c>
      <c r="I306" s="14">
        <v>0.695825457588981</v>
      </c>
      <c r="J306" s="14">
        <v>2.83109579100145</v>
      </c>
      <c r="K306" s="14" t="s">
        <v>16940</v>
      </c>
    </row>
    <row r="307" spans="1:11">
      <c r="A307" s="14" t="s">
        <v>16941</v>
      </c>
      <c r="B307" s="14" t="s">
        <v>16942</v>
      </c>
      <c r="C307" s="14" t="s">
        <v>16096</v>
      </c>
      <c r="D307" s="14">
        <v>2</v>
      </c>
      <c r="E307" s="14">
        <v>1378</v>
      </c>
      <c r="F307" s="14">
        <v>8</v>
      </c>
      <c r="G307" s="14">
        <v>15605</v>
      </c>
      <c r="H307" s="14">
        <v>0.152812496901447</v>
      </c>
      <c r="I307" s="14">
        <v>0.695825457588981</v>
      </c>
      <c r="J307" s="14">
        <v>2.83109579100145</v>
      </c>
      <c r="K307" s="14" t="s">
        <v>16943</v>
      </c>
    </row>
    <row r="308" spans="1:11">
      <c r="A308" s="14" t="s">
        <v>16944</v>
      </c>
      <c r="B308" s="14" t="s">
        <v>16945</v>
      </c>
      <c r="C308" s="14" t="s">
        <v>16090</v>
      </c>
      <c r="D308" s="14">
        <v>2</v>
      </c>
      <c r="E308" s="14">
        <v>1378</v>
      </c>
      <c r="F308" s="14">
        <v>8</v>
      </c>
      <c r="G308" s="14">
        <v>15605</v>
      </c>
      <c r="H308" s="14">
        <v>0.152812496901447</v>
      </c>
      <c r="I308" s="14">
        <v>0.695825457588981</v>
      </c>
      <c r="J308" s="14">
        <v>2.83109579100145</v>
      </c>
      <c r="K308" s="14" t="s">
        <v>16610</v>
      </c>
    </row>
    <row r="309" spans="1:11">
      <c r="A309" s="14" t="s">
        <v>16946</v>
      </c>
      <c r="B309" s="14" t="s">
        <v>16947</v>
      </c>
      <c r="C309" s="14" t="s">
        <v>16090</v>
      </c>
      <c r="D309" s="14">
        <v>2</v>
      </c>
      <c r="E309" s="14">
        <v>1378</v>
      </c>
      <c r="F309" s="14">
        <v>8</v>
      </c>
      <c r="G309" s="14">
        <v>15605</v>
      </c>
      <c r="H309" s="14">
        <v>0.152812496901447</v>
      </c>
      <c r="I309" s="14">
        <v>0.695825457588981</v>
      </c>
      <c r="J309" s="14">
        <v>2.83109579100145</v>
      </c>
      <c r="K309" s="14" t="s">
        <v>16948</v>
      </c>
    </row>
    <row r="310" spans="1:11">
      <c r="A310" s="14" t="s">
        <v>16949</v>
      </c>
      <c r="B310" s="14" t="s">
        <v>16950</v>
      </c>
      <c r="C310" s="14" t="s">
        <v>16090</v>
      </c>
      <c r="D310" s="14">
        <v>2</v>
      </c>
      <c r="E310" s="14">
        <v>1378</v>
      </c>
      <c r="F310" s="14">
        <v>8</v>
      </c>
      <c r="G310" s="14">
        <v>15605</v>
      </c>
      <c r="H310" s="14">
        <v>0.152812496901447</v>
      </c>
      <c r="I310" s="14">
        <v>0.695825457588981</v>
      </c>
      <c r="J310" s="14">
        <v>2.83109579100145</v>
      </c>
      <c r="K310" s="14" t="s">
        <v>16951</v>
      </c>
    </row>
    <row r="311" spans="1:11">
      <c r="A311" s="14" t="s">
        <v>16952</v>
      </c>
      <c r="B311" s="14" t="s">
        <v>16953</v>
      </c>
      <c r="C311" s="14" t="s">
        <v>16090</v>
      </c>
      <c r="D311" s="14">
        <v>2</v>
      </c>
      <c r="E311" s="14">
        <v>1378</v>
      </c>
      <c r="F311" s="14">
        <v>8</v>
      </c>
      <c r="G311" s="14">
        <v>15605</v>
      </c>
      <c r="H311" s="14">
        <v>0.152812496901447</v>
      </c>
      <c r="I311" s="14">
        <v>0.695825457588981</v>
      </c>
      <c r="J311" s="14">
        <v>2.83109579100145</v>
      </c>
      <c r="K311" s="14" t="s">
        <v>16954</v>
      </c>
    </row>
    <row r="312" spans="1:11">
      <c r="A312" s="14" t="s">
        <v>16955</v>
      </c>
      <c r="B312" s="14" t="s">
        <v>16956</v>
      </c>
      <c r="C312" s="14" t="s">
        <v>16090</v>
      </c>
      <c r="D312" s="14">
        <v>2</v>
      </c>
      <c r="E312" s="14">
        <v>1378</v>
      </c>
      <c r="F312" s="14">
        <v>8</v>
      </c>
      <c r="G312" s="14">
        <v>15605</v>
      </c>
      <c r="H312" s="14">
        <v>0.152812496901447</v>
      </c>
      <c r="I312" s="14">
        <v>0.695825457588981</v>
      </c>
      <c r="J312" s="14">
        <v>2.83109579100145</v>
      </c>
      <c r="K312" s="14" t="s">
        <v>16957</v>
      </c>
    </row>
    <row r="313" spans="1:11">
      <c r="A313" s="14" t="s">
        <v>16958</v>
      </c>
      <c r="B313" s="14" t="s">
        <v>16959</v>
      </c>
      <c r="C313" s="14" t="s">
        <v>16090</v>
      </c>
      <c r="D313" s="14">
        <v>2</v>
      </c>
      <c r="E313" s="14">
        <v>1378</v>
      </c>
      <c r="F313" s="14">
        <v>8</v>
      </c>
      <c r="G313" s="14">
        <v>15605</v>
      </c>
      <c r="H313" s="14">
        <v>0.152812496901447</v>
      </c>
      <c r="I313" s="14">
        <v>0.695825457588981</v>
      </c>
      <c r="J313" s="14">
        <v>2.83109579100145</v>
      </c>
      <c r="K313" s="14" t="s">
        <v>16960</v>
      </c>
    </row>
    <row r="314" spans="1:11">
      <c r="A314" s="14" t="s">
        <v>16961</v>
      </c>
      <c r="B314" s="14" t="s">
        <v>16962</v>
      </c>
      <c r="C314" s="14" t="s">
        <v>16090</v>
      </c>
      <c r="D314" s="14">
        <v>2</v>
      </c>
      <c r="E314" s="14">
        <v>1378</v>
      </c>
      <c r="F314" s="14">
        <v>8</v>
      </c>
      <c r="G314" s="14">
        <v>15605</v>
      </c>
      <c r="H314" s="14">
        <v>0.152812496901447</v>
      </c>
      <c r="I314" s="14">
        <v>0.695825457588981</v>
      </c>
      <c r="J314" s="14">
        <v>2.83109579100145</v>
      </c>
      <c r="K314" s="14" t="s">
        <v>16963</v>
      </c>
    </row>
    <row r="315" spans="1:11">
      <c r="A315" s="14" t="s">
        <v>16964</v>
      </c>
      <c r="B315" s="14" t="s">
        <v>16965</v>
      </c>
      <c r="C315" s="14" t="s">
        <v>16090</v>
      </c>
      <c r="D315" s="14">
        <v>2</v>
      </c>
      <c r="E315" s="14">
        <v>1378</v>
      </c>
      <c r="F315" s="14">
        <v>8</v>
      </c>
      <c r="G315" s="14">
        <v>15605</v>
      </c>
      <c r="H315" s="14">
        <v>0.152812496901447</v>
      </c>
      <c r="I315" s="14">
        <v>0.695825457588981</v>
      </c>
      <c r="J315" s="14">
        <v>2.83109579100145</v>
      </c>
      <c r="K315" s="14" t="s">
        <v>16966</v>
      </c>
    </row>
    <row r="316" spans="1:11">
      <c r="A316" s="14" t="s">
        <v>16967</v>
      </c>
      <c r="B316" s="14" t="s">
        <v>16968</v>
      </c>
      <c r="C316" s="14" t="s">
        <v>16086</v>
      </c>
      <c r="D316" s="14">
        <v>2</v>
      </c>
      <c r="E316" s="14">
        <v>1378</v>
      </c>
      <c r="F316" s="14">
        <v>8</v>
      </c>
      <c r="G316" s="14">
        <v>15605</v>
      </c>
      <c r="H316" s="14">
        <v>0.152812496901447</v>
      </c>
      <c r="I316" s="14">
        <v>0.695825457588981</v>
      </c>
      <c r="J316" s="14">
        <v>2.83109579100145</v>
      </c>
      <c r="K316" s="14" t="s">
        <v>16969</v>
      </c>
    </row>
    <row r="317" spans="1:11">
      <c r="A317" s="14" t="s">
        <v>16970</v>
      </c>
      <c r="B317" s="14" t="s">
        <v>16971</v>
      </c>
      <c r="C317" s="14" t="s">
        <v>16090</v>
      </c>
      <c r="D317" s="14">
        <v>2</v>
      </c>
      <c r="E317" s="14">
        <v>1378</v>
      </c>
      <c r="F317" s="14">
        <v>8</v>
      </c>
      <c r="G317" s="14">
        <v>15605</v>
      </c>
      <c r="H317" s="14">
        <v>0.152812496901447</v>
      </c>
      <c r="I317" s="14">
        <v>0.695825457588981</v>
      </c>
      <c r="J317" s="14">
        <v>2.83109579100145</v>
      </c>
      <c r="K317" s="14" t="s">
        <v>16748</v>
      </c>
    </row>
    <row r="318" spans="1:11">
      <c r="A318" s="14" t="s">
        <v>16972</v>
      </c>
      <c r="B318" s="14" t="s">
        <v>16973</v>
      </c>
      <c r="C318" s="14" t="s">
        <v>16090</v>
      </c>
      <c r="D318" s="14">
        <v>2</v>
      </c>
      <c r="E318" s="14">
        <v>1378</v>
      </c>
      <c r="F318" s="14">
        <v>8</v>
      </c>
      <c r="G318" s="14">
        <v>15605</v>
      </c>
      <c r="H318" s="14">
        <v>0.152812496901447</v>
      </c>
      <c r="I318" s="14">
        <v>0.695825457588981</v>
      </c>
      <c r="J318" s="14">
        <v>2.83109579100145</v>
      </c>
      <c r="K318" s="14" t="s">
        <v>16974</v>
      </c>
    </row>
    <row r="319" spans="1:11">
      <c r="A319" s="14" t="s">
        <v>16975</v>
      </c>
      <c r="B319" s="14" t="s">
        <v>16976</v>
      </c>
      <c r="C319" s="14" t="s">
        <v>16090</v>
      </c>
      <c r="D319" s="14">
        <v>2</v>
      </c>
      <c r="E319" s="14">
        <v>1378</v>
      </c>
      <c r="F319" s="14">
        <v>8</v>
      </c>
      <c r="G319" s="14">
        <v>15605</v>
      </c>
      <c r="H319" s="14">
        <v>0.152812496901447</v>
      </c>
      <c r="I319" s="14">
        <v>0.695825457588981</v>
      </c>
      <c r="J319" s="14">
        <v>2.83109579100145</v>
      </c>
      <c r="K319" s="14" t="s">
        <v>16977</v>
      </c>
    </row>
    <row r="320" spans="1:11">
      <c r="A320" s="14" t="s">
        <v>16978</v>
      </c>
      <c r="B320" s="14" t="s">
        <v>16979</v>
      </c>
      <c r="C320" s="14" t="s">
        <v>16090</v>
      </c>
      <c r="D320" s="14">
        <v>2</v>
      </c>
      <c r="E320" s="14">
        <v>1378</v>
      </c>
      <c r="F320" s="14">
        <v>8</v>
      </c>
      <c r="G320" s="14">
        <v>15605</v>
      </c>
      <c r="H320" s="14">
        <v>0.152812496901447</v>
      </c>
      <c r="I320" s="14">
        <v>0.695825457588981</v>
      </c>
      <c r="J320" s="14">
        <v>2.83109579100145</v>
      </c>
      <c r="K320" s="14" t="s">
        <v>16748</v>
      </c>
    </row>
    <row r="321" spans="1:11">
      <c r="A321" s="14" t="s">
        <v>16980</v>
      </c>
      <c r="B321" s="14" t="s">
        <v>16981</v>
      </c>
      <c r="C321" s="14" t="s">
        <v>16086</v>
      </c>
      <c r="D321" s="14">
        <v>8</v>
      </c>
      <c r="E321" s="14">
        <v>1378</v>
      </c>
      <c r="F321" s="14">
        <v>60</v>
      </c>
      <c r="G321" s="14">
        <v>15605</v>
      </c>
      <c r="H321" s="14">
        <v>0.156551546431296</v>
      </c>
      <c r="I321" s="14">
        <v>0.710616423926383</v>
      </c>
      <c r="J321" s="14">
        <v>1.50991775520077</v>
      </c>
      <c r="K321" s="14" t="s">
        <v>16982</v>
      </c>
    </row>
    <row r="322" spans="1:11">
      <c r="A322" s="14" t="s">
        <v>16983</v>
      </c>
      <c r="B322" s="14" t="s">
        <v>16984</v>
      </c>
      <c r="C322" s="14" t="s">
        <v>16086</v>
      </c>
      <c r="D322" s="14">
        <v>5</v>
      </c>
      <c r="E322" s="14">
        <v>1378</v>
      </c>
      <c r="F322" s="14">
        <v>33</v>
      </c>
      <c r="G322" s="14">
        <v>15605</v>
      </c>
      <c r="H322" s="14">
        <v>0.161827181854689</v>
      </c>
      <c r="I322" s="14">
        <v>0.717635585503561</v>
      </c>
      <c r="J322" s="14">
        <v>1.71581563090997</v>
      </c>
      <c r="K322" s="14" t="s">
        <v>16985</v>
      </c>
    </row>
    <row r="323" spans="1:11">
      <c r="A323" s="14" t="s">
        <v>16986</v>
      </c>
      <c r="B323" s="14" t="s">
        <v>16987</v>
      </c>
      <c r="C323" s="14" t="s">
        <v>16090</v>
      </c>
      <c r="D323" s="14">
        <v>6</v>
      </c>
      <c r="E323" s="14">
        <v>1378</v>
      </c>
      <c r="F323" s="14">
        <v>42</v>
      </c>
      <c r="G323" s="14">
        <v>15605</v>
      </c>
      <c r="H323" s="14">
        <v>0.162082290522559</v>
      </c>
      <c r="I323" s="14">
        <v>0.717635585503561</v>
      </c>
      <c r="J323" s="14">
        <v>1.6177690234294</v>
      </c>
      <c r="K323" s="14" t="s">
        <v>16988</v>
      </c>
    </row>
    <row r="324" spans="1:11">
      <c r="A324" s="14" t="s">
        <v>16989</v>
      </c>
      <c r="B324" s="14" t="s">
        <v>16990</v>
      </c>
      <c r="C324" s="14" t="s">
        <v>16090</v>
      </c>
      <c r="D324" s="14">
        <v>3</v>
      </c>
      <c r="E324" s="14">
        <v>1378</v>
      </c>
      <c r="F324" s="14">
        <v>16</v>
      </c>
      <c r="G324" s="14">
        <v>15605</v>
      </c>
      <c r="H324" s="14">
        <v>0.162558337047768</v>
      </c>
      <c r="I324" s="14">
        <v>0.717635585503561</v>
      </c>
      <c r="J324" s="14">
        <v>2.12332184325109</v>
      </c>
      <c r="K324" s="14" t="s">
        <v>16991</v>
      </c>
    </row>
    <row r="325" spans="1:11">
      <c r="A325" s="14" t="s">
        <v>16992</v>
      </c>
      <c r="B325" s="14" t="s">
        <v>16993</v>
      </c>
      <c r="C325" s="14" t="s">
        <v>16090</v>
      </c>
      <c r="D325" s="14">
        <v>3</v>
      </c>
      <c r="E325" s="14">
        <v>1378</v>
      </c>
      <c r="F325" s="14">
        <v>16</v>
      </c>
      <c r="G325" s="14">
        <v>15605</v>
      </c>
      <c r="H325" s="14">
        <v>0.162558337047768</v>
      </c>
      <c r="I325" s="14">
        <v>0.717635585503561</v>
      </c>
      <c r="J325" s="14">
        <v>2.12332184325109</v>
      </c>
      <c r="K325" s="14" t="s">
        <v>16994</v>
      </c>
    </row>
    <row r="326" spans="1:11">
      <c r="A326" s="14" t="s">
        <v>16995</v>
      </c>
      <c r="B326" s="14" t="s">
        <v>16996</v>
      </c>
      <c r="C326" s="14" t="s">
        <v>16086</v>
      </c>
      <c r="D326" s="14">
        <v>3</v>
      </c>
      <c r="E326" s="14">
        <v>1378</v>
      </c>
      <c r="F326" s="14">
        <v>16</v>
      </c>
      <c r="G326" s="14">
        <v>15605</v>
      </c>
      <c r="H326" s="14">
        <v>0.162558337047768</v>
      </c>
      <c r="I326" s="14">
        <v>0.717635585503561</v>
      </c>
      <c r="J326" s="14">
        <v>2.12332184325109</v>
      </c>
      <c r="K326" s="14" t="s">
        <v>16997</v>
      </c>
    </row>
    <row r="327" spans="1:11">
      <c r="A327" s="14" t="s">
        <v>16998</v>
      </c>
      <c r="B327" s="14" t="s">
        <v>16999</v>
      </c>
      <c r="C327" s="14" t="s">
        <v>16086</v>
      </c>
      <c r="D327" s="14">
        <v>3</v>
      </c>
      <c r="E327" s="14">
        <v>1378</v>
      </c>
      <c r="F327" s="14">
        <v>16</v>
      </c>
      <c r="G327" s="14">
        <v>15605</v>
      </c>
      <c r="H327" s="14">
        <v>0.162558337047768</v>
      </c>
      <c r="I327" s="14">
        <v>0.717635585503561</v>
      </c>
      <c r="J327" s="14">
        <v>2.12332184325109</v>
      </c>
      <c r="K327" s="14" t="s">
        <v>17000</v>
      </c>
    </row>
    <row r="328" spans="1:11">
      <c r="A328" s="14" t="s">
        <v>17001</v>
      </c>
      <c r="B328" s="14" t="s">
        <v>17002</v>
      </c>
      <c r="C328" s="14" t="s">
        <v>16090</v>
      </c>
      <c r="D328" s="14">
        <v>3</v>
      </c>
      <c r="E328" s="14">
        <v>1378</v>
      </c>
      <c r="F328" s="14">
        <v>16</v>
      </c>
      <c r="G328" s="14">
        <v>15605</v>
      </c>
      <c r="H328" s="14">
        <v>0.162558337047768</v>
      </c>
      <c r="I328" s="14">
        <v>0.717635585503561</v>
      </c>
      <c r="J328" s="14">
        <v>2.12332184325109</v>
      </c>
      <c r="K328" s="14" t="s">
        <v>17003</v>
      </c>
    </row>
    <row r="329" spans="1:11">
      <c r="A329" s="14" t="s">
        <v>17004</v>
      </c>
      <c r="B329" s="14" t="s">
        <v>17005</v>
      </c>
      <c r="C329" s="14" t="s">
        <v>16090</v>
      </c>
      <c r="D329" s="14">
        <v>3</v>
      </c>
      <c r="E329" s="14">
        <v>1378</v>
      </c>
      <c r="F329" s="14">
        <v>16</v>
      </c>
      <c r="G329" s="14">
        <v>15605</v>
      </c>
      <c r="H329" s="14">
        <v>0.162558337047768</v>
      </c>
      <c r="I329" s="14">
        <v>0.717635585503561</v>
      </c>
      <c r="J329" s="14">
        <v>2.12332184325109</v>
      </c>
      <c r="K329" s="14" t="s">
        <v>17006</v>
      </c>
    </row>
    <row r="330" spans="1:11">
      <c r="A330" s="14" t="s">
        <v>17007</v>
      </c>
      <c r="B330" s="14" t="s">
        <v>17008</v>
      </c>
      <c r="C330" s="14" t="s">
        <v>16090</v>
      </c>
      <c r="D330" s="14">
        <v>3</v>
      </c>
      <c r="E330" s="14">
        <v>1378</v>
      </c>
      <c r="F330" s="14">
        <v>16</v>
      </c>
      <c r="G330" s="14">
        <v>15605</v>
      </c>
      <c r="H330" s="14">
        <v>0.162558337047768</v>
      </c>
      <c r="I330" s="14">
        <v>0.717635585503561</v>
      </c>
      <c r="J330" s="14">
        <v>2.12332184325109</v>
      </c>
      <c r="K330" s="14" t="s">
        <v>17009</v>
      </c>
    </row>
    <row r="331" spans="1:11">
      <c r="A331" s="14" t="s">
        <v>17010</v>
      </c>
      <c r="B331" s="14" t="s">
        <v>17011</v>
      </c>
      <c r="C331" s="14" t="s">
        <v>16090</v>
      </c>
      <c r="D331" s="14">
        <v>17</v>
      </c>
      <c r="E331" s="14">
        <v>1378</v>
      </c>
      <c r="F331" s="14">
        <v>149</v>
      </c>
      <c r="G331" s="14">
        <v>15605</v>
      </c>
      <c r="H331" s="14">
        <v>0.16502737466323</v>
      </c>
      <c r="I331" s="14">
        <v>0.726321089703215</v>
      </c>
      <c r="J331" s="14">
        <v>1.29204371669865</v>
      </c>
      <c r="K331" s="14" t="s">
        <v>17012</v>
      </c>
    </row>
    <row r="332" spans="1:11">
      <c r="A332" s="14" t="s">
        <v>17013</v>
      </c>
      <c r="B332" s="14" t="s">
        <v>17014</v>
      </c>
      <c r="C332" s="14" t="s">
        <v>16086</v>
      </c>
      <c r="D332" s="14">
        <v>26</v>
      </c>
      <c r="E332" s="14">
        <v>1378</v>
      </c>
      <c r="F332" s="14">
        <v>241</v>
      </c>
      <c r="G332" s="14">
        <v>15605</v>
      </c>
      <c r="H332" s="14">
        <v>0.166414675610978</v>
      </c>
      <c r="I332" s="14">
        <v>0.730207425105139</v>
      </c>
      <c r="J332" s="14">
        <v>1.22171768574336</v>
      </c>
      <c r="K332" s="14" t="s">
        <v>17015</v>
      </c>
    </row>
    <row r="333" spans="1:11">
      <c r="A333" s="14" t="s">
        <v>17016</v>
      </c>
      <c r="B333" s="14" t="s">
        <v>17017</v>
      </c>
      <c r="C333" s="14" t="s">
        <v>16090</v>
      </c>
      <c r="D333" s="14">
        <v>6</v>
      </c>
      <c r="E333" s="14">
        <v>1378</v>
      </c>
      <c r="F333" s="14">
        <v>43</v>
      </c>
      <c r="G333" s="14">
        <v>15605</v>
      </c>
      <c r="H333" s="14">
        <v>0.175270282298359</v>
      </c>
      <c r="I333" s="14">
        <v>0.758667325481769</v>
      </c>
      <c r="J333" s="14">
        <v>1.58014648800081</v>
      </c>
      <c r="K333" s="14" t="s">
        <v>17018</v>
      </c>
    </row>
    <row r="334" spans="1:11">
      <c r="A334" s="14" t="s">
        <v>17019</v>
      </c>
      <c r="B334" s="14" t="s">
        <v>17020</v>
      </c>
      <c r="C334" s="14" t="s">
        <v>16090</v>
      </c>
      <c r="D334" s="14">
        <v>3</v>
      </c>
      <c r="E334" s="14">
        <v>1378</v>
      </c>
      <c r="F334" s="14">
        <v>17</v>
      </c>
      <c r="G334" s="14">
        <v>15605</v>
      </c>
      <c r="H334" s="14">
        <v>0.185209623096938</v>
      </c>
      <c r="I334" s="14">
        <v>0.758667325481769</v>
      </c>
      <c r="J334" s="14">
        <v>1.99842055835397</v>
      </c>
      <c r="K334" s="14" t="s">
        <v>17021</v>
      </c>
    </row>
    <row r="335" spans="1:11">
      <c r="A335" s="14" t="s">
        <v>17022</v>
      </c>
      <c r="B335" s="14" t="s">
        <v>17023</v>
      </c>
      <c r="C335" s="14" t="s">
        <v>16086</v>
      </c>
      <c r="D335" s="14">
        <v>3</v>
      </c>
      <c r="E335" s="14">
        <v>1378</v>
      </c>
      <c r="F335" s="14">
        <v>17</v>
      </c>
      <c r="G335" s="14">
        <v>15605</v>
      </c>
      <c r="H335" s="14">
        <v>0.185209623096938</v>
      </c>
      <c r="I335" s="14">
        <v>0.758667325481769</v>
      </c>
      <c r="J335" s="14">
        <v>1.99842055835397</v>
      </c>
      <c r="K335" s="14" t="s">
        <v>17024</v>
      </c>
    </row>
    <row r="336" spans="1:11">
      <c r="A336" s="14" t="s">
        <v>17025</v>
      </c>
      <c r="B336" s="14" t="s">
        <v>17026</v>
      </c>
      <c r="C336" s="14" t="s">
        <v>16086</v>
      </c>
      <c r="D336" s="14">
        <v>3</v>
      </c>
      <c r="E336" s="14">
        <v>1378</v>
      </c>
      <c r="F336" s="14">
        <v>17</v>
      </c>
      <c r="G336" s="14">
        <v>15605</v>
      </c>
      <c r="H336" s="14">
        <v>0.185209623096938</v>
      </c>
      <c r="I336" s="14">
        <v>0.758667325481769</v>
      </c>
      <c r="J336" s="14">
        <v>1.99842055835397</v>
      </c>
      <c r="K336" s="14" t="s">
        <v>17027</v>
      </c>
    </row>
    <row r="337" spans="1:11">
      <c r="A337" s="14" t="s">
        <v>17028</v>
      </c>
      <c r="B337" s="14" t="s">
        <v>17029</v>
      </c>
      <c r="C337" s="14" t="s">
        <v>16086</v>
      </c>
      <c r="D337" s="14">
        <v>10</v>
      </c>
      <c r="E337" s="14">
        <v>1378</v>
      </c>
      <c r="F337" s="14">
        <v>82</v>
      </c>
      <c r="G337" s="14">
        <v>15605</v>
      </c>
      <c r="H337" s="14">
        <v>0.185212629554873</v>
      </c>
      <c r="I337" s="14">
        <v>0.758667325481769</v>
      </c>
      <c r="J337" s="14">
        <v>1.38102233707388</v>
      </c>
      <c r="K337" s="14" t="s">
        <v>17030</v>
      </c>
    </row>
    <row r="338" spans="1:11">
      <c r="A338" s="14" t="s">
        <v>17031</v>
      </c>
      <c r="B338" s="14" t="s">
        <v>17032</v>
      </c>
      <c r="C338" s="14" t="s">
        <v>16096</v>
      </c>
      <c r="D338" s="14">
        <v>2</v>
      </c>
      <c r="E338" s="14">
        <v>1378</v>
      </c>
      <c r="F338" s="14">
        <v>9</v>
      </c>
      <c r="G338" s="14">
        <v>15605</v>
      </c>
      <c r="H338" s="14">
        <v>0.18547529918546</v>
      </c>
      <c r="I338" s="14">
        <v>0.758667325481769</v>
      </c>
      <c r="J338" s="14">
        <v>2.51652959200129</v>
      </c>
      <c r="K338" s="14" t="s">
        <v>17033</v>
      </c>
    </row>
    <row r="339" spans="1:11">
      <c r="A339" s="14" t="s">
        <v>17034</v>
      </c>
      <c r="B339" s="14" t="s">
        <v>17035</v>
      </c>
      <c r="C339" s="14" t="s">
        <v>16096</v>
      </c>
      <c r="D339" s="14">
        <v>2</v>
      </c>
      <c r="E339" s="14">
        <v>1378</v>
      </c>
      <c r="F339" s="14">
        <v>9</v>
      </c>
      <c r="G339" s="14">
        <v>15605</v>
      </c>
      <c r="H339" s="14">
        <v>0.18547529918546</v>
      </c>
      <c r="I339" s="14">
        <v>0.758667325481769</v>
      </c>
      <c r="J339" s="14">
        <v>2.51652959200129</v>
      </c>
      <c r="K339" s="14" t="s">
        <v>17036</v>
      </c>
    </row>
    <row r="340" spans="1:11">
      <c r="A340" s="14" t="s">
        <v>17037</v>
      </c>
      <c r="B340" s="14" t="s">
        <v>17038</v>
      </c>
      <c r="C340" s="14" t="s">
        <v>16086</v>
      </c>
      <c r="D340" s="14">
        <v>2</v>
      </c>
      <c r="E340" s="14">
        <v>1378</v>
      </c>
      <c r="F340" s="14">
        <v>9</v>
      </c>
      <c r="G340" s="14">
        <v>15605</v>
      </c>
      <c r="H340" s="14">
        <v>0.18547529918546</v>
      </c>
      <c r="I340" s="14">
        <v>0.758667325481769</v>
      </c>
      <c r="J340" s="14">
        <v>2.51652959200129</v>
      </c>
      <c r="K340" s="14" t="s">
        <v>16884</v>
      </c>
    </row>
    <row r="341" spans="1:11">
      <c r="A341" s="14" t="s">
        <v>17039</v>
      </c>
      <c r="B341" s="14" t="s">
        <v>17040</v>
      </c>
      <c r="C341" s="14" t="s">
        <v>16086</v>
      </c>
      <c r="D341" s="14">
        <v>2</v>
      </c>
      <c r="E341" s="14">
        <v>1378</v>
      </c>
      <c r="F341" s="14">
        <v>9</v>
      </c>
      <c r="G341" s="14">
        <v>15605</v>
      </c>
      <c r="H341" s="14">
        <v>0.18547529918546</v>
      </c>
      <c r="I341" s="14">
        <v>0.758667325481769</v>
      </c>
      <c r="J341" s="14">
        <v>2.51652959200129</v>
      </c>
      <c r="K341" s="14" t="s">
        <v>17041</v>
      </c>
    </row>
    <row r="342" spans="1:11">
      <c r="A342" s="14" t="s">
        <v>17042</v>
      </c>
      <c r="B342" s="14" t="s">
        <v>17043</v>
      </c>
      <c r="C342" s="14" t="s">
        <v>16086</v>
      </c>
      <c r="D342" s="14">
        <v>2</v>
      </c>
      <c r="E342" s="14">
        <v>1378</v>
      </c>
      <c r="F342" s="14">
        <v>9</v>
      </c>
      <c r="G342" s="14">
        <v>15605</v>
      </c>
      <c r="H342" s="14">
        <v>0.18547529918546</v>
      </c>
      <c r="I342" s="14">
        <v>0.758667325481769</v>
      </c>
      <c r="J342" s="14">
        <v>2.51652959200129</v>
      </c>
      <c r="K342" s="14" t="s">
        <v>17044</v>
      </c>
    </row>
    <row r="343" spans="1:11">
      <c r="A343" s="14" t="s">
        <v>17045</v>
      </c>
      <c r="B343" s="14" t="s">
        <v>17046</v>
      </c>
      <c r="C343" s="14" t="s">
        <v>16086</v>
      </c>
      <c r="D343" s="14">
        <v>2</v>
      </c>
      <c r="E343" s="14">
        <v>1378</v>
      </c>
      <c r="F343" s="14">
        <v>9</v>
      </c>
      <c r="G343" s="14">
        <v>15605</v>
      </c>
      <c r="H343" s="14">
        <v>0.18547529918546</v>
      </c>
      <c r="I343" s="14">
        <v>0.758667325481769</v>
      </c>
      <c r="J343" s="14">
        <v>2.51652959200129</v>
      </c>
      <c r="K343" s="14" t="s">
        <v>17047</v>
      </c>
    </row>
    <row r="344" spans="1:11">
      <c r="A344" s="14" t="s">
        <v>17048</v>
      </c>
      <c r="B344" s="14" t="s">
        <v>17049</v>
      </c>
      <c r="C344" s="14" t="s">
        <v>16090</v>
      </c>
      <c r="D344" s="14">
        <v>2</v>
      </c>
      <c r="E344" s="14">
        <v>1378</v>
      </c>
      <c r="F344" s="14">
        <v>9</v>
      </c>
      <c r="G344" s="14">
        <v>15605</v>
      </c>
      <c r="H344" s="14">
        <v>0.18547529918546</v>
      </c>
      <c r="I344" s="14">
        <v>0.758667325481769</v>
      </c>
      <c r="J344" s="14">
        <v>2.51652959200129</v>
      </c>
      <c r="K344" s="14" t="s">
        <v>17050</v>
      </c>
    </row>
    <row r="345" spans="1:11">
      <c r="A345" s="14" t="s">
        <v>17051</v>
      </c>
      <c r="B345" s="14" t="s">
        <v>17052</v>
      </c>
      <c r="C345" s="14" t="s">
        <v>16090</v>
      </c>
      <c r="D345" s="14">
        <v>2</v>
      </c>
      <c r="E345" s="14">
        <v>1378</v>
      </c>
      <c r="F345" s="14">
        <v>9</v>
      </c>
      <c r="G345" s="14">
        <v>15605</v>
      </c>
      <c r="H345" s="14">
        <v>0.18547529918546</v>
      </c>
      <c r="I345" s="14">
        <v>0.758667325481769</v>
      </c>
      <c r="J345" s="14">
        <v>2.51652959200129</v>
      </c>
      <c r="K345" s="14" t="s">
        <v>17053</v>
      </c>
    </row>
    <row r="346" spans="1:11">
      <c r="A346" s="14" t="s">
        <v>17054</v>
      </c>
      <c r="B346" s="14" t="s">
        <v>17055</v>
      </c>
      <c r="C346" s="14" t="s">
        <v>16090</v>
      </c>
      <c r="D346" s="14">
        <v>2</v>
      </c>
      <c r="E346" s="14">
        <v>1378</v>
      </c>
      <c r="F346" s="14">
        <v>9</v>
      </c>
      <c r="G346" s="14">
        <v>15605</v>
      </c>
      <c r="H346" s="14">
        <v>0.18547529918546</v>
      </c>
      <c r="I346" s="14">
        <v>0.758667325481769</v>
      </c>
      <c r="J346" s="14">
        <v>2.51652959200129</v>
      </c>
      <c r="K346" s="14" t="s">
        <v>17056</v>
      </c>
    </row>
    <row r="347" spans="1:11">
      <c r="A347" s="14" t="s">
        <v>17057</v>
      </c>
      <c r="B347" s="14" t="s">
        <v>17058</v>
      </c>
      <c r="C347" s="14" t="s">
        <v>16096</v>
      </c>
      <c r="D347" s="14">
        <v>2</v>
      </c>
      <c r="E347" s="14">
        <v>1378</v>
      </c>
      <c r="F347" s="14">
        <v>9</v>
      </c>
      <c r="G347" s="14">
        <v>15605</v>
      </c>
      <c r="H347" s="14">
        <v>0.18547529918546</v>
      </c>
      <c r="I347" s="14">
        <v>0.758667325481769</v>
      </c>
      <c r="J347" s="14">
        <v>2.51652959200129</v>
      </c>
      <c r="K347" s="14" t="s">
        <v>17059</v>
      </c>
    </row>
    <row r="348" spans="1:11">
      <c r="A348" s="14" t="s">
        <v>17060</v>
      </c>
      <c r="B348" s="14" t="s">
        <v>17061</v>
      </c>
      <c r="C348" s="14" t="s">
        <v>16090</v>
      </c>
      <c r="D348" s="14">
        <v>2</v>
      </c>
      <c r="E348" s="14">
        <v>1378</v>
      </c>
      <c r="F348" s="14">
        <v>9</v>
      </c>
      <c r="G348" s="14">
        <v>15605</v>
      </c>
      <c r="H348" s="14">
        <v>0.18547529918546</v>
      </c>
      <c r="I348" s="14">
        <v>0.758667325481769</v>
      </c>
      <c r="J348" s="14">
        <v>2.51652959200129</v>
      </c>
      <c r="K348" s="14" t="s">
        <v>17062</v>
      </c>
    </row>
    <row r="349" spans="1:11">
      <c r="A349" s="14" t="s">
        <v>17063</v>
      </c>
      <c r="B349" s="14" t="s">
        <v>17064</v>
      </c>
      <c r="C349" s="14" t="s">
        <v>16090</v>
      </c>
      <c r="D349" s="14">
        <v>2</v>
      </c>
      <c r="E349" s="14">
        <v>1378</v>
      </c>
      <c r="F349" s="14">
        <v>9</v>
      </c>
      <c r="G349" s="14">
        <v>15605</v>
      </c>
      <c r="H349" s="14">
        <v>0.18547529918546</v>
      </c>
      <c r="I349" s="14">
        <v>0.758667325481769</v>
      </c>
      <c r="J349" s="14">
        <v>2.51652959200129</v>
      </c>
      <c r="K349" s="14" t="s">
        <v>16607</v>
      </c>
    </row>
    <row r="350" spans="1:11">
      <c r="A350" s="14" t="s">
        <v>17065</v>
      </c>
      <c r="B350" s="14" t="s">
        <v>17066</v>
      </c>
      <c r="C350" s="14" t="s">
        <v>16086</v>
      </c>
      <c r="D350" s="14">
        <v>2</v>
      </c>
      <c r="E350" s="14">
        <v>1378</v>
      </c>
      <c r="F350" s="14">
        <v>9</v>
      </c>
      <c r="G350" s="14">
        <v>15605</v>
      </c>
      <c r="H350" s="14">
        <v>0.18547529918546</v>
      </c>
      <c r="I350" s="14">
        <v>0.758667325481769</v>
      </c>
      <c r="J350" s="14">
        <v>2.51652959200129</v>
      </c>
      <c r="K350" s="14" t="s">
        <v>17067</v>
      </c>
    </row>
    <row r="351" spans="1:11">
      <c r="A351" s="14" t="s">
        <v>17068</v>
      </c>
      <c r="B351" s="14" t="s">
        <v>17069</v>
      </c>
      <c r="C351" s="14" t="s">
        <v>16086</v>
      </c>
      <c r="D351" s="14">
        <v>2</v>
      </c>
      <c r="E351" s="14">
        <v>1378</v>
      </c>
      <c r="F351" s="14">
        <v>9</v>
      </c>
      <c r="G351" s="14">
        <v>15605</v>
      </c>
      <c r="H351" s="14">
        <v>0.18547529918546</v>
      </c>
      <c r="I351" s="14">
        <v>0.758667325481769</v>
      </c>
      <c r="J351" s="14">
        <v>2.51652959200129</v>
      </c>
      <c r="K351" s="14" t="s">
        <v>16610</v>
      </c>
    </row>
    <row r="352" spans="1:11">
      <c r="A352" s="14" t="s">
        <v>17070</v>
      </c>
      <c r="B352" s="14" t="s">
        <v>17071</v>
      </c>
      <c r="C352" s="14" t="s">
        <v>16090</v>
      </c>
      <c r="D352" s="14">
        <v>2</v>
      </c>
      <c r="E352" s="14">
        <v>1378</v>
      </c>
      <c r="F352" s="14">
        <v>9</v>
      </c>
      <c r="G352" s="14">
        <v>15605</v>
      </c>
      <c r="H352" s="14">
        <v>0.18547529918546</v>
      </c>
      <c r="I352" s="14">
        <v>0.758667325481769</v>
      </c>
      <c r="J352" s="14">
        <v>2.51652959200129</v>
      </c>
      <c r="K352" s="14" t="s">
        <v>17072</v>
      </c>
    </row>
    <row r="353" spans="1:11">
      <c r="A353" s="14" t="s">
        <v>17073</v>
      </c>
      <c r="B353" s="14" t="s">
        <v>17074</v>
      </c>
      <c r="C353" s="14" t="s">
        <v>16086</v>
      </c>
      <c r="D353" s="14">
        <v>2</v>
      </c>
      <c r="E353" s="14">
        <v>1378</v>
      </c>
      <c r="F353" s="14">
        <v>9</v>
      </c>
      <c r="G353" s="14">
        <v>15605</v>
      </c>
      <c r="H353" s="14">
        <v>0.18547529918546</v>
      </c>
      <c r="I353" s="14">
        <v>0.758667325481769</v>
      </c>
      <c r="J353" s="14">
        <v>2.51652959200129</v>
      </c>
      <c r="K353" s="14" t="s">
        <v>17075</v>
      </c>
    </row>
    <row r="354" spans="1:11">
      <c r="A354" s="14" t="s">
        <v>17076</v>
      </c>
      <c r="B354" s="14" t="s">
        <v>17077</v>
      </c>
      <c r="C354" s="14" t="s">
        <v>16096</v>
      </c>
      <c r="D354" s="14">
        <v>2</v>
      </c>
      <c r="E354" s="14">
        <v>1378</v>
      </c>
      <c r="F354" s="14">
        <v>9</v>
      </c>
      <c r="G354" s="14">
        <v>15605</v>
      </c>
      <c r="H354" s="14">
        <v>0.18547529918546</v>
      </c>
      <c r="I354" s="14">
        <v>0.758667325481769</v>
      </c>
      <c r="J354" s="14">
        <v>2.51652959200129</v>
      </c>
      <c r="K354" s="14" t="s">
        <v>17078</v>
      </c>
    </row>
    <row r="355" spans="1:11">
      <c r="A355" s="14" t="s">
        <v>17079</v>
      </c>
      <c r="B355" s="14" t="s">
        <v>17080</v>
      </c>
      <c r="C355" s="14" t="s">
        <v>16090</v>
      </c>
      <c r="D355" s="14">
        <v>2</v>
      </c>
      <c r="E355" s="14">
        <v>1378</v>
      </c>
      <c r="F355" s="14">
        <v>9</v>
      </c>
      <c r="G355" s="14">
        <v>15605</v>
      </c>
      <c r="H355" s="14">
        <v>0.18547529918546</v>
      </c>
      <c r="I355" s="14">
        <v>0.758667325481769</v>
      </c>
      <c r="J355" s="14">
        <v>2.51652959200129</v>
      </c>
      <c r="K355" s="14" t="s">
        <v>17081</v>
      </c>
    </row>
    <row r="356" spans="1:11">
      <c r="A356" s="14" t="s">
        <v>17082</v>
      </c>
      <c r="B356" s="14" t="s">
        <v>17083</v>
      </c>
      <c r="C356" s="14" t="s">
        <v>16086</v>
      </c>
      <c r="D356" s="14">
        <v>2</v>
      </c>
      <c r="E356" s="14">
        <v>1378</v>
      </c>
      <c r="F356" s="14">
        <v>9</v>
      </c>
      <c r="G356" s="14">
        <v>15605</v>
      </c>
      <c r="H356" s="14">
        <v>0.18547529918546</v>
      </c>
      <c r="I356" s="14">
        <v>0.758667325481769</v>
      </c>
      <c r="J356" s="14">
        <v>2.51652959200129</v>
      </c>
      <c r="K356" s="14" t="s">
        <v>16884</v>
      </c>
    </row>
    <row r="357" spans="1:11">
      <c r="A357" s="14" t="s">
        <v>17084</v>
      </c>
      <c r="B357" s="14" t="s">
        <v>17085</v>
      </c>
      <c r="C357" s="14" t="s">
        <v>16090</v>
      </c>
      <c r="D357" s="14">
        <v>12</v>
      </c>
      <c r="E357" s="14">
        <v>1378</v>
      </c>
      <c r="F357" s="14">
        <v>102</v>
      </c>
      <c r="G357" s="14">
        <v>15605</v>
      </c>
      <c r="H357" s="14">
        <v>0.187843738805225</v>
      </c>
      <c r="I357" s="14">
        <v>0.763952869087089</v>
      </c>
      <c r="J357" s="14">
        <v>1.33228037223598</v>
      </c>
      <c r="K357" s="14" t="s">
        <v>17086</v>
      </c>
    </row>
    <row r="358" spans="1:11">
      <c r="A358" s="14" t="s">
        <v>17087</v>
      </c>
      <c r="B358" s="14" t="s">
        <v>17088</v>
      </c>
      <c r="C358" s="14" t="s">
        <v>16090</v>
      </c>
      <c r="D358" s="14">
        <v>6</v>
      </c>
      <c r="E358" s="14">
        <v>1378</v>
      </c>
      <c r="F358" s="14">
        <v>44</v>
      </c>
      <c r="G358" s="14">
        <v>15605</v>
      </c>
      <c r="H358" s="14">
        <v>0.188877850230095</v>
      </c>
      <c r="I358" s="14">
        <v>0.763952869087089</v>
      </c>
      <c r="J358" s="14">
        <v>1.54423406781897</v>
      </c>
      <c r="K358" s="14" t="s">
        <v>17089</v>
      </c>
    </row>
    <row r="359" spans="1:11">
      <c r="A359" s="14" t="s">
        <v>17090</v>
      </c>
      <c r="B359" s="14" t="s">
        <v>17091</v>
      </c>
      <c r="C359" s="14" t="s">
        <v>16090</v>
      </c>
      <c r="D359" s="14">
        <v>6</v>
      </c>
      <c r="E359" s="14">
        <v>1378</v>
      </c>
      <c r="F359" s="14">
        <v>44</v>
      </c>
      <c r="G359" s="14">
        <v>15605</v>
      </c>
      <c r="H359" s="14">
        <v>0.188877850230095</v>
      </c>
      <c r="I359" s="14">
        <v>0.763952869087089</v>
      </c>
      <c r="J359" s="14">
        <v>1.54423406781897</v>
      </c>
      <c r="K359" s="14" t="s">
        <v>17092</v>
      </c>
    </row>
    <row r="360" spans="1:11">
      <c r="A360" s="14" t="s">
        <v>17093</v>
      </c>
      <c r="B360" s="14" t="s">
        <v>17094</v>
      </c>
      <c r="C360" s="14" t="s">
        <v>16090</v>
      </c>
      <c r="D360" s="14">
        <v>6</v>
      </c>
      <c r="E360" s="14">
        <v>1378</v>
      </c>
      <c r="F360" s="14">
        <v>44</v>
      </c>
      <c r="G360" s="14">
        <v>15605</v>
      </c>
      <c r="H360" s="14">
        <v>0.188877850230095</v>
      </c>
      <c r="I360" s="14">
        <v>0.763952869087089</v>
      </c>
      <c r="J360" s="14">
        <v>1.54423406781897</v>
      </c>
      <c r="K360" s="14" t="s">
        <v>17095</v>
      </c>
    </row>
    <row r="361" spans="1:11">
      <c r="A361" s="14" t="s">
        <v>17096</v>
      </c>
      <c r="B361" s="14" t="s">
        <v>17097</v>
      </c>
      <c r="C361" s="14" t="s">
        <v>16090</v>
      </c>
      <c r="D361" s="14">
        <v>4</v>
      </c>
      <c r="E361" s="14">
        <v>1378</v>
      </c>
      <c r="F361" s="14">
        <v>26</v>
      </c>
      <c r="G361" s="14">
        <v>15605</v>
      </c>
      <c r="H361" s="14">
        <v>0.192753632240073</v>
      </c>
      <c r="I361" s="14">
        <v>0.775297943010073</v>
      </c>
      <c r="J361" s="14">
        <v>1.74221279446243</v>
      </c>
      <c r="K361" s="14" t="s">
        <v>17098</v>
      </c>
    </row>
    <row r="362" spans="1:11">
      <c r="A362" s="14" t="s">
        <v>3145</v>
      </c>
      <c r="B362" s="14" t="s">
        <v>3146</v>
      </c>
      <c r="C362" s="14" t="s">
        <v>16086</v>
      </c>
      <c r="D362" s="14">
        <v>4</v>
      </c>
      <c r="E362" s="14">
        <v>1378</v>
      </c>
      <c r="F362" s="14">
        <v>26</v>
      </c>
      <c r="G362" s="14">
        <v>15605</v>
      </c>
      <c r="H362" s="14">
        <v>0.192753632240073</v>
      </c>
      <c r="I362" s="14">
        <v>0.775297943010073</v>
      </c>
      <c r="J362" s="14">
        <v>1.74221279446243</v>
      </c>
      <c r="K362" s="14" t="s">
        <v>17099</v>
      </c>
    </row>
    <row r="363" spans="1:11">
      <c r="A363" s="14" t="s">
        <v>17100</v>
      </c>
      <c r="B363" s="14" t="s">
        <v>17101</v>
      </c>
      <c r="C363" s="14" t="s">
        <v>16090</v>
      </c>
      <c r="D363" s="14">
        <v>7</v>
      </c>
      <c r="E363" s="14">
        <v>1378</v>
      </c>
      <c r="F363" s="14">
        <v>54</v>
      </c>
      <c r="G363" s="14">
        <v>15605</v>
      </c>
      <c r="H363" s="14">
        <v>0.19632248611864</v>
      </c>
      <c r="I363" s="14">
        <v>0.787465262880306</v>
      </c>
      <c r="J363" s="14">
        <v>1.46797559533409</v>
      </c>
      <c r="K363" s="14" t="s">
        <v>17102</v>
      </c>
    </row>
    <row r="364" spans="1:11">
      <c r="A364" s="14" t="s">
        <v>17103</v>
      </c>
      <c r="B364" s="14" t="s">
        <v>17104</v>
      </c>
      <c r="C364" s="14" t="s">
        <v>16086</v>
      </c>
      <c r="D364" s="14">
        <v>3</v>
      </c>
      <c r="E364" s="14">
        <v>1378</v>
      </c>
      <c r="F364" s="14">
        <v>18</v>
      </c>
      <c r="G364" s="14">
        <v>15605</v>
      </c>
      <c r="H364" s="14">
        <v>0.208616630138622</v>
      </c>
      <c r="I364" s="14">
        <v>0.825346667870831</v>
      </c>
      <c r="J364" s="14">
        <v>1.88739719400097</v>
      </c>
      <c r="K364" s="14" t="s">
        <v>17027</v>
      </c>
    </row>
    <row r="365" spans="1:11">
      <c r="A365" s="14" t="s">
        <v>17105</v>
      </c>
      <c r="B365" s="14" t="s">
        <v>17106</v>
      </c>
      <c r="C365" s="14" t="s">
        <v>16090</v>
      </c>
      <c r="D365" s="14">
        <v>3</v>
      </c>
      <c r="E365" s="14">
        <v>1378</v>
      </c>
      <c r="F365" s="14">
        <v>18</v>
      </c>
      <c r="G365" s="14">
        <v>15605</v>
      </c>
      <c r="H365" s="14">
        <v>0.208616630138622</v>
      </c>
      <c r="I365" s="14">
        <v>0.825346667870831</v>
      </c>
      <c r="J365" s="14">
        <v>1.88739719400097</v>
      </c>
      <c r="K365" s="14" t="s">
        <v>17107</v>
      </c>
    </row>
    <row r="366" spans="1:11">
      <c r="A366" s="14" t="s">
        <v>17108</v>
      </c>
      <c r="B366" s="14" t="s">
        <v>17109</v>
      </c>
      <c r="C366" s="14" t="s">
        <v>16090</v>
      </c>
      <c r="D366" s="14">
        <v>3</v>
      </c>
      <c r="E366" s="14">
        <v>1378</v>
      </c>
      <c r="F366" s="14">
        <v>18</v>
      </c>
      <c r="G366" s="14">
        <v>15605</v>
      </c>
      <c r="H366" s="14">
        <v>0.208616630138622</v>
      </c>
      <c r="I366" s="14">
        <v>0.825346667870831</v>
      </c>
      <c r="J366" s="14">
        <v>1.88739719400097</v>
      </c>
      <c r="K366" s="14" t="s">
        <v>17110</v>
      </c>
    </row>
    <row r="367" spans="1:11">
      <c r="A367" s="14" t="s">
        <v>17111</v>
      </c>
      <c r="B367" s="14" t="s">
        <v>17112</v>
      </c>
      <c r="C367" s="14" t="s">
        <v>16086</v>
      </c>
      <c r="D367" s="14">
        <v>3</v>
      </c>
      <c r="E367" s="14">
        <v>1378</v>
      </c>
      <c r="F367" s="14">
        <v>18</v>
      </c>
      <c r="G367" s="14">
        <v>15605</v>
      </c>
      <c r="H367" s="14">
        <v>0.208616630138622</v>
      </c>
      <c r="I367" s="14">
        <v>0.825346667870831</v>
      </c>
      <c r="J367" s="14">
        <v>1.88739719400097</v>
      </c>
      <c r="K367" s="14" t="s">
        <v>17113</v>
      </c>
    </row>
    <row r="368" spans="1:11">
      <c r="A368" s="14" t="s">
        <v>17114</v>
      </c>
      <c r="B368" s="14" t="s">
        <v>17115</v>
      </c>
      <c r="C368" s="14" t="s">
        <v>16090</v>
      </c>
      <c r="D368" s="14">
        <v>3</v>
      </c>
      <c r="E368" s="14">
        <v>1378</v>
      </c>
      <c r="F368" s="14">
        <v>18</v>
      </c>
      <c r="G368" s="14">
        <v>15605</v>
      </c>
      <c r="H368" s="14">
        <v>0.208616630138622</v>
      </c>
      <c r="I368" s="14">
        <v>0.825346667870831</v>
      </c>
      <c r="J368" s="14">
        <v>1.88739719400097</v>
      </c>
      <c r="K368" s="14" t="s">
        <v>17116</v>
      </c>
    </row>
    <row r="369" spans="1:11">
      <c r="A369" s="14" t="s">
        <v>17117</v>
      </c>
      <c r="B369" s="14" t="s">
        <v>17118</v>
      </c>
      <c r="C369" s="14" t="s">
        <v>16090</v>
      </c>
      <c r="D369" s="14">
        <v>4</v>
      </c>
      <c r="E369" s="14">
        <v>1378</v>
      </c>
      <c r="F369" s="14">
        <v>27</v>
      </c>
      <c r="G369" s="14">
        <v>15605</v>
      </c>
      <c r="H369" s="14">
        <v>0.211616566403033</v>
      </c>
      <c r="I369" s="14">
        <v>0.830408639977214</v>
      </c>
      <c r="J369" s="14">
        <v>1.67768639466753</v>
      </c>
      <c r="K369" s="14" t="s">
        <v>17119</v>
      </c>
    </row>
    <row r="370" spans="1:11">
      <c r="A370" s="14" t="s">
        <v>17120</v>
      </c>
      <c r="B370" s="14" t="s">
        <v>17121</v>
      </c>
      <c r="C370" s="14" t="s">
        <v>16090</v>
      </c>
      <c r="D370" s="14">
        <v>4</v>
      </c>
      <c r="E370" s="14">
        <v>1378</v>
      </c>
      <c r="F370" s="14">
        <v>27</v>
      </c>
      <c r="G370" s="14">
        <v>15605</v>
      </c>
      <c r="H370" s="14">
        <v>0.211616566403033</v>
      </c>
      <c r="I370" s="14">
        <v>0.830408639977214</v>
      </c>
      <c r="J370" s="14">
        <v>1.67768639466753</v>
      </c>
      <c r="K370" s="14" t="s">
        <v>17122</v>
      </c>
    </row>
    <row r="371" spans="1:11">
      <c r="A371" s="14" t="s">
        <v>17123</v>
      </c>
      <c r="B371" s="14" t="s">
        <v>17124</v>
      </c>
      <c r="C371" s="14" t="s">
        <v>16090</v>
      </c>
      <c r="D371" s="14">
        <v>4</v>
      </c>
      <c r="E371" s="14">
        <v>1378</v>
      </c>
      <c r="F371" s="14">
        <v>27</v>
      </c>
      <c r="G371" s="14">
        <v>15605</v>
      </c>
      <c r="H371" s="14">
        <v>0.211616566403033</v>
      </c>
      <c r="I371" s="14">
        <v>0.830408639977214</v>
      </c>
      <c r="J371" s="14">
        <v>1.67768639466753</v>
      </c>
      <c r="K371" s="14" t="s">
        <v>17125</v>
      </c>
    </row>
    <row r="372" spans="1:11">
      <c r="A372" s="14" t="s">
        <v>17126</v>
      </c>
      <c r="B372" s="14" t="s">
        <v>17127</v>
      </c>
      <c r="C372" s="14" t="s">
        <v>16086</v>
      </c>
      <c r="D372" s="14">
        <v>2</v>
      </c>
      <c r="E372" s="14">
        <v>1378</v>
      </c>
      <c r="F372" s="14">
        <v>10</v>
      </c>
      <c r="G372" s="14">
        <v>15605</v>
      </c>
      <c r="H372" s="14">
        <v>0.218978965480567</v>
      </c>
      <c r="I372" s="14">
        <v>0.834425110568056</v>
      </c>
      <c r="J372" s="14">
        <v>2.26487663280116</v>
      </c>
      <c r="K372" s="14" t="s">
        <v>17128</v>
      </c>
    </row>
    <row r="373" spans="1:11">
      <c r="A373" s="14" t="s">
        <v>17129</v>
      </c>
      <c r="B373" s="14" t="s">
        <v>17130</v>
      </c>
      <c r="C373" s="14" t="s">
        <v>16090</v>
      </c>
      <c r="D373" s="14">
        <v>2</v>
      </c>
      <c r="E373" s="14">
        <v>1378</v>
      </c>
      <c r="F373" s="14">
        <v>10</v>
      </c>
      <c r="G373" s="14">
        <v>15605</v>
      </c>
      <c r="H373" s="14">
        <v>0.218978965480567</v>
      </c>
      <c r="I373" s="14">
        <v>0.834425110568056</v>
      </c>
      <c r="J373" s="14">
        <v>2.26487663280116</v>
      </c>
      <c r="K373" s="14" t="s">
        <v>17131</v>
      </c>
    </row>
    <row r="374" spans="1:11">
      <c r="A374" s="14" t="s">
        <v>17132</v>
      </c>
      <c r="B374" s="14" t="s">
        <v>17133</v>
      </c>
      <c r="C374" s="14" t="s">
        <v>16090</v>
      </c>
      <c r="D374" s="14">
        <v>2</v>
      </c>
      <c r="E374" s="14">
        <v>1378</v>
      </c>
      <c r="F374" s="14">
        <v>10</v>
      </c>
      <c r="G374" s="14">
        <v>15605</v>
      </c>
      <c r="H374" s="14">
        <v>0.218978965480567</v>
      </c>
      <c r="I374" s="14">
        <v>0.834425110568056</v>
      </c>
      <c r="J374" s="14">
        <v>2.26487663280116</v>
      </c>
      <c r="K374" s="14" t="s">
        <v>17134</v>
      </c>
    </row>
    <row r="375" spans="1:11">
      <c r="A375" s="14" t="s">
        <v>17135</v>
      </c>
      <c r="B375" s="14" t="s">
        <v>17136</v>
      </c>
      <c r="C375" s="14" t="s">
        <v>16090</v>
      </c>
      <c r="D375" s="14">
        <v>2</v>
      </c>
      <c r="E375" s="14">
        <v>1378</v>
      </c>
      <c r="F375" s="14">
        <v>10</v>
      </c>
      <c r="G375" s="14">
        <v>15605</v>
      </c>
      <c r="H375" s="14">
        <v>0.218978965480567</v>
      </c>
      <c r="I375" s="14">
        <v>0.834425110568056</v>
      </c>
      <c r="J375" s="14">
        <v>2.26487663280116</v>
      </c>
      <c r="K375" s="14" t="s">
        <v>17137</v>
      </c>
    </row>
    <row r="376" spans="1:11">
      <c r="A376" s="14" t="s">
        <v>17138</v>
      </c>
      <c r="B376" s="14" t="s">
        <v>17139</v>
      </c>
      <c r="C376" s="14" t="s">
        <v>16086</v>
      </c>
      <c r="D376" s="14">
        <v>2</v>
      </c>
      <c r="E376" s="14">
        <v>1378</v>
      </c>
      <c r="F376" s="14">
        <v>10</v>
      </c>
      <c r="G376" s="14">
        <v>15605</v>
      </c>
      <c r="H376" s="14">
        <v>0.218978965480567</v>
      </c>
      <c r="I376" s="14">
        <v>0.834425110568056</v>
      </c>
      <c r="J376" s="14">
        <v>2.26487663280116</v>
      </c>
      <c r="K376" s="14" t="s">
        <v>17140</v>
      </c>
    </row>
    <row r="377" spans="1:11">
      <c r="A377" s="14" t="s">
        <v>17141</v>
      </c>
      <c r="B377" s="14" t="s">
        <v>17142</v>
      </c>
      <c r="C377" s="14" t="s">
        <v>16090</v>
      </c>
      <c r="D377" s="14">
        <v>2</v>
      </c>
      <c r="E377" s="14">
        <v>1378</v>
      </c>
      <c r="F377" s="14">
        <v>10</v>
      </c>
      <c r="G377" s="14">
        <v>15605</v>
      </c>
      <c r="H377" s="14">
        <v>0.218978965480567</v>
      </c>
      <c r="I377" s="14">
        <v>0.834425110568056</v>
      </c>
      <c r="J377" s="14">
        <v>2.26487663280116</v>
      </c>
      <c r="K377" s="14" t="s">
        <v>16618</v>
      </c>
    </row>
    <row r="378" spans="1:11">
      <c r="A378" s="14" t="s">
        <v>17143</v>
      </c>
      <c r="B378" s="14" t="s">
        <v>17144</v>
      </c>
      <c r="C378" s="14" t="s">
        <v>16090</v>
      </c>
      <c r="D378" s="14">
        <v>2</v>
      </c>
      <c r="E378" s="14">
        <v>1378</v>
      </c>
      <c r="F378" s="14">
        <v>10</v>
      </c>
      <c r="G378" s="14">
        <v>15605</v>
      </c>
      <c r="H378" s="14">
        <v>0.218978965480567</v>
      </c>
      <c r="I378" s="14">
        <v>0.834425110568056</v>
      </c>
      <c r="J378" s="14">
        <v>2.26487663280116</v>
      </c>
      <c r="K378" s="14" t="s">
        <v>17137</v>
      </c>
    </row>
    <row r="379" spans="1:11">
      <c r="A379" s="14" t="s">
        <v>17145</v>
      </c>
      <c r="B379" s="14" t="s">
        <v>17146</v>
      </c>
      <c r="C379" s="14" t="s">
        <v>16086</v>
      </c>
      <c r="D379" s="14">
        <v>2</v>
      </c>
      <c r="E379" s="14">
        <v>1378</v>
      </c>
      <c r="F379" s="14">
        <v>10</v>
      </c>
      <c r="G379" s="14">
        <v>15605</v>
      </c>
      <c r="H379" s="14">
        <v>0.218978965480567</v>
      </c>
      <c r="I379" s="14">
        <v>0.834425110568056</v>
      </c>
      <c r="J379" s="14">
        <v>2.26487663280116</v>
      </c>
      <c r="K379" s="14" t="s">
        <v>17147</v>
      </c>
    </row>
    <row r="380" spans="1:11">
      <c r="A380" s="14" t="s">
        <v>17148</v>
      </c>
      <c r="B380" s="14" t="s">
        <v>17149</v>
      </c>
      <c r="C380" s="14" t="s">
        <v>16086</v>
      </c>
      <c r="D380" s="14">
        <v>2</v>
      </c>
      <c r="E380" s="14">
        <v>1378</v>
      </c>
      <c r="F380" s="14">
        <v>10</v>
      </c>
      <c r="G380" s="14">
        <v>15605</v>
      </c>
      <c r="H380" s="14">
        <v>0.218978965480567</v>
      </c>
      <c r="I380" s="14">
        <v>0.834425110568056</v>
      </c>
      <c r="J380" s="14">
        <v>2.26487663280116</v>
      </c>
      <c r="K380" s="14" t="s">
        <v>17147</v>
      </c>
    </row>
    <row r="381" spans="1:11">
      <c r="A381" s="14" t="s">
        <v>17150</v>
      </c>
      <c r="B381" s="14" t="s">
        <v>17151</v>
      </c>
      <c r="C381" s="14" t="s">
        <v>16086</v>
      </c>
      <c r="D381" s="14">
        <v>2</v>
      </c>
      <c r="E381" s="14">
        <v>1378</v>
      </c>
      <c r="F381" s="14">
        <v>10</v>
      </c>
      <c r="G381" s="14">
        <v>15605</v>
      </c>
      <c r="H381" s="14">
        <v>0.218978965480567</v>
      </c>
      <c r="I381" s="14">
        <v>0.834425110568056</v>
      </c>
      <c r="J381" s="14">
        <v>2.26487663280116</v>
      </c>
      <c r="K381" s="14" t="s">
        <v>17147</v>
      </c>
    </row>
    <row r="382" spans="1:11">
      <c r="A382" s="14" t="s">
        <v>17152</v>
      </c>
      <c r="B382" s="14" t="s">
        <v>17153</v>
      </c>
      <c r="C382" s="14" t="s">
        <v>16090</v>
      </c>
      <c r="D382" s="14">
        <v>2</v>
      </c>
      <c r="E382" s="14">
        <v>1378</v>
      </c>
      <c r="F382" s="14">
        <v>10</v>
      </c>
      <c r="G382" s="14">
        <v>15605</v>
      </c>
      <c r="H382" s="14">
        <v>0.218978965480567</v>
      </c>
      <c r="I382" s="14">
        <v>0.834425110568056</v>
      </c>
      <c r="J382" s="14">
        <v>2.26487663280116</v>
      </c>
      <c r="K382" s="14" t="s">
        <v>17154</v>
      </c>
    </row>
    <row r="383" spans="1:11">
      <c r="A383" s="14" t="s">
        <v>17155</v>
      </c>
      <c r="B383" s="14" t="s">
        <v>17156</v>
      </c>
      <c r="C383" s="14" t="s">
        <v>16096</v>
      </c>
      <c r="D383" s="14">
        <v>4</v>
      </c>
      <c r="E383" s="14">
        <v>1378</v>
      </c>
      <c r="F383" s="14">
        <v>28</v>
      </c>
      <c r="G383" s="14">
        <v>15605</v>
      </c>
      <c r="H383" s="14">
        <v>0.230965664904575</v>
      </c>
      <c r="I383" s="14">
        <v>0.870396055065772</v>
      </c>
      <c r="J383" s="14">
        <v>1.6177690234294</v>
      </c>
      <c r="K383" s="14" t="s">
        <v>17157</v>
      </c>
    </row>
    <row r="384" spans="1:11">
      <c r="A384" s="14" t="s">
        <v>17158</v>
      </c>
      <c r="B384" s="14" t="s">
        <v>17159</v>
      </c>
      <c r="C384" s="14" t="s">
        <v>16090</v>
      </c>
      <c r="D384" s="14">
        <v>3</v>
      </c>
      <c r="E384" s="14">
        <v>1378</v>
      </c>
      <c r="F384" s="14">
        <v>19</v>
      </c>
      <c r="G384" s="14">
        <v>15605</v>
      </c>
      <c r="H384" s="14">
        <v>0.232626569965783</v>
      </c>
      <c r="I384" s="14">
        <v>0.870396055065772</v>
      </c>
      <c r="J384" s="14">
        <v>1.78806049957986</v>
      </c>
      <c r="K384" s="14" t="s">
        <v>17160</v>
      </c>
    </row>
    <row r="385" spans="1:11">
      <c r="A385" s="14" t="s">
        <v>17161</v>
      </c>
      <c r="B385" s="14" t="s">
        <v>17162</v>
      </c>
      <c r="C385" s="14" t="s">
        <v>16086</v>
      </c>
      <c r="D385" s="14">
        <v>3</v>
      </c>
      <c r="E385" s="14">
        <v>1378</v>
      </c>
      <c r="F385" s="14">
        <v>19</v>
      </c>
      <c r="G385" s="14">
        <v>15605</v>
      </c>
      <c r="H385" s="14">
        <v>0.232626569965783</v>
      </c>
      <c r="I385" s="14">
        <v>0.870396055065772</v>
      </c>
      <c r="J385" s="14">
        <v>1.78806049957986</v>
      </c>
      <c r="K385" s="14" t="s">
        <v>16997</v>
      </c>
    </row>
    <row r="386" spans="1:11">
      <c r="A386" s="14" t="s">
        <v>17163</v>
      </c>
      <c r="B386" s="14" t="s">
        <v>17164</v>
      </c>
      <c r="C386" s="14" t="s">
        <v>16090</v>
      </c>
      <c r="D386" s="14">
        <v>3</v>
      </c>
      <c r="E386" s="14">
        <v>1378</v>
      </c>
      <c r="F386" s="14">
        <v>19</v>
      </c>
      <c r="G386" s="14">
        <v>15605</v>
      </c>
      <c r="H386" s="14">
        <v>0.232626569965783</v>
      </c>
      <c r="I386" s="14">
        <v>0.870396055065772</v>
      </c>
      <c r="J386" s="14">
        <v>1.78806049957986</v>
      </c>
      <c r="K386" s="14" t="s">
        <v>16392</v>
      </c>
    </row>
    <row r="387" spans="1:11">
      <c r="A387" s="14" t="s">
        <v>17165</v>
      </c>
      <c r="B387" s="14" t="s">
        <v>17166</v>
      </c>
      <c r="C387" s="14" t="s">
        <v>16090</v>
      </c>
      <c r="D387" s="14">
        <v>3</v>
      </c>
      <c r="E387" s="14">
        <v>1378</v>
      </c>
      <c r="F387" s="14">
        <v>19</v>
      </c>
      <c r="G387" s="14">
        <v>15605</v>
      </c>
      <c r="H387" s="14">
        <v>0.232626569965783</v>
      </c>
      <c r="I387" s="14">
        <v>0.870396055065772</v>
      </c>
      <c r="J387" s="14">
        <v>1.78806049957986</v>
      </c>
      <c r="K387" s="14" t="s">
        <v>16790</v>
      </c>
    </row>
    <row r="388" spans="1:11">
      <c r="A388" s="14" t="s">
        <v>17167</v>
      </c>
      <c r="B388" s="14" t="s">
        <v>17168</v>
      </c>
      <c r="C388" s="14" t="s">
        <v>16090</v>
      </c>
      <c r="D388" s="14">
        <v>3</v>
      </c>
      <c r="E388" s="14">
        <v>1378</v>
      </c>
      <c r="F388" s="14">
        <v>19</v>
      </c>
      <c r="G388" s="14">
        <v>15605</v>
      </c>
      <c r="H388" s="14">
        <v>0.232626569965783</v>
      </c>
      <c r="I388" s="14">
        <v>0.870396055065772</v>
      </c>
      <c r="J388" s="14">
        <v>1.78806049957986</v>
      </c>
      <c r="K388" s="14" t="s">
        <v>17169</v>
      </c>
    </row>
    <row r="389" spans="1:11">
      <c r="A389" s="14" t="s">
        <v>17170</v>
      </c>
      <c r="B389" s="14" t="s">
        <v>17171</v>
      </c>
      <c r="C389" s="14" t="s">
        <v>16090</v>
      </c>
      <c r="D389" s="14">
        <v>3</v>
      </c>
      <c r="E389" s="14">
        <v>1378</v>
      </c>
      <c r="F389" s="14">
        <v>19</v>
      </c>
      <c r="G389" s="14">
        <v>15605</v>
      </c>
      <c r="H389" s="14">
        <v>0.232626569965783</v>
      </c>
      <c r="I389" s="14">
        <v>0.870396055065772</v>
      </c>
      <c r="J389" s="14">
        <v>1.78806049957986</v>
      </c>
      <c r="K389" s="14" t="s">
        <v>17172</v>
      </c>
    </row>
    <row r="390" spans="1:11">
      <c r="A390" s="14" t="s">
        <v>17173</v>
      </c>
      <c r="B390" s="14" t="s">
        <v>17174</v>
      </c>
      <c r="C390" s="14" t="s">
        <v>16090</v>
      </c>
      <c r="D390" s="14">
        <v>10</v>
      </c>
      <c r="E390" s="14">
        <v>1378</v>
      </c>
      <c r="F390" s="14">
        <v>87</v>
      </c>
      <c r="G390" s="14">
        <v>15605</v>
      </c>
      <c r="H390" s="14">
        <v>0.236922893975046</v>
      </c>
      <c r="I390" s="14">
        <v>0.881913497367266</v>
      </c>
      <c r="J390" s="14">
        <v>1.30165323724205</v>
      </c>
      <c r="K390" s="14" t="s">
        <v>17175</v>
      </c>
    </row>
    <row r="391" spans="1:11">
      <c r="A391" s="14" t="s">
        <v>17176</v>
      </c>
      <c r="B391" s="14" t="s">
        <v>17177</v>
      </c>
      <c r="C391" s="14" t="s">
        <v>16086</v>
      </c>
      <c r="D391" s="14">
        <v>10</v>
      </c>
      <c r="E391" s="14">
        <v>1378</v>
      </c>
      <c r="F391" s="14">
        <v>87</v>
      </c>
      <c r="G391" s="14">
        <v>15605</v>
      </c>
      <c r="H391" s="14">
        <v>0.236922893975046</v>
      </c>
      <c r="I391" s="14">
        <v>0.881913497367266</v>
      </c>
      <c r="J391" s="14">
        <v>1.30165323724205</v>
      </c>
      <c r="K391" s="14" t="s">
        <v>17178</v>
      </c>
    </row>
    <row r="392" spans="1:11">
      <c r="A392" s="14" t="s">
        <v>17179</v>
      </c>
      <c r="B392" s="14" t="s">
        <v>17180</v>
      </c>
      <c r="C392" s="14" t="s">
        <v>16086</v>
      </c>
      <c r="D392" s="14">
        <v>7</v>
      </c>
      <c r="E392" s="14">
        <v>1378</v>
      </c>
      <c r="F392" s="14">
        <v>58</v>
      </c>
      <c r="G392" s="14">
        <v>15605</v>
      </c>
      <c r="H392" s="14">
        <v>0.249214497902471</v>
      </c>
      <c r="I392" s="14">
        <v>0.899207480515273</v>
      </c>
      <c r="J392" s="14">
        <v>1.36673589910415</v>
      </c>
      <c r="K392" s="14" t="s">
        <v>17181</v>
      </c>
    </row>
    <row r="393" spans="1:11">
      <c r="A393" s="14" t="s">
        <v>17182</v>
      </c>
      <c r="B393" s="14" t="s">
        <v>17183</v>
      </c>
      <c r="C393" s="14" t="s">
        <v>16090</v>
      </c>
      <c r="D393" s="14">
        <v>4</v>
      </c>
      <c r="E393" s="14">
        <v>1378</v>
      </c>
      <c r="F393" s="14">
        <v>29</v>
      </c>
      <c r="G393" s="14">
        <v>15605</v>
      </c>
      <c r="H393" s="14">
        <v>0.250725122793737</v>
      </c>
      <c r="I393" s="14">
        <v>0.899207480515273</v>
      </c>
      <c r="J393" s="14">
        <v>1.56198388469046</v>
      </c>
      <c r="K393" s="14" t="s">
        <v>17184</v>
      </c>
    </row>
    <row r="394" spans="1:11">
      <c r="A394" s="14" t="s">
        <v>17185</v>
      </c>
      <c r="B394" s="14" t="s">
        <v>17186</v>
      </c>
      <c r="C394" s="14" t="s">
        <v>16090</v>
      </c>
      <c r="D394" s="14">
        <v>2</v>
      </c>
      <c r="E394" s="14">
        <v>1378</v>
      </c>
      <c r="F394" s="14">
        <v>11</v>
      </c>
      <c r="G394" s="14">
        <v>15605</v>
      </c>
      <c r="H394" s="14">
        <v>0.252920658405659</v>
      </c>
      <c r="I394" s="14">
        <v>0.899207480515273</v>
      </c>
      <c r="J394" s="14">
        <v>2.05897875709196</v>
      </c>
      <c r="K394" s="14" t="s">
        <v>17187</v>
      </c>
    </row>
    <row r="395" spans="1:11">
      <c r="A395" s="14" t="s">
        <v>17188</v>
      </c>
      <c r="B395" s="14" t="s">
        <v>17189</v>
      </c>
      <c r="C395" s="14" t="s">
        <v>16086</v>
      </c>
      <c r="D395" s="14">
        <v>2</v>
      </c>
      <c r="E395" s="14">
        <v>1378</v>
      </c>
      <c r="F395" s="14">
        <v>11</v>
      </c>
      <c r="G395" s="14">
        <v>15605</v>
      </c>
      <c r="H395" s="14">
        <v>0.252920658405659</v>
      </c>
      <c r="I395" s="14">
        <v>0.899207480515273</v>
      </c>
      <c r="J395" s="14">
        <v>2.05897875709196</v>
      </c>
      <c r="K395" s="14" t="s">
        <v>17190</v>
      </c>
    </row>
    <row r="396" spans="1:11">
      <c r="A396" s="14" t="s">
        <v>17191</v>
      </c>
      <c r="B396" s="14" t="s">
        <v>17192</v>
      </c>
      <c r="C396" s="14" t="s">
        <v>16090</v>
      </c>
      <c r="D396" s="14">
        <v>2</v>
      </c>
      <c r="E396" s="14">
        <v>1378</v>
      </c>
      <c r="F396" s="14">
        <v>11</v>
      </c>
      <c r="G396" s="14">
        <v>15605</v>
      </c>
      <c r="H396" s="14">
        <v>0.252920658405659</v>
      </c>
      <c r="I396" s="14">
        <v>0.899207480515273</v>
      </c>
      <c r="J396" s="14">
        <v>2.05897875709196</v>
      </c>
      <c r="K396" s="14" t="s">
        <v>17193</v>
      </c>
    </row>
    <row r="397" spans="1:11">
      <c r="A397" s="14" t="s">
        <v>17194</v>
      </c>
      <c r="B397" s="14" t="s">
        <v>17195</v>
      </c>
      <c r="C397" s="14" t="s">
        <v>16086</v>
      </c>
      <c r="D397" s="14">
        <v>2</v>
      </c>
      <c r="E397" s="14">
        <v>1378</v>
      </c>
      <c r="F397" s="14">
        <v>11</v>
      </c>
      <c r="G397" s="14">
        <v>15605</v>
      </c>
      <c r="H397" s="14">
        <v>0.252920658405659</v>
      </c>
      <c r="I397" s="14">
        <v>0.899207480515273</v>
      </c>
      <c r="J397" s="14">
        <v>2.05897875709196</v>
      </c>
      <c r="K397" s="14" t="s">
        <v>17196</v>
      </c>
    </row>
    <row r="398" spans="1:11">
      <c r="A398" s="14" t="s">
        <v>17197</v>
      </c>
      <c r="B398" s="14" t="s">
        <v>17198</v>
      </c>
      <c r="C398" s="14" t="s">
        <v>16090</v>
      </c>
      <c r="D398" s="14">
        <v>2</v>
      </c>
      <c r="E398" s="14">
        <v>1378</v>
      </c>
      <c r="F398" s="14">
        <v>11</v>
      </c>
      <c r="G398" s="14">
        <v>15605</v>
      </c>
      <c r="H398" s="14">
        <v>0.252920658405659</v>
      </c>
      <c r="I398" s="14">
        <v>0.899207480515273</v>
      </c>
      <c r="J398" s="14">
        <v>2.05897875709196</v>
      </c>
      <c r="K398" s="14" t="s">
        <v>17147</v>
      </c>
    </row>
    <row r="399" spans="1:11">
      <c r="A399" s="14" t="s">
        <v>17199</v>
      </c>
      <c r="B399" s="14" t="s">
        <v>17200</v>
      </c>
      <c r="C399" s="14" t="s">
        <v>16086</v>
      </c>
      <c r="D399" s="14">
        <v>2</v>
      </c>
      <c r="E399" s="14">
        <v>1378</v>
      </c>
      <c r="F399" s="14">
        <v>11</v>
      </c>
      <c r="G399" s="14">
        <v>15605</v>
      </c>
      <c r="H399" s="14">
        <v>0.252920658405659</v>
      </c>
      <c r="I399" s="14">
        <v>0.899207480515273</v>
      </c>
      <c r="J399" s="14">
        <v>2.05897875709196</v>
      </c>
      <c r="K399" s="14" t="s">
        <v>16748</v>
      </c>
    </row>
    <row r="400" spans="1:11">
      <c r="A400" s="14" t="s">
        <v>17201</v>
      </c>
      <c r="B400" s="14" t="s">
        <v>17202</v>
      </c>
      <c r="C400" s="14" t="s">
        <v>16086</v>
      </c>
      <c r="D400" s="14">
        <v>2</v>
      </c>
      <c r="E400" s="14">
        <v>1378</v>
      </c>
      <c r="F400" s="14">
        <v>11</v>
      </c>
      <c r="G400" s="14">
        <v>15605</v>
      </c>
      <c r="H400" s="14">
        <v>0.252920658405659</v>
      </c>
      <c r="I400" s="14">
        <v>0.899207480515273</v>
      </c>
      <c r="J400" s="14">
        <v>2.05897875709196</v>
      </c>
      <c r="K400" s="14" t="s">
        <v>17203</v>
      </c>
    </row>
    <row r="401" spans="1:11">
      <c r="A401" s="14" t="s">
        <v>17204</v>
      </c>
      <c r="B401" s="14" t="s">
        <v>17205</v>
      </c>
      <c r="C401" s="14" t="s">
        <v>16090</v>
      </c>
      <c r="D401" s="14">
        <v>2</v>
      </c>
      <c r="E401" s="14">
        <v>1378</v>
      </c>
      <c r="F401" s="14">
        <v>11</v>
      </c>
      <c r="G401" s="14">
        <v>15605</v>
      </c>
      <c r="H401" s="14">
        <v>0.252920658405659</v>
      </c>
      <c r="I401" s="14">
        <v>0.899207480515273</v>
      </c>
      <c r="J401" s="14">
        <v>2.05897875709196</v>
      </c>
      <c r="K401" s="14" t="s">
        <v>17206</v>
      </c>
    </row>
    <row r="402" spans="1:11">
      <c r="A402" s="14" t="s">
        <v>17207</v>
      </c>
      <c r="B402" s="14" t="s">
        <v>17208</v>
      </c>
      <c r="C402" s="14" t="s">
        <v>16086</v>
      </c>
      <c r="D402" s="14">
        <v>2</v>
      </c>
      <c r="E402" s="14">
        <v>1378</v>
      </c>
      <c r="F402" s="14">
        <v>11</v>
      </c>
      <c r="G402" s="14">
        <v>15605</v>
      </c>
      <c r="H402" s="14">
        <v>0.252920658405659</v>
      </c>
      <c r="I402" s="14">
        <v>0.899207480515273</v>
      </c>
      <c r="J402" s="14">
        <v>2.05897875709196</v>
      </c>
      <c r="K402" s="14" t="s">
        <v>17209</v>
      </c>
    </row>
    <row r="403" spans="1:11">
      <c r="A403" s="14" t="s">
        <v>17210</v>
      </c>
      <c r="B403" s="14" t="s">
        <v>17211</v>
      </c>
      <c r="C403" s="14" t="s">
        <v>16090</v>
      </c>
      <c r="D403" s="14">
        <v>2</v>
      </c>
      <c r="E403" s="14">
        <v>1378</v>
      </c>
      <c r="F403" s="14">
        <v>11</v>
      </c>
      <c r="G403" s="14">
        <v>15605</v>
      </c>
      <c r="H403" s="14">
        <v>0.252920658405659</v>
      </c>
      <c r="I403" s="14">
        <v>0.899207480515273</v>
      </c>
      <c r="J403" s="14">
        <v>2.05897875709196</v>
      </c>
      <c r="K403" s="14" t="s">
        <v>17212</v>
      </c>
    </row>
    <row r="404" spans="1:11">
      <c r="A404" s="14" t="s">
        <v>17213</v>
      </c>
      <c r="B404" s="14" t="s">
        <v>17214</v>
      </c>
      <c r="C404" s="14" t="s">
        <v>16090</v>
      </c>
      <c r="D404" s="14">
        <v>2</v>
      </c>
      <c r="E404" s="14">
        <v>1378</v>
      </c>
      <c r="F404" s="14">
        <v>11</v>
      </c>
      <c r="G404" s="14">
        <v>15605</v>
      </c>
      <c r="H404" s="14">
        <v>0.252920658405659</v>
      </c>
      <c r="I404" s="14">
        <v>0.899207480515273</v>
      </c>
      <c r="J404" s="14">
        <v>2.05897875709196</v>
      </c>
      <c r="K404" s="14" t="s">
        <v>17215</v>
      </c>
    </row>
    <row r="405" spans="1:11">
      <c r="A405" s="14" t="s">
        <v>17216</v>
      </c>
      <c r="B405" s="14" t="s">
        <v>17217</v>
      </c>
      <c r="C405" s="14" t="s">
        <v>16096</v>
      </c>
      <c r="D405" s="14">
        <v>2</v>
      </c>
      <c r="E405" s="14">
        <v>1378</v>
      </c>
      <c r="F405" s="14">
        <v>11</v>
      </c>
      <c r="G405" s="14">
        <v>15605</v>
      </c>
      <c r="H405" s="14">
        <v>0.252920658405659</v>
      </c>
      <c r="I405" s="14">
        <v>0.899207480515273</v>
      </c>
      <c r="J405" s="14">
        <v>2.05897875709196</v>
      </c>
      <c r="K405" s="14" t="s">
        <v>17218</v>
      </c>
    </row>
    <row r="406" spans="1:11">
      <c r="A406" s="14" t="s">
        <v>17219</v>
      </c>
      <c r="B406" s="14" t="s">
        <v>17220</v>
      </c>
      <c r="C406" s="14" t="s">
        <v>16090</v>
      </c>
      <c r="D406" s="14">
        <v>2</v>
      </c>
      <c r="E406" s="14">
        <v>1378</v>
      </c>
      <c r="F406" s="14">
        <v>11</v>
      </c>
      <c r="G406" s="14">
        <v>15605</v>
      </c>
      <c r="H406" s="14">
        <v>0.252920658405659</v>
      </c>
      <c r="I406" s="14">
        <v>0.899207480515273</v>
      </c>
      <c r="J406" s="14">
        <v>2.05897875709196</v>
      </c>
      <c r="K406" s="14" t="s">
        <v>17196</v>
      </c>
    </row>
    <row r="407" spans="1:11">
      <c r="A407" s="14" t="s">
        <v>17221</v>
      </c>
      <c r="B407" s="14" t="s">
        <v>17222</v>
      </c>
      <c r="C407" s="14" t="s">
        <v>16086</v>
      </c>
      <c r="D407" s="14">
        <v>2</v>
      </c>
      <c r="E407" s="14">
        <v>1378</v>
      </c>
      <c r="F407" s="14">
        <v>11</v>
      </c>
      <c r="G407" s="14">
        <v>15605</v>
      </c>
      <c r="H407" s="14">
        <v>0.252920658405659</v>
      </c>
      <c r="I407" s="14">
        <v>0.899207480515273</v>
      </c>
      <c r="J407" s="14">
        <v>2.05897875709196</v>
      </c>
      <c r="K407" s="14" t="s">
        <v>17223</v>
      </c>
    </row>
    <row r="408" spans="1:11">
      <c r="A408" s="14" t="s">
        <v>17224</v>
      </c>
      <c r="B408" s="14" t="s">
        <v>17225</v>
      </c>
      <c r="C408" s="14" t="s">
        <v>16090</v>
      </c>
      <c r="D408" s="14">
        <v>2</v>
      </c>
      <c r="E408" s="14">
        <v>1378</v>
      </c>
      <c r="F408" s="14">
        <v>11</v>
      </c>
      <c r="G408" s="14">
        <v>15605</v>
      </c>
      <c r="H408" s="14">
        <v>0.252920658405659</v>
      </c>
      <c r="I408" s="14">
        <v>0.899207480515273</v>
      </c>
      <c r="J408" s="14">
        <v>2.05897875709196</v>
      </c>
      <c r="K408" s="14" t="s">
        <v>16748</v>
      </c>
    </row>
    <row r="409" spans="1:11">
      <c r="A409" s="14" t="s">
        <v>17226</v>
      </c>
      <c r="B409" s="14" t="s">
        <v>17227</v>
      </c>
      <c r="C409" s="14" t="s">
        <v>16086</v>
      </c>
      <c r="D409" s="14">
        <v>3</v>
      </c>
      <c r="E409" s="14">
        <v>1378</v>
      </c>
      <c r="F409" s="14">
        <v>20</v>
      </c>
      <c r="G409" s="14">
        <v>15605</v>
      </c>
      <c r="H409" s="14">
        <v>0.257093851473289</v>
      </c>
      <c r="I409" s="14">
        <v>0.899207480515273</v>
      </c>
      <c r="J409" s="14">
        <v>1.69865747460087</v>
      </c>
      <c r="K409" s="14" t="s">
        <v>17228</v>
      </c>
    </row>
    <row r="410" spans="1:11">
      <c r="A410" s="14" t="s">
        <v>17229</v>
      </c>
      <c r="B410" s="14" t="s">
        <v>17230</v>
      </c>
      <c r="C410" s="14" t="s">
        <v>16096</v>
      </c>
      <c r="D410" s="14">
        <v>3</v>
      </c>
      <c r="E410" s="14">
        <v>1378</v>
      </c>
      <c r="F410" s="14">
        <v>20</v>
      </c>
      <c r="G410" s="14">
        <v>15605</v>
      </c>
      <c r="H410" s="14">
        <v>0.257093851473289</v>
      </c>
      <c r="I410" s="14">
        <v>0.899207480515273</v>
      </c>
      <c r="J410" s="14">
        <v>1.69865747460087</v>
      </c>
      <c r="K410" s="14" t="s">
        <v>17231</v>
      </c>
    </row>
    <row r="411" spans="1:11">
      <c r="A411" s="14" t="s">
        <v>17232</v>
      </c>
      <c r="B411" s="14" t="s">
        <v>17233</v>
      </c>
      <c r="C411" s="14" t="s">
        <v>16090</v>
      </c>
      <c r="D411" s="14">
        <v>3</v>
      </c>
      <c r="E411" s="14">
        <v>1378</v>
      </c>
      <c r="F411" s="14">
        <v>20</v>
      </c>
      <c r="G411" s="14">
        <v>15605</v>
      </c>
      <c r="H411" s="14">
        <v>0.257093851473289</v>
      </c>
      <c r="I411" s="14">
        <v>0.899207480515273</v>
      </c>
      <c r="J411" s="14">
        <v>1.69865747460087</v>
      </c>
      <c r="K411" s="14" t="s">
        <v>17234</v>
      </c>
    </row>
    <row r="412" spans="1:11">
      <c r="A412" s="14" t="s">
        <v>17235</v>
      </c>
      <c r="B412" s="14" t="s">
        <v>17236</v>
      </c>
      <c r="C412" s="14" t="s">
        <v>16090</v>
      </c>
      <c r="D412" s="14">
        <v>3</v>
      </c>
      <c r="E412" s="14">
        <v>1378</v>
      </c>
      <c r="F412" s="14">
        <v>20</v>
      </c>
      <c r="G412" s="14">
        <v>15605</v>
      </c>
      <c r="H412" s="14">
        <v>0.257093851473289</v>
      </c>
      <c r="I412" s="14">
        <v>0.899207480515273</v>
      </c>
      <c r="J412" s="14">
        <v>1.69865747460087</v>
      </c>
      <c r="K412" s="14" t="s">
        <v>17237</v>
      </c>
    </row>
    <row r="413" spans="1:11">
      <c r="A413" s="14" t="s">
        <v>17238</v>
      </c>
      <c r="B413" s="14" t="s">
        <v>17239</v>
      </c>
      <c r="C413" s="14" t="s">
        <v>16090</v>
      </c>
      <c r="D413" s="14">
        <v>3</v>
      </c>
      <c r="E413" s="14">
        <v>1378</v>
      </c>
      <c r="F413" s="14">
        <v>20</v>
      </c>
      <c r="G413" s="14">
        <v>15605</v>
      </c>
      <c r="H413" s="14">
        <v>0.257093851473289</v>
      </c>
      <c r="I413" s="14">
        <v>0.899207480515273</v>
      </c>
      <c r="J413" s="14">
        <v>1.69865747460087</v>
      </c>
      <c r="K413" s="14" t="s">
        <v>17240</v>
      </c>
    </row>
    <row r="414" spans="1:11">
      <c r="A414" s="14" t="s">
        <v>17241</v>
      </c>
      <c r="B414" s="14" t="s">
        <v>17242</v>
      </c>
      <c r="C414" s="14" t="s">
        <v>16090</v>
      </c>
      <c r="D414" s="14">
        <v>3</v>
      </c>
      <c r="E414" s="14">
        <v>1378</v>
      </c>
      <c r="F414" s="14">
        <v>20</v>
      </c>
      <c r="G414" s="14">
        <v>15605</v>
      </c>
      <c r="H414" s="14">
        <v>0.257093851473289</v>
      </c>
      <c r="I414" s="14">
        <v>0.899207480515273</v>
      </c>
      <c r="J414" s="14">
        <v>1.69865747460087</v>
      </c>
      <c r="K414" s="14" t="s">
        <v>17243</v>
      </c>
    </row>
    <row r="415" spans="1:11">
      <c r="A415" s="14" t="s">
        <v>17244</v>
      </c>
      <c r="B415" s="14" t="s">
        <v>17245</v>
      </c>
      <c r="C415" s="14" t="s">
        <v>16090</v>
      </c>
      <c r="D415" s="14">
        <v>3</v>
      </c>
      <c r="E415" s="14">
        <v>1378</v>
      </c>
      <c r="F415" s="14">
        <v>20</v>
      </c>
      <c r="G415" s="14">
        <v>15605</v>
      </c>
      <c r="H415" s="14">
        <v>0.257093851473289</v>
      </c>
      <c r="I415" s="14">
        <v>0.899207480515273</v>
      </c>
      <c r="J415" s="14">
        <v>1.69865747460087</v>
      </c>
      <c r="K415" s="14" t="s">
        <v>17246</v>
      </c>
    </row>
    <row r="416" spans="1:11">
      <c r="A416" s="14" t="s">
        <v>17247</v>
      </c>
      <c r="B416" s="14" t="s">
        <v>17248</v>
      </c>
      <c r="C416" s="14" t="s">
        <v>16090</v>
      </c>
      <c r="D416" s="14">
        <v>3</v>
      </c>
      <c r="E416" s="14">
        <v>1378</v>
      </c>
      <c r="F416" s="14">
        <v>20</v>
      </c>
      <c r="G416" s="14">
        <v>15605</v>
      </c>
      <c r="H416" s="14">
        <v>0.257093851473289</v>
      </c>
      <c r="I416" s="14">
        <v>0.899207480515273</v>
      </c>
      <c r="J416" s="14">
        <v>1.69865747460087</v>
      </c>
      <c r="K416" s="14" t="s">
        <v>17249</v>
      </c>
    </row>
    <row r="417" spans="1:11">
      <c r="A417" s="14" t="s">
        <v>17250</v>
      </c>
      <c r="B417" s="14" t="s">
        <v>17251</v>
      </c>
      <c r="C417" s="14" t="s">
        <v>16086</v>
      </c>
      <c r="D417" s="14">
        <v>20</v>
      </c>
      <c r="E417" s="14">
        <v>1378</v>
      </c>
      <c r="F417" s="14">
        <v>193</v>
      </c>
      <c r="G417" s="14">
        <v>15605</v>
      </c>
      <c r="H417" s="14">
        <v>0.258497422859232</v>
      </c>
      <c r="I417" s="14">
        <v>0.900729618381788</v>
      </c>
      <c r="J417" s="14">
        <v>1.17351120870526</v>
      </c>
      <c r="K417" s="14" t="s">
        <v>17252</v>
      </c>
    </row>
    <row r="418" spans="1:11">
      <c r="A418" s="14" t="s">
        <v>17253</v>
      </c>
      <c r="B418" s="14" t="s">
        <v>17254</v>
      </c>
      <c r="C418" s="14" t="s">
        <v>16090</v>
      </c>
      <c r="D418" s="14">
        <v>5</v>
      </c>
      <c r="E418" s="14">
        <v>1378</v>
      </c>
      <c r="F418" s="14">
        <v>39</v>
      </c>
      <c r="G418" s="14">
        <v>15605</v>
      </c>
      <c r="H418" s="14">
        <v>0.258773150032337</v>
      </c>
      <c r="I418" s="14">
        <v>0.900729618381788</v>
      </c>
      <c r="J418" s="14">
        <v>1.45184399538536</v>
      </c>
      <c r="K418" s="14" t="s">
        <v>17255</v>
      </c>
    </row>
    <row r="419" spans="1:11">
      <c r="A419" s="14" t="s">
        <v>17256</v>
      </c>
      <c r="B419" s="14" t="s">
        <v>17257</v>
      </c>
      <c r="C419" s="14" t="s">
        <v>16090</v>
      </c>
      <c r="D419" s="14">
        <v>6</v>
      </c>
      <c r="E419" s="14">
        <v>1378</v>
      </c>
      <c r="F419" s="14">
        <v>49</v>
      </c>
      <c r="G419" s="14">
        <v>15605</v>
      </c>
      <c r="H419" s="14">
        <v>0.262172540518949</v>
      </c>
      <c r="I419" s="14">
        <v>0.91037371384038</v>
      </c>
      <c r="J419" s="14">
        <v>1.38665916293949</v>
      </c>
      <c r="K419" s="14" t="s">
        <v>17258</v>
      </c>
    </row>
    <row r="420" spans="1:11">
      <c r="A420" s="14" t="s">
        <v>17259</v>
      </c>
      <c r="B420" s="14" t="s">
        <v>17260</v>
      </c>
      <c r="C420" s="14" t="s">
        <v>16090</v>
      </c>
      <c r="D420" s="14">
        <v>4</v>
      </c>
      <c r="E420" s="14">
        <v>1378</v>
      </c>
      <c r="F420" s="14">
        <v>30</v>
      </c>
      <c r="G420" s="14">
        <v>15605</v>
      </c>
      <c r="H420" s="14">
        <v>0.27082036499899</v>
      </c>
      <c r="I420" s="14">
        <v>0.911965910022374</v>
      </c>
      <c r="J420" s="14">
        <v>1.50991775520077</v>
      </c>
      <c r="K420" s="14" t="s">
        <v>17261</v>
      </c>
    </row>
    <row r="421" spans="1:11">
      <c r="A421" s="14" t="s">
        <v>17262</v>
      </c>
      <c r="B421" s="14" t="s">
        <v>17263</v>
      </c>
      <c r="C421" s="14" t="s">
        <v>16086</v>
      </c>
      <c r="D421" s="14">
        <v>8</v>
      </c>
      <c r="E421" s="14">
        <v>1378</v>
      </c>
      <c r="F421" s="14">
        <v>70</v>
      </c>
      <c r="G421" s="14">
        <v>15605</v>
      </c>
      <c r="H421" s="14">
        <v>0.275458974528674</v>
      </c>
      <c r="I421" s="14">
        <v>0.911965910022374</v>
      </c>
      <c r="J421" s="14">
        <v>1.29421521874352</v>
      </c>
      <c r="K421" s="14" t="s">
        <v>17264</v>
      </c>
    </row>
    <row r="422" spans="1:11">
      <c r="A422" s="14" t="s">
        <v>17265</v>
      </c>
      <c r="B422" s="14" t="s">
        <v>17266</v>
      </c>
      <c r="C422" s="14" t="s">
        <v>16090</v>
      </c>
      <c r="D422" s="14">
        <v>8</v>
      </c>
      <c r="E422" s="14">
        <v>1378</v>
      </c>
      <c r="F422" s="14">
        <v>70</v>
      </c>
      <c r="G422" s="14">
        <v>15605</v>
      </c>
      <c r="H422" s="14">
        <v>0.275458974528674</v>
      </c>
      <c r="I422" s="14">
        <v>0.911965910022374</v>
      </c>
      <c r="J422" s="14">
        <v>1.29421521874352</v>
      </c>
      <c r="K422" s="14" t="s">
        <v>17267</v>
      </c>
    </row>
    <row r="423" spans="1:11">
      <c r="A423" s="14" t="s">
        <v>17268</v>
      </c>
      <c r="B423" s="14" t="s">
        <v>17269</v>
      </c>
      <c r="C423" s="14" t="s">
        <v>16090</v>
      </c>
      <c r="D423" s="14">
        <v>7</v>
      </c>
      <c r="E423" s="14">
        <v>1378</v>
      </c>
      <c r="F423" s="14">
        <v>60</v>
      </c>
      <c r="G423" s="14">
        <v>15605</v>
      </c>
      <c r="H423" s="14">
        <v>0.277144463479186</v>
      </c>
      <c r="I423" s="14">
        <v>0.911965910022374</v>
      </c>
      <c r="J423" s="14">
        <v>1.32117803580068</v>
      </c>
      <c r="K423" s="14" t="s">
        <v>17270</v>
      </c>
    </row>
    <row r="424" spans="1:11">
      <c r="A424" s="14" t="s">
        <v>17271</v>
      </c>
      <c r="B424" s="14" t="s">
        <v>17272</v>
      </c>
      <c r="C424" s="14" t="s">
        <v>16086</v>
      </c>
      <c r="D424" s="14">
        <v>3</v>
      </c>
      <c r="E424" s="14">
        <v>1378</v>
      </c>
      <c r="F424" s="14">
        <v>21</v>
      </c>
      <c r="G424" s="14">
        <v>15605</v>
      </c>
      <c r="H424" s="14">
        <v>0.281881223249689</v>
      </c>
      <c r="I424" s="14">
        <v>0.911965910022374</v>
      </c>
      <c r="J424" s="14">
        <v>1.6177690234294</v>
      </c>
      <c r="K424" s="14" t="s">
        <v>16553</v>
      </c>
    </row>
    <row r="425" spans="1:11">
      <c r="A425" s="14" t="s">
        <v>17273</v>
      </c>
      <c r="B425" s="14" t="s">
        <v>17274</v>
      </c>
      <c r="C425" s="14" t="s">
        <v>16086</v>
      </c>
      <c r="D425" s="14">
        <v>3</v>
      </c>
      <c r="E425" s="14">
        <v>1378</v>
      </c>
      <c r="F425" s="14">
        <v>21</v>
      </c>
      <c r="G425" s="14">
        <v>15605</v>
      </c>
      <c r="H425" s="14">
        <v>0.281881223249689</v>
      </c>
      <c r="I425" s="14">
        <v>0.911965910022374</v>
      </c>
      <c r="J425" s="14">
        <v>1.6177690234294</v>
      </c>
      <c r="K425" s="14" t="s">
        <v>17275</v>
      </c>
    </row>
    <row r="426" spans="1:11">
      <c r="A426" s="14" t="s">
        <v>17276</v>
      </c>
      <c r="B426" s="14" t="s">
        <v>17277</v>
      </c>
      <c r="C426" s="14" t="s">
        <v>16090</v>
      </c>
      <c r="D426" s="14">
        <v>3</v>
      </c>
      <c r="E426" s="14">
        <v>1378</v>
      </c>
      <c r="F426" s="14">
        <v>21</v>
      </c>
      <c r="G426" s="14">
        <v>15605</v>
      </c>
      <c r="H426" s="14">
        <v>0.281881223249689</v>
      </c>
      <c r="I426" s="14">
        <v>0.911965910022374</v>
      </c>
      <c r="J426" s="14">
        <v>1.6177690234294</v>
      </c>
      <c r="K426" s="14" t="s">
        <v>17278</v>
      </c>
    </row>
    <row r="427" spans="1:11">
      <c r="A427" s="14" t="s">
        <v>17279</v>
      </c>
      <c r="B427" s="14" t="s">
        <v>17280</v>
      </c>
      <c r="C427" s="14" t="s">
        <v>16086</v>
      </c>
      <c r="D427" s="14">
        <v>3</v>
      </c>
      <c r="E427" s="14">
        <v>1378</v>
      </c>
      <c r="F427" s="14">
        <v>21</v>
      </c>
      <c r="G427" s="14">
        <v>15605</v>
      </c>
      <c r="H427" s="14">
        <v>0.281881223249689</v>
      </c>
      <c r="I427" s="14">
        <v>0.911965910022374</v>
      </c>
      <c r="J427" s="14">
        <v>1.6177690234294</v>
      </c>
      <c r="K427" s="14" t="s">
        <v>17281</v>
      </c>
    </row>
    <row r="428" spans="1:11">
      <c r="A428" s="14" t="s">
        <v>17282</v>
      </c>
      <c r="B428" s="14" t="s">
        <v>17283</v>
      </c>
      <c r="C428" s="14" t="s">
        <v>16086</v>
      </c>
      <c r="D428" s="14">
        <v>2</v>
      </c>
      <c r="E428" s="14">
        <v>1378</v>
      </c>
      <c r="F428" s="14">
        <v>12</v>
      </c>
      <c r="G428" s="14">
        <v>15605</v>
      </c>
      <c r="H428" s="14">
        <v>0.286962039001392</v>
      </c>
      <c r="I428" s="14">
        <v>0.911965910022374</v>
      </c>
      <c r="J428" s="14">
        <v>1.88739719400097</v>
      </c>
      <c r="K428" s="14" t="s">
        <v>17284</v>
      </c>
    </row>
    <row r="429" spans="1:11">
      <c r="A429" s="14" t="s">
        <v>17285</v>
      </c>
      <c r="B429" s="14" t="s">
        <v>17286</v>
      </c>
      <c r="C429" s="14" t="s">
        <v>16096</v>
      </c>
      <c r="D429" s="14">
        <v>2</v>
      </c>
      <c r="E429" s="14">
        <v>1378</v>
      </c>
      <c r="F429" s="14">
        <v>12</v>
      </c>
      <c r="G429" s="14">
        <v>15605</v>
      </c>
      <c r="H429" s="14">
        <v>0.286962039001392</v>
      </c>
      <c r="I429" s="14">
        <v>0.911965910022374</v>
      </c>
      <c r="J429" s="14">
        <v>1.88739719400097</v>
      </c>
      <c r="K429" s="14" t="s">
        <v>17287</v>
      </c>
    </row>
    <row r="430" spans="1:11">
      <c r="A430" s="14" t="s">
        <v>17288</v>
      </c>
      <c r="B430" s="14" t="s">
        <v>17289</v>
      </c>
      <c r="C430" s="14" t="s">
        <v>16090</v>
      </c>
      <c r="D430" s="14">
        <v>2</v>
      </c>
      <c r="E430" s="14">
        <v>1378</v>
      </c>
      <c r="F430" s="14">
        <v>12</v>
      </c>
      <c r="G430" s="14">
        <v>15605</v>
      </c>
      <c r="H430" s="14">
        <v>0.286962039001392</v>
      </c>
      <c r="I430" s="14">
        <v>0.911965910022374</v>
      </c>
      <c r="J430" s="14">
        <v>1.88739719400097</v>
      </c>
      <c r="K430" s="14" t="s">
        <v>17290</v>
      </c>
    </row>
    <row r="431" spans="1:11">
      <c r="A431" s="14" t="s">
        <v>17291</v>
      </c>
      <c r="B431" s="14" t="s">
        <v>17292</v>
      </c>
      <c r="C431" s="14" t="s">
        <v>16090</v>
      </c>
      <c r="D431" s="14">
        <v>2</v>
      </c>
      <c r="E431" s="14">
        <v>1378</v>
      </c>
      <c r="F431" s="14">
        <v>12</v>
      </c>
      <c r="G431" s="14">
        <v>15605</v>
      </c>
      <c r="H431" s="14">
        <v>0.286962039001392</v>
      </c>
      <c r="I431" s="14">
        <v>0.911965910022374</v>
      </c>
      <c r="J431" s="14">
        <v>1.88739719400097</v>
      </c>
      <c r="K431" s="14" t="s">
        <v>17293</v>
      </c>
    </row>
    <row r="432" spans="1:11">
      <c r="A432" s="14" t="s">
        <v>17294</v>
      </c>
      <c r="B432" s="14" t="s">
        <v>17295</v>
      </c>
      <c r="C432" s="14" t="s">
        <v>16090</v>
      </c>
      <c r="D432" s="14">
        <v>2</v>
      </c>
      <c r="E432" s="14">
        <v>1378</v>
      </c>
      <c r="F432" s="14">
        <v>12</v>
      </c>
      <c r="G432" s="14">
        <v>15605</v>
      </c>
      <c r="H432" s="14">
        <v>0.286962039001392</v>
      </c>
      <c r="I432" s="14">
        <v>0.911965910022374</v>
      </c>
      <c r="J432" s="14">
        <v>1.88739719400097</v>
      </c>
      <c r="K432" s="14" t="s">
        <v>16607</v>
      </c>
    </row>
    <row r="433" spans="1:11">
      <c r="A433" s="14" t="s">
        <v>17296</v>
      </c>
      <c r="B433" s="14" t="s">
        <v>17297</v>
      </c>
      <c r="C433" s="14" t="s">
        <v>16086</v>
      </c>
      <c r="D433" s="14">
        <v>2</v>
      </c>
      <c r="E433" s="14">
        <v>1378</v>
      </c>
      <c r="F433" s="14">
        <v>12</v>
      </c>
      <c r="G433" s="14">
        <v>15605</v>
      </c>
      <c r="H433" s="14">
        <v>0.286962039001392</v>
      </c>
      <c r="I433" s="14">
        <v>0.911965910022374</v>
      </c>
      <c r="J433" s="14">
        <v>1.88739719400097</v>
      </c>
      <c r="K433" s="14" t="s">
        <v>17298</v>
      </c>
    </row>
    <row r="434" spans="1:11">
      <c r="A434" s="14" t="s">
        <v>17299</v>
      </c>
      <c r="B434" s="14" t="s">
        <v>17300</v>
      </c>
      <c r="C434" s="14" t="s">
        <v>16090</v>
      </c>
      <c r="D434" s="14">
        <v>2</v>
      </c>
      <c r="E434" s="14">
        <v>1378</v>
      </c>
      <c r="F434" s="14">
        <v>12</v>
      </c>
      <c r="G434" s="14">
        <v>15605</v>
      </c>
      <c r="H434" s="14">
        <v>0.286962039001392</v>
      </c>
      <c r="I434" s="14">
        <v>0.911965910022374</v>
      </c>
      <c r="J434" s="14">
        <v>1.88739719400097</v>
      </c>
      <c r="K434" s="14" t="s">
        <v>17301</v>
      </c>
    </row>
    <row r="435" spans="1:11">
      <c r="A435" s="14" t="s">
        <v>17302</v>
      </c>
      <c r="B435" s="14" t="s">
        <v>17303</v>
      </c>
      <c r="C435" s="14" t="s">
        <v>16086</v>
      </c>
      <c r="D435" s="14">
        <v>2</v>
      </c>
      <c r="E435" s="14">
        <v>1378</v>
      </c>
      <c r="F435" s="14">
        <v>12</v>
      </c>
      <c r="G435" s="14">
        <v>15605</v>
      </c>
      <c r="H435" s="14">
        <v>0.286962039001392</v>
      </c>
      <c r="I435" s="14">
        <v>0.911965910022374</v>
      </c>
      <c r="J435" s="14">
        <v>1.88739719400097</v>
      </c>
      <c r="K435" s="14" t="s">
        <v>17304</v>
      </c>
    </row>
    <row r="436" spans="1:11">
      <c r="A436" s="14" t="s">
        <v>17305</v>
      </c>
      <c r="B436" s="14" t="s">
        <v>17306</v>
      </c>
      <c r="C436" s="14" t="s">
        <v>16086</v>
      </c>
      <c r="D436" s="14">
        <v>2</v>
      </c>
      <c r="E436" s="14">
        <v>1378</v>
      </c>
      <c r="F436" s="14">
        <v>12</v>
      </c>
      <c r="G436" s="14">
        <v>15605</v>
      </c>
      <c r="H436" s="14">
        <v>0.286962039001392</v>
      </c>
      <c r="I436" s="14">
        <v>0.911965910022374</v>
      </c>
      <c r="J436" s="14">
        <v>1.88739719400097</v>
      </c>
      <c r="K436" s="14" t="s">
        <v>17307</v>
      </c>
    </row>
    <row r="437" spans="1:11">
      <c r="A437" s="14" t="s">
        <v>17308</v>
      </c>
      <c r="B437" s="14" t="s">
        <v>17309</v>
      </c>
      <c r="C437" s="14" t="s">
        <v>16086</v>
      </c>
      <c r="D437" s="14">
        <v>2</v>
      </c>
      <c r="E437" s="14">
        <v>1378</v>
      </c>
      <c r="F437" s="14">
        <v>12</v>
      </c>
      <c r="G437" s="14">
        <v>15605</v>
      </c>
      <c r="H437" s="14">
        <v>0.286962039001392</v>
      </c>
      <c r="I437" s="14">
        <v>0.911965910022374</v>
      </c>
      <c r="J437" s="14">
        <v>1.88739719400097</v>
      </c>
      <c r="K437" s="14" t="s">
        <v>17310</v>
      </c>
    </row>
    <row r="438" spans="1:11">
      <c r="A438" s="14" t="s">
        <v>17311</v>
      </c>
      <c r="B438" s="14" t="s">
        <v>17312</v>
      </c>
      <c r="C438" s="14" t="s">
        <v>16086</v>
      </c>
      <c r="D438" s="14">
        <v>2</v>
      </c>
      <c r="E438" s="14">
        <v>1378</v>
      </c>
      <c r="F438" s="14">
        <v>12</v>
      </c>
      <c r="G438" s="14">
        <v>15605</v>
      </c>
      <c r="H438" s="14">
        <v>0.286962039001392</v>
      </c>
      <c r="I438" s="14">
        <v>0.911965910022374</v>
      </c>
      <c r="J438" s="14">
        <v>1.88739719400097</v>
      </c>
      <c r="K438" s="14" t="s">
        <v>17313</v>
      </c>
    </row>
    <row r="439" spans="1:11">
      <c r="A439" s="14" t="s">
        <v>17314</v>
      </c>
      <c r="B439" s="14" t="s">
        <v>17315</v>
      </c>
      <c r="C439" s="14" t="s">
        <v>16090</v>
      </c>
      <c r="D439" s="14">
        <v>2</v>
      </c>
      <c r="E439" s="14">
        <v>1378</v>
      </c>
      <c r="F439" s="14">
        <v>12</v>
      </c>
      <c r="G439" s="14">
        <v>15605</v>
      </c>
      <c r="H439" s="14">
        <v>0.286962039001392</v>
      </c>
      <c r="I439" s="14">
        <v>0.911965910022374</v>
      </c>
      <c r="J439" s="14">
        <v>1.88739719400097</v>
      </c>
      <c r="K439" s="14" t="s">
        <v>17137</v>
      </c>
    </row>
    <row r="440" spans="1:11">
      <c r="A440" s="14" t="s">
        <v>17316</v>
      </c>
      <c r="B440" s="14" t="s">
        <v>17317</v>
      </c>
      <c r="C440" s="14" t="s">
        <v>16090</v>
      </c>
      <c r="D440" s="14">
        <v>2</v>
      </c>
      <c r="E440" s="14">
        <v>1378</v>
      </c>
      <c r="F440" s="14">
        <v>12</v>
      </c>
      <c r="G440" s="14">
        <v>15605</v>
      </c>
      <c r="H440" s="14">
        <v>0.286962039001392</v>
      </c>
      <c r="I440" s="14">
        <v>0.911965910022374</v>
      </c>
      <c r="J440" s="14">
        <v>1.88739719400097</v>
      </c>
      <c r="K440" s="14" t="s">
        <v>17318</v>
      </c>
    </row>
    <row r="441" spans="1:11">
      <c r="A441" s="14" t="s">
        <v>17319</v>
      </c>
      <c r="B441" s="14" t="s">
        <v>17320</v>
      </c>
      <c r="C441" s="14" t="s">
        <v>16090</v>
      </c>
      <c r="D441" s="14">
        <v>2</v>
      </c>
      <c r="E441" s="14">
        <v>1378</v>
      </c>
      <c r="F441" s="14">
        <v>12</v>
      </c>
      <c r="G441" s="14">
        <v>15605</v>
      </c>
      <c r="H441" s="14">
        <v>0.286962039001392</v>
      </c>
      <c r="I441" s="14">
        <v>0.911965910022374</v>
      </c>
      <c r="J441" s="14">
        <v>1.88739719400097</v>
      </c>
      <c r="K441" s="14" t="s">
        <v>17321</v>
      </c>
    </row>
    <row r="442" spans="1:11">
      <c r="A442" s="14" t="s">
        <v>17322</v>
      </c>
      <c r="B442" s="14" t="s">
        <v>17323</v>
      </c>
      <c r="C442" s="14" t="s">
        <v>16086</v>
      </c>
      <c r="D442" s="14">
        <v>2</v>
      </c>
      <c r="E442" s="14">
        <v>1378</v>
      </c>
      <c r="F442" s="14">
        <v>12</v>
      </c>
      <c r="G442" s="14">
        <v>15605</v>
      </c>
      <c r="H442" s="14">
        <v>0.286962039001392</v>
      </c>
      <c r="I442" s="14">
        <v>0.911965910022374</v>
      </c>
      <c r="J442" s="14">
        <v>1.88739719400097</v>
      </c>
      <c r="K442" s="14" t="s">
        <v>17324</v>
      </c>
    </row>
    <row r="443" spans="1:11">
      <c r="A443" s="14" t="s">
        <v>17325</v>
      </c>
      <c r="B443" s="14" t="s">
        <v>17326</v>
      </c>
      <c r="C443" s="14" t="s">
        <v>16086</v>
      </c>
      <c r="D443" s="14">
        <v>2</v>
      </c>
      <c r="E443" s="14">
        <v>1378</v>
      </c>
      <c r="F443" s="14">
        <v>12</v>
      </c>
      <c r="G443" s="14">
        <v>15605</v>
      </c>
      <c r="H443" s="14">
        <v>0.286962039001392</v>
      </c>
      <c r="I443" s="14">
        <v>0.911965910022374</v>
      </c>
      <c r="J443" s="14">
        <v>1.88739719400097</v>
      </c>
      <c r="K443" s="14" t="s">
        <v>17324</v>
      </c>
    </row>
    <row r="444" spans="1:11">
      <c r="A444" s="14" t="s">
        <v>17327</v>
      </c>
      <c r="B444" s="14" t="s">
        <v>17328</v>
      </c>
      <c r="C444" s="14" t="s">
        <v>16090</v>
      </c>
      <c r="D444" s="14">
        <v>4</v>
      </c>
      <c r="E444" s="14">
        <v>1378</v>
      </c>
      <c r="F444" s="14">
        <v>31</v>
      </c>
      <c r="G444" s="14">
        <v>15605</v>
      </c>
      <c r="H444" s="14">
        <v>0.291178669586598</v>
      </c>
      <c r="I444" s="14">
        <v>0.911965910022374</v>
      </c>
      <c r="J444" s="14">
        <v>1.46121073083946</v>
      </c>
      <c r="K444" s="14" t="s">
        <v>17329</v>
      </c>
    </row>
    <row r="445" spans="1:11">
      <c r="A445" s="14" t="s">
        <v>17330</v>
      </c>
      <c r="B445" s="14" t="s">
        <v>17331</v>
      </c>
      <c r="C445" s="14" t="s">
        <v>16090</v>
      </c>
      <c r="D445" s="14">
        <v>4</v>
      </c>
      <c r="E445" s="14">
        <v>1378</v>
      </c>
      <c r="F445" s="14">
        <v>31</v>
      </c>
      <c r="G445" s="14">
        <v>15605</v>
      </c>
      <c r="H445" s="14">
        <v>0.291178669586598</v>
      </c>
      <c r="I445" s="14">
        <v>0.911965910022374</v>
      </c>
      <c r="J445" s="14">
        <v>1.46121073083946</v>
      </c>
      <c r="K445" s="14" t="s">
        <v>17332</v>
      </c>
    </row>
    <row r="446" spans="1:11">
      <c r="A446" s="14" t="s">
        <v>17333</v>
      </c>
      <c r="B446" s="14" t="s">
        <v>17334</v>
      </c>
      <c r="C446" s="14" t="s">
        <v>16090</v>
      </c>
      <c r="D446" s="14">
        <v>6</v>
      </c>
      <c r="E446" s="14">
        <v>1378</v>
      </c>
      <c r="F446" s="14">
        <v>51</v>
      </c>
      <c r="G446" s="14">
        <v>15605</v>
      </c>
      <c r="H446" s="14">
        <v>0.293359429019563</v>
      </c>
      <c r="I446" s="14">
        <v>0.911965910022374</v>
      </c>
      <c r="J446" s="14">
        <v>1.33228037223598</v>
      </c>
      <c r="K446" s="14" t="s">
        <v>17335</v>
      </c>
    </row>
    <row r="447" spans="1:11">
      <c r="A447" s="14" t="s">
        <v>17336</v>
      </c>
      <c r="B447" s="14" t="s">
        <v>17337</v>
      </c>
      <c r="C447" s="14" t="s">
        <v>16090</v>
      </c>
      <c r="D447" s="14">
        <v>3</v>
      </c>
      <c r="E447" s="14">
        <v>1378</v>
      </c>
      <c r="F447" s="14">
        <v>22</v>
      </c>
      <c r="G447" s="14">
        <v>15605</v>
      </c>
      <c r="H447" s="14">
        <v>0.306860551160191</v>
      </c>
      <c r="I447" s="14">
        <v>0.911965910022374</v>
      </c>
      <c r="J447" s="14">
        <v>1.54423406781897</v>
      </c>
      <c r="K447" s="14" t="s">
        <v>17338</v>
      </c>
    </row>
    <row r="448" spans="1:11">
      <c r="A448" s="14" t="s">
        <v>17339</v>
      </c>
      <c r="B448" s="14" t="s">
        <v>17340</v>
      </c>
      <c r="C448" s="14" t="s">
        <v>16090</v>
      </c>
      <c r="D448" s="14">
        <v>3</v>
      </c>
      <c r="E448" s="14">
        <v>1378</v>
      </c>
      <c r="F448" s="14">
        <v>22</v>
      </c>
      <c r="G448" s="14">
        <v>15605</v>
      </c>
      <c r="H448" s="14">
        <v>0.306860551160191</v>
      </c>
      <c r="I448" s="14">
        <v>0.911965910022374</v>
      </c>
      <c r="J448" s="14">
        <v>1.54423406781897</v>
      </c>
      <c r="K448" s="14" t="s">
        <v>17341</v>
      </c>
    </row>
    <row r="449" spans="1:11">
      <c r="A449" s="14" t="s">
        <v>17342</v>
      </c>
      <c r="B449" s="14" t="s">
        <v>17343</v>
      </c>
      <c r="C449" s="14" t="s">
        <v>16090</v>
      </c>
      <c r="D449" s="14">
        <v>3</v>
      </c>
      <c r="E449" s="14">
        <v>1378</v>
      </c>
      <c r="F449" s="14">
        <v>22</v>
      </c>
      <c r="G449" s="14">
        <v>15605</v>
      </c>
      <c r="H449" s="14">
        <v>0.306860551160191</v>
      </c>
      <c r="I449" s="14">
        <v>0.911965910022374</v>
      </c>
      <c r="J449" s="14">
        <v>1.54423406781897</v>
      </c>
      <c r="K449" s="14" t="s">
        <v>17344</v>
      </c>
    </row>
    <row r="450" spans="1:11">
      <c r="A450" s="14" t="s">
        <v>17345</v>
      </c>
      <c r="B450" s="14" t="s">
        <v>17346</v>
      </c>
      <c r="C450" s="14" t="s">
        <v>16090</v>
      </c>
      <c r="D450" s="14">
        <v>3</v>
      </c>
      <c r="E450" s="14">
        <v>1378</v>
      </c>
      <c r="F450" s="14">
        <v>22</v>
      </c>
      <c r="G450" s="14">
        <v>15605</v>
      </c>
      <c r="H450" s="14">
        <v>0.306860551160191</v>
      </c>
      <c r="I450" s="14">
        <v>0.911965910022374</v>
      </c>
      <c r="J450" s="14">
        <v>1.54423406781897</v>
      </c>
      <c r="K450" s="14" t="s">
        <v>17347</v>
      </c>
    </row>
    <row r="451" spans="1:11">
      <c r="A451" s="14" t="s">
        <v>17348</v>
      </c>
      <c r="B451" s="14" t="s">
        <v>17349</v>
      </c>
      <c r="C451" s="14" t="s">
        <v>16090</v>
      </c>
      <c r="D451" s="14">
        <v>3</v>
      </c>
      <c r="E451" s="14">
        <v>1378</v>
      </c>
      <c r="F451" s="14">
        <v>22</v>
      </c>
      <c r="G451" s="14">
        <v>15605</v>
      </c>
      <c r="H451" s="14">
        <v>0.306860551160191</v>
      </c>
      <c r="I451" s="14">
        <v>0.911965910022374</v>
      </c>
      <c r="J451" s="14">
        <v>1.54423406781897</v>
      </c>
      <c r="K451" s="14" t="s">
        <v>17350</v>
      </c>
    </row>
    <row r="452" spans="1:11">
      <c r="A452" s="14" t="s">
        <v>17351</v>
      </c>
      <c r="B452" s="14" t="s">
        <v>17352</v>
      </c>
      <c r="C452" s="14" t="s">
        <v>16090</v>
      </c>
      <c r="D452" s="14">
        <v>3</v>
      </c>
      <c r="E452" s="14">
        <v>1378</v>
      </c>
      <c r="F452" s="14">
        <v>22</v>
      </c>
      <c r="G452" s="14">
        <v>15605</v>
      </c>
      <c r="H452" s="14">
        <v>0.306860551160191</v>
      </c>
      <c r="I452" s="14">
        <v>0.911965910022374</v>
      </c>
      <c r="J452" s="14">
        <v>1.54423406781897</v>
      </c>
      <c r="K452" s="14" t="s">
        <v>17353</v>
      </c>
    </row>
    <row r="453" spans="1:11">
      <c r="A453" s="14" t="s">
        <v>17354</v>
      </c>
      <c r="B453" s="14" t="s">
        <v>17355</v>
      </c>
      <c r="C453" s="14" t="s">
        <v>16086</v>
      </c>
      <c r="D453" s="14">
        <v>11</v>
      </c>
      <c r="E453" s="14">
        <v>1378</v>
      </c>
      <c r="F453" s="14">
        <v>104</v>
      </c>
      <c r="G453" s="14">
        <v>15605</v>
      </c>
      <c r="H453" s="14">
        <v>0.310872517063592</v>
      </c>
      <c r="I453" s="14">
        <v>0.911965910022374</v>
      </c>
      <c r="J453" s="14">
        <v>1.19777129619292</v>
      </c>
      <c r="K453" s="14" t="s">
        <v>17356</v>
      </c>
    </row>
    <row r="454" spans="1:11">
      <c r="A454" s="14" t="s">
        <v>17357</v>
      </c>
      <c r="B454" s="14" t="s">
        <v>17358</v>
      </c>
      <c r="C454" s="14" t="s">
        <v>16090</v>
      </c>
      <c r="D454" s="14">
        <v>4</v>
      </c>
      <c r="E454" s="14">
        <v>1378</v>
      </c>
      <c r="F454" s="14">
        <v>32</v>
      </c>
      <c r="G454" s="14">
        <v>15605</v>
      </c>
      <c r="H454" s="14">
        <v>0.311729692535711</v>
      </c>
      <c r="I454" s="14">
        <v>0.911965910022374</v>
      </c>
      <c r="J454" s="14">
        <v>1.41554789550073</v>
      </c>
      <c r="K454" s="14" t="s">
        <v>17359</v>
      </c>
    </row>
    <row r="455" spans="1:11">
      <c r="A455" s="14" t="s">
        <v>2882</v>
      </c>
      <c r="B455" s="14" t="s">
        <v>2883</v>
      </c>
      <c r="C455" s="14" t="s">
        <v>16086</v>
      </c>
      <c r="D455" s="14">
        <v>4</v>
      </c>
      <c r="E455" s="14">
        <v>1378</v>
      </c>
      <c r="F455" s="14">
        <v>32</v>
      </c>
      <c r="G455" s="14">
        <v>15605</v>
      </c>
      <c r="H455" s="14">
        <v>0.311729692535711</v>
      </c>
      <c r="I455" s="14">
        <v>0.911965910022374</v>
      </c>
      <c r="J455" s="14">
        <v>1.41554789550073</v>
      </c>
      <c r="K455" s="14" t="s">
        <v>17360</v>
      </c>
    </row>
    <row r="456" spans="1:11">
      <c r="A456" s="14" t="s">
        <v>17361</v>
      </c>
      <c r="B456" s="14" t="s">
        <v>17362</v>
      </c>
      <c r="C456" s="14" t="s">
        <v>16096</v>
      </c>
      <c r="D456" s="14">
        <v>4</v>
      </c>
      <c r="E456" s="14">
        <v>1378</v>
      </c>
      <c r="F456" s="14">
        <v>32</v>
      </c>
      <c r="G456" s="14">
        <v>15605</v>
      </c>
      <c r="H456" s="14">
        <v>0.311729692535711</v>
      </c>
      <c r="I456" s="14">
        <v>0.911965910022374</v>
      </c>
      <c r="J456" s="14">
        <v>1.41554789550073</v>
      </c>
      <c r="K456" s="14" t="s">
        <v>17363</v>
      </c>
    </row>
    <row r="457" spans="1:11">
      <c r="A457" s="14" t="s">
        <v>17364</v>
      </c>
      <c r="B457" s="14" t="s">
        <v>17365</v>
      </c>
      <c r="C457" s="14" t="s">
        <v>16086</v>
      </c>
      <c r="D457" s="14">
        <v>2</v>
      </c>
      <c r="E457" s="14">
        <v>1378</v>
      </c>
      <c r="F457" s="14">
        <v>13</v>
      </c>
      <c r="G457" s="14">
        <v>15605</v>
      </c>
      <c r="H457" s="14">
        <v>0.320821029895641</v>
      </c>
      <c r="I457" s="14">
        <v>0.911965910022374</v>
      </c>
      <c r="J457" s="14">
        <v>1.74221279446243</v>
      </c>
      <c r="K457" s="14" t="s">
        <v>16722</v>
      </c>
    </row>
    <row r="458" spans="1:11">
      <c r="A458" s="14" t="s">
        <v>17366</v>
      </c>
      <c r="B458" s="14" t="s">
        <v>17367</v>
      </c>
      <c r="C458" s="14" t="s">
        <v>16090</v>
      </c>
      <c r="D458" s="14">
        <v>2</v>
      </c>
      <c r="E458" s="14">
        <v>1378</v>
      </c>
      <c r="F458" s="14">
        <v>13</v>
      </c>
      <c r="G458" s="14">
        <v>15605</v>
      </c>
      <c r="H458" s="14">
        <v>0.320821029895641</v>
      </c>
      <c r="I458" s="14">
        <v>0.911965910022374</v>
      </c>
      <c r="J458" s="14">
        <v>1.74221279446243</v>
      </c>
      <c r="K458" s="14" t="s">
        <v>17368</v>
      </c>
    </row>
    <row r="459" spans="1:11">
      <c r="A459" s="14" t="s">
        <v>17369</v>
      </c>
      <c r="B459" s="14" t="s">
        <v>17370</v>
      </c>
      <c r="C459" s="14" t="s">
        <v>16090</v>
      </c>
      <c r="D459" s="14">
        <v>2</v>
      </c>
      <c r="E459" s="14">
        <v>1378</v>
      </c>
      <c r="F459" s="14">
        <v>13</v>
      </c>
      <c r="G459" s="14">
        <v>15605</v>
      </c>
      <c r="H459" s="14">
        <v>0.320821029895641</v>
      </c>
      <c r="I459" s="14">
        <v>0.911965910022374</v>
      </c>
      <c r="J459" s="14">
        <v>1.74221279446243</v>
      </c>
      <c r="K459" s="14" t="s">
        <v>17371</v>
      </c>
    </row>
    <row r="460" spans="1:11">
      <c r="A460" s="14" t="s">
        <v>17372</v>
      </c>
      <c r="B460" s="14" t="s">
        <v>17373</v>
      </c>
      <c r="C460" s="14" t="s">
        <v>16090</v>
      </c>
      <c r="D460" s="14">
        <v>2</v>
      </c>
      <c r="E460" s="14">
        <v>1378</v>
      </c>
      <c r="F460" s="14">
        <v>13</v>
      </c>
      <c r="G460" s="14">
        <v>15605</v>
      </c>
      <c r="H460" s="14">
        <v>0.320821029895641</v>
      </c>
      <c r="I460" s="14">
        <v>0.911965910022374</v>
      </c>
      <c r="J460" s="14">
        <v>1.74221279446243</v>
      </c>
      <c r="K460" s="14" t="s">
        <v>17374</v>
      </c>
    </row>
    <row r="461" spans="1:11">
      <c r="A461" s="14" t="s">
        <v>17375</v>
      </c>
      <c r="B461" s="14" t="s">
        <v>17376</v>
      </c>
      <c r="C461" s="14" t="s">
        <v>16090</v>
      </c>
      <c r="D461" s="14">
        <v>2</v>
      </c>
      <c r="E461" s="14">
        <v>1378</v>
      </c>
      <c r="F461" s="14">
        <v>13</v>
      </c>
      <c r="G461" s="14">
        <v>15605</v>
      </c>
      <c r="H461" s="14">
        <v>0.320821029895641</v>
      </c>
      <c r="I461" s="14">
        <v>0.911965910022374</v>
      </c>
      <c r="J461" s="14">
        <v>1.74221279446243</v>
      </c>
      <c r="K461" s="14" t="s">
        <v>17377</v>
      </c>
    </row>
    <row r="462" spans="1:11">
      <c r="A462" s="14" t="s">
        <v>17378</v>
      </c>
      <c r="B462" s="14" t="s">
        <v>17379</v>
      </c>
      <c r="C462" s="14" t="s">
        <v>16090</v>
      </c>
      <c r="D462" s="14">
        <v>2</v>
      </c>
      <c r="E462" s="14">
        <v>1378</v>
      </c>
      <c r="F462" s="14">
        <v>13</v>
      </c>
      <c r="G462" s="14">
        <v>15605</v>
      </c>
      <c r="H462" s="14">
        <v>0.320821029895641</v>
      </c>
      <c r="I462" s="14">
        <v>0.911965910022374</v>
      </c>
      <c r="J462" s="14">
        <v>1.74221279446243</v>
      </c>
      <c r="K462" s="14" t="s">
        <v>17380</v>
      </c>
    </row>
    <row r="463" spans="1:11">
      <c r="A463" s="14" t="s">
        <v>17381</v>
      </c>
      <c r="B463" s="14" t="s">
        <v>17382</v>
      </c>
      <c r="C463" s="14" t="s">
        <v>16090</v>
      </c>
      <c r="D463" s="14">
        <v>2</v>
      </c>
      <c r="E463" s="14">
        <v>1378</v>
      </c>
      <c r="F463" s="14">
        <v>13</v>
      </c>
      <c r="G463" s="14">
        <v>15605</v>
      </c>
      <c r="H463" s="14">
        <v>0.320821029895641</v>
      </c>
      <c r="I463" s="14">
        <v>0.911965910022374</v>
      </c>
      <c r="J463" s="14">
        <v>1.74221279446243</v>
      </c>
      <c r="K463" s="14" t="s">
        <v>17383</v>
      </c>
    </row>
    <row r="464" spans="1:11">
      <c r="A464" s="14" t="s">
        <v>17384</v>
      </c>
      <c r="B464" s="14" t="s">
        <v>17385</v>
      </c>
      <c r="C464" s="14" t="s">
        <v>16090</v>
      </c>
      <c r="D464" s="14">
        <v>2</v>
      </c>
      <c r="E464" s="14">
        <v>1378</v>
      </c>
      <c r="F464" s="14">
        <v>13</v>
      </c>
      <c r="G464" s="14">
        <v>15605</v>
      </c>
      <c r="H464" s="14">
        <v>0.320821029895641</v>
      </c>
      <c r="I464" s="14">
        <v>0.911965910022374</v>
      </c>
      <c r="J464" s="14">
        <v>1.74221279446243</v>
      </c>
      <c r="K464" s="14" t="s">
        <v>17386</v>
      </c>
    </row>
    <row r="465" spans="1:11">
      <c r="A465" s="14" t="s">
        <v>17387</v>
      </c>
      <c r="B465" s="14" t="s">
        <v>17388</v>
      </c>
      <c r="C465" s="14" t="s">
        <v>16090</v>
      </c>
      <c r="D465" s="14">
        <v>2</v>
      </c>
      <c r="E465" s="14">
        <v>1378</v>
      </c>
      <c r="F465" s="14">
        <v>13</v>
      </c>
      <c r="G465" s="14">
        <v>15605</v>
      </c>
      <c r="H465" s="14">
        <v>0.320821029895641</v>
      </c>
      <c r="I465" s="14">
        <v>0.911965910022374</v>
      </c>
      <c r="J465" s="14">
        <v>1.74221279446243</v>
      </c>
      <c r="K465" s="14" t="s">
        <v>17389</v>
      </c>
    </row>
    <row r="466" spans="1:11">
      <c r="A466" s="14" t="s">
        <v>17390</v>
      </c>
      <c r="B466" s="14" t="s">
        <v>17391</v>
      </c>
      <c r="C466" s="14" t="s">
        <v>16090</v>
      </c>
      <c r="D466" s="14">
        <v>2</v>
      </c>
      <c r="E466" s="14">
        <v>1378</v>
      </c>
      <c r="F466" s="14">
        <v>13</v>
      </c>
      <c r="G466" s="14">
        <v>15605</v>
      </c>
      <c r="H466" s="14">
        <v>0.320821029895641</v>
      </c>
      <c r="I466" s="14">
        <v>0.911965910022374</v>
      </c>
      <c r="J466" s="14">
        <v>1.74221279446243</v>
      </c>
      <c r="K466" s="14" t="s">
        <v>17392</v>
      </c>
    </row>
    <row r="467" spans="1:11">
      <c r="A467" s="14" t="s">
        <v>17393</v>
      </c>
      <c r="B467" s="14" t="s">
        <v>17394</v>
      </c>
      <c r="C467" s="14" t="s">
        <v>16086</v>
      </c>
      <c r="D467" s="14">
        <v>208</v>
      </c>
      <c r="E467" s="14">
        <v>1378</v>
      </c>
      <c r="F467" s="14">
        <v>2285</v>
      </c>
      <c r="G467" s="14">
        <v>15605</v>
      </c>
      <c r="H467" s="14">
        <v>0.321750792399469</v>
      </c>
      <c r="I467" s="14">
        <v>0.911965910022374</v>
      </c>
      <c r="J467" s="14">
        <v>1.03084100573882</v>
      </c>
      <c r="K467" s="14" t="s">
        <v>17395</v>
      </c>
    </row>
    <row r="468" spans="1:11">
      <c r="A468" s="14" t="s">
        <v>17396</v>
      </c>
      <c r="B468" s="14" t="s">
        <v>17397</v>
      </c>
      <c r="C468" s="14" t="s">
        <v>16090</v>
      </c>
      <c r="D468" s="14">
        <v>5</v>
      </c>
      <c r="E468" s="14">
        <v>1378</v>
      </c>
      <c r="F468" s="14">
        <v>43</v>
      </c>
      <c r="G468" s="14">
        <v>15605</v>
      </c>
      <c r="H468" s="14">
        <v>0.329502599963095</v>
      </c>
      <c r="I468" s="14">
        <v>0.911965910022374</v>
      </c>
      <c r="J468" s="14">
        <v>1.31678874000068</v>
      </c>
      <c r="K468" s="14" t="s">
        <v>17398</v>
      </c>
    </row>
    <row r="469" spans="1:11">
      <c r="A469" s="14" t="s">
        <v>17399</v>
      </c>
      <c r="B469" s="14" t="s">
        <v>17400</v>
      </c>
      <c r="C469" s="14" t="s">
        <v>16086</v>
      </c>
      <c r="D469" s="14">
        <v>5</v>
      </c>
      <c r="E469" s="14">
        <v>1378</v>
      </c>
      <c r="F469" s="14">
        <v>43</v>
      </c>
      <c r="G469" s="14">
        <v>15605</v>
      </c>
      <c r="H469" s="14">
        <v>0.329502599963095</v>
      </c>
      <c r="I469" s="14">
        <v>0.911965910022374</v>
      </c>
      <c r="J469" s="14">
        <v>1.31678874000068</v>
      </c>
      <c r="K469" s="14" t="s">
        <v>17401</v>
      </c>
    </row>
    <row r="470" spans="1:11">
      <c r="A470" s="14" t="s">
        <v>17402</v>
      </c>
      <c r="B470" s="14" t="s">
        <v>17403</v>
      </c>
      <c r="C470" s="14" t="s">
        <v>16096</v>
      </c>
      <c r="D470" s="14">
        <v>3</v>
      </c>
      <c r="E470" s="14">
        <v>1378</v>
      </c>
      <c r="F470" s="14">
        <v>23</v>
      </c>
      <c r="G470" s="14">
        <v>15605</v>
      </c>
      <c r="H470" s="14">
        <v>0.331913295820889</v>
      </c>
      <c r="I470" s="14">
        <v>0.911965910022374</v>
      </c>
      <c r="J470" s="14">
        <v>1.47709345617467</v>
      </c>
      <c r="K470" s="14" t="s">
        <v>17404</v>
      </c>
    </row>
    <row r="471" spans="1:11">
      <c r="A471" s="14" t="s">
        <v>17405</v>
      </c>
      <c r="B471" s="14" t="s">
        <v>17406</v>
      </c>
      <c r="C471" s="14" t="s">
        <v>16090</v>
      </c>
      <c r="D471" s="14">
        <v>3</v>
      </c>
      <c r="E471" s="14">
        <v>1378</v>
      </c>
      <c r="F471" s="14">
        <v>23</v>
      </c>
      <c r="G471" s="14">
        <v>15605</v>
      </c>
      <c r="H471" s="14">
        <v>0.331913295820889</v>
      </c>
      <c r="I471" s="14">
        <v>0.911965910022374</v>
      </c>
      <c r="J471" s="14">
        <v>1.47709345617467</v>
      </c>
      <c r="K471" s="14" t="s">
        <v>17407</v>
      </c>
    </row>
    <row r="472" spans="1:11">
      <c r="A472" s="14" t="s">
        <v>17408</v>
      </c>
      <c r="B472" s="14" t="s">
        <v>17409</v>
      </c>
      <c r="C472" s="14" t="s">
        <v>16090</v>
      </c>
      <c r="D472" s="14">
        <v>3</v>
      </c>
      <c r="E472" s="14">
        <v>1378</v>
      </c>
      <c r="F472" s="14">
        <v>23</v>
      </c>
      <c r="G472" s="14">
        <v>15605</v>
      </c>
      <c r="H472" s="14">
        <v>0.331913295820889</v>
      </c>
      <c r="I472" s="14">
        <v>0.911965910022374</v>
      </c>
      <c r="J472" s="14">
        <v>1.47709345617467</v>
      </c>
      <c r="K472" s="14" t="s">
        <v>17410</v>
      </c>
    </row>
    <row r="473" spans="1:11">
      <c r="A473" s="14" t="s">
        <v>11318</v>
      </c>
      <c r="B473" s="14" t="s">
        <v>11319</v>
      </c>
      <c r="C473" s="14" t="s">
        <v>16086</v>
      </c>
      <c r="D473" s="14">
        <v>4</v>
      </c>
      <c r="E473" s="14">
        <v>1378</v>
      </c>
      <c r="F473" s="14">
        <v>33</v>
      </c>
      <c r="G473" s="14">
        <v>15605</v>
      </c>
      <c r="H473" s="14">
        <v>0.332405900905507</v>
      </c>
      <c r="I473" s="14">
        <v>0.911965910022374</v>
      </c>
      <c r="J473" s="14">
        <v>1.37265250472798</v>
      </c>
      <c r="K473" s="14" t="s">
        <v>17411</v>
      </c>
    </row>
    <row r="474" spans="1:11">
      <c r="A474" s="14" t="s">
        <v>17412</v>
      </c>
      <c r="B474" s="14" t="s">
        <v>17413</v>
      </c>
      <c r="C474" s="14" t="s">
        <v>16090</v>
      </c>
      <c r="D474" s="14">
        <v>6</v>
      </c>
      <c r="E474" s="14">
        <v>1378</v>
      </c>
      <c r="F474" s="14">
        <v>54</v>
      </c>
      <c r="G474" s="14">
        <v>15605</v>
      </c>
      <c r="H474" s="14">
        <v>0.341344409684802</v>
      </c>
      <c r="I474" s="14">
        <v>0.911965910022374</v>
      </c>
      <c r="J474" s="14">
        <v>1.25826479600065</v>
      </c>
      <c r="K474" s="14" t="s">
        <v>17414</v>
      </c>
    </row>
    <row r="475" spans="1:11">
      <c r="A475" s="14" t="s">
        <v>17415</v>
      </c>
      <c r="B475" s="14" t="s">
        <v>17416</v>
      </c>
      <c r="C475" s="14" t="s">
        <v>16090</v>
      </c>
      <c r="D475" s="14">
        <v>5</v>
      </c>
      <c r="E475" s="14">
        <v>1378</v>
      </c>
      <c r="F475" s="14">
        <v>44</v>
      </c>
      <c r="G475" s="14">
        <v>15605</v>
      </c>
      <c r="H475" s="14">
        <v>0.347531414031429</v>
      </c>
      <c r="I475" s="14">
        <v>0.911965910022374</v>
      </c>
      <c r="J475" s="14">
        <v>1.28686172318248</v>
      </c>
      <c r="K475" s="14" t="s">
        <v>17417</v>
      </c>
    </row>
    <row r="476" spans="1:11">
      <c r="A476" s="14" t="s">
        <v>17418</v>
      </c>
      <c r="B476" s="14" t="s">
        <v>17419</v>
      </c>
      <c r="C476" s="14" t="s">
        <v>16090</v>
      </c>
      <c r="D476" s="14">
        <v>7</v>
      </c>
      <c r="E476" s="14">
        <v>1378</v>
      </c>
      <c r="F476" s="14">
        <v>65</v>
      </c>
      <c r="G476" s="14">
        <v>15605</v>
      </c>
      <c r="H476" s="14">
        <v>0.34978107418684</v>
      </c>
      <c r="I476" s="14">
        <v>0.911965910022374</v>
      </c>
      <c r="J476" s="14">
        <v>1.2195489561237</v>
      </c>
      <c r="K476" s="14" t="s">
        <v>17420</v>
      </c>
    </row>
    <row r="477" spans="1:11">
      <c r="A477" s="14" t="s">
        <v>17421</v>
      </c>
      <c r="B477" s="14" t="s">
        <v>17422</v>
      </c>
      <c r="C477" s="14" t="s">
        <v>16086</v>
      </c>
      <c r="D477" s="14">
        <v>10</v>
      </c>
      <c r="E477" s="14">
        <v>1378</v>
      </c>
      <c r="F477" s="14">
        <v>97</v>
      </c>
      <c r="G477" s="14">
        <v>15605</v>
      </c>
      <c r="H477" s="14">
        <v>0.352561428354607</v>
      </c>
      <c r="I477" s="14">
        <v>0.911965910022374</v>
      </c>
      <c r="J477" s="14">
        <v>1.16746218185627</v>
      </c>
      <c r="K477" s="14" t="s">
        <v>17423</v>
      </c>
    </row>
    <row r="478" spans="1:11">
      <c r="A478" s="14" t="s">
        <v>17424</v>
      </c>
      <c r="B478" s="14" t="s">
        <v>17425</v>
      </c>
      <c r="C478" s="14" t="s">
        <v>16090</v>
      </c>
      <c r="D478" s="14">
        <v>4</v>
      </c>
      <c r="E478" s="14">
        <v>1378</v>
      </c>
      <c r="F478" s="14">
        <v>34</v>
      </c>
      <c r="G478" s="14">
        <v>15605</v>
      </c>
      <c r="H478" s="14">
        <v>0.353142921652861</v>
      </c>
      <c r="I478" s="14">
        <v>0.911965910022374</v>
      </c>
      <c r="J478" s="14">
        <v>1.33228037223598</v>
      </c>
      <c r="K478" s="14" t="s">
        <v>17426</v>
      </c>
    </row>
    <row r="479" spans="1:11">
      <c r="A479" s="14" t="s">
        <v>17427</v>
      </c>
      <c r="B479" s="14" t="s">
        <v>17428</v>
      </c>
      <c r="C479" s="14" t="s">
        <v>16086</v>
      </c>
      <c r="D479" s="14">
        <v>2</v>
      </c>
      <c r="E479" s="14">
        <v>1378</v>
      </c>
      <c r="F479" s="14">
        <v>14</v>
      </c>
      <c r="G479" s="14">
        <v>15605</v>
      </c>
      <c r="H479" s="14">
        <v>0.35426452864064</v>
      </c>
      <c r="I479" s="14">
        <v>0.911965910022374</v>
      </c>
      <c r="J479" s="14">
        <v>1.6177690234294</v>
      </c>
      <c r="K479" s="14" t="s">
        <v>17429</v>
      </c>
    </row>
    <row r="480" spans="1:11">
      <c r="A480" s="14" t="s">
        <v>17430</v>
      </c>
      <c r="B480" s="14" t="s">
        <v>17431</v>
      </c>
      <c r="C480" s="14" t="s">
        <v>16090</v>
      </c>
      <c r="D480" s="14">
        <v>2</v>
      </c>
      <c r="E480" s="14">
        <v>1378</v>
      </c>
      <c r="F480" s="14">
        <v>14</v>
      </c>
      <c r="G480" s="14">
        <v>15605</v>
      </c>
      <c r="H480" s="14">
        <v>0.35426452864064</v>
      </c>
      <c r="I480" s="14">
        <v>0.911965910022374</v>
      </c>
      <c r="J480" s="14">
        <v>1.6177690234294</v>
      </c>
      <c r="K480" s="14" t="s">
        <v>17432</v>
      </c>
    </row>
    <row r="481" spans="1:11">
      <c r="A481" s="14" t="s">
        <v>17433</v>
      </c>
      <c r="B481" s="14" t="s">
        <v>17434</v>
      </c>
      <c r="C481" s="14" t="s">
        <v>16090</v>
      </c>
      <c r="D481" s="14">
        <v>2</v>
      </c>
      <c r="E481" s="14">
        <v>1378</v>
      </c>
      <c r="F481" s="14">
        <v>14</v>
      </c>
      <c r="G481" s="14">
        <v>15605</v>
      </c>
      <c r="H481" s="14">
        <v>0.35426452864064</v>
      </c>
      <c r="I481" s="14">
        <v>0.911965910022374</v>
      </c>
      <c r="J481" s="14">
        <v>1.6177690234294</v>
      </c>
      <c r="K481" s="14" t="s">
        <v>17435</v>
      </c>
    </row>
    <row r="482" spans="1:11">
      <c r="A482" s="14" t="s">
        <v>17436</v>
      </c>
      <c r="B482" s="14" t="s">
        <v>17437</v>
      </c>
      <c r="C482" s="14" t="s">
        <v>16090</v>
      </c>
      <c r="D482" s="14">
        <v>2</v>
      </c>
      <c r="E482" s="14">
        <v>1378</v>
      </c>
      <c r="F482" s="14">
        <v>14</v>
      </c>
      <c r="G482" s="14">
        <v>15605</v>
      </c>
      <c r="H482" s="14">
        <v>0.35426452864064</v>
      </c>
      <c r="I482" s="14">
        <v>0.911965910022374</v>
      </c>
      <c r="J482" s="14">
        <v>1.6177690234294</v>
      </c>
      <c r="K482" s="14" t="s">
        <v>17438</v>
      </c>
    </row>
    <row r="483" spans="1:11">
      <c r="A483" s="14" t="s">
        <v>17439</v>
      </c>
      <c r="B483" s="14" t="s">
        <v>17440</v>
      </c>
      <c r="C483" s="14" t="s">
        <v>16090</v>
      </c>
      <c r="D483" s="14">
        <v>2</v>
      </c>
      <c r="E483" s="14">
        <v>1378</v>
      </c>
      <c r="F483" s="14">
        <v>14</v>
      </c>
      <c r="G483" s="14">
        <v>15605</v>
      </c>
      <c r="H483" s="14">
        <v>0.35426452864064</v>
      </c>
      <c r="I483" s="14">
        <v>0.911965910022374</v>
      </c>
      <c r="J483" s="14">
        <v>1.6177690234294</v>
      </c>
      <c r="K483" s="14" t="s">
        <v>16632</v>
      </c>
    </row>
    <row r="484" spans="1:11">
      <c r="A484" s="14" t="s">
        <v>17441</v>
      </c>
      <c r="B484" s="14" t="s">
        <v>17442</v>
      </c>
      <c r="C484" s="14" t="s">
        <v>16096</v>
      </c>
      <c r="D484" s="14">
        <v>2</v>
      </c>
      <c r="E484" s="14">
        <v>1378</v>
      </c>
      <c r="F484" s="14">
        <v>14</v>
      </c>
      <c r="G484" s="14">
        <v>15605</v>
      </c>
      <c r="H484" s="14">
        <v>0.35426452864064</v>
      </c>
      <c r="I484" s="14">
        <v>0.911965910022374</v>
      </c>
      <c r="J484" s="14">
        <v>1.6177690234294</v>
      </c>
      <c r="K484" s="14" t="s">
        <v>17443</v>
      </c>
    </row>
    <row r="485" spans="1:11">
      <c r="A485" s="14" t="s">
        <v>17444</v>
      </c>
      <c r="B485" s="14" t="s">
        <v>17445</v>
      </c>
      <c r="C485" s="14" t="s">
        <v>16086</v>
      </c>
      <c r="D485" s="14">
        <v>2</v>
      </c>
      <c r="E485" s="14">
        <v>1378</v>
      </c>
      <c r="F485" s="14">
        <v>14</v>
      </c>
      <c r="G485" s="14">
        <v>15605</v>
      </c>
      <c r="H485" s="14">
        <v>0.35426452864064</v>
      </c>
      <c r="I485" s="14">
        <v>0.911965910022374</v>
      </c>
      <c r="J485" s="14">
        <v>1.6177690234294</v>
      </c>
      <c r="K485" s="14" t="s">
        <v>17223</v>
      </c>
    </row>
    <row r="486" spans="1:11">
      <c r="A486" s="14" t="s">
        <v>17446</v>
      </c>
      <c r="B486" s="14" t="s">
        <v>17447</v>
      </c>
      <c r="C486" s="14" t="s">
        <v>16086</v>
      </c>
      <c r="D486" s="14">
        <v>2</v>
      </c>
      <c r="E486" s="14">
        <v>1378</v>
      </c>
      <c r="F486" s="14">
        <v>14</v>
      </c>
      <c r="G486" s="14">
        <v>15605</v>
      </c>
      <c r="H486" s="14">
        <v>0.35426452864064</v>
      </c>
      <c r="I486" s="14">
        <v>0.911965910022374</v>
      </c>
      <c r="J486" s="14">
        <v>1.6177690234294</v>
      </c>
      <c r="K486" s="14" t="s">
        <v>17448</v>
      </c>
    </row>
    <row r="487" spans="1:11">
      <c r="A487" s="14" t="s">
        <v>17449</v>
      </c>
      <c r="B487" s="14" t="s">
        <v>17450</v>
      </c>
      <c r="C487" s="14" t="s">
        <v>16086</v>
      </c>
      <c r="D487" s="14">
        <v>2</v>
      </c>
      <c r="E487" s="14">
        <v>1378</v>
      </c>
      <c r="F487" s="14">
        <v>14</v>
      </c>
      <c r="G487" s="14">
        <v>15605</v>
      </c>
      <c r="H487" s="14">
        <v>0.35426452864064</v>
      </c>
      <c r="I487" s="14">
        <v>0.911965910022374</v>
      </c>
      <c r="J487" s="14">
        <v>1.6177690234294</v>
      </c>
      <c r="K487" s="14" t="s">
        <v>17451</v>
      </c>
    </row>
    <row r="488" spans="1:11">
      <c r="A488" s="14" t="s">
        <v>17452</v>
      </c>
      <c r="B488" s="14" t="s">
        <v>17453</v>
      </c>
      <c r="C488" s="14" t="s">
        <v>16090</v>
      </c>
      <c r="D488" s="14">
        <v>2</v>
      </c>
      <c r="E488" s="14">
        <v>1378</v>
      </c>
      <c r="F488" s="14">
        <v>14</v>
      </c>
      <c r="G488" s="14">
        <v>15605</v>
      </c>
      <c r="H488" s="14">
        <v>0.35426452864064</v>
      </c>
      <c r="I488" s="14">
        <v>0.911965910022374</v>
      </c>
      <c r="J488" s="14">
        <v>1.6177690234294</v>
      </c>
      <c r="K488" s="14" t="s">
        <v>17454</v>
      </c>
    </row>
    <row r="489" spans="1:11">
      <c r="A489" s="14" t="s">
        <v>17455</v>
      </c>
      <c r="B489" s="14" t="s">
        <v>17456</v>
      </c>
      <c r="C489" s="14" t="s">
        <v>16090</v>
      </c>
      <c r="D489" s="14">
        <v>2</v>
      </c>
      <c r="E489" s="14">
        <v>1378</v>
      </c>
      <c r="F489" s="14">
        <v>14</v>
      </c>
      <c r="G489" s="14">
        <v>15605</v>
      </c>
      <c r="H489" s="14">
        <v>0.35426452864064</v>
      </c>
      <c r="I489" s="14">
        <v>0.911965910022374</v>
      </c>
      <c r="J489" s="14">
        <v>1.6177690234294</v>
      </c>
      <c r="K489" s="14" t="s">
        <v>17457</v>
      </c>
    </row>
    <row r="490" spans="1:11">
      <c r="A490" s="14" t="s">
        <v>17458</v>
      </c>
      <c r="B490" s="14" t="s">
        <v>17459</v>
      </c>
      <c r="C490" s="14" t="s">
        <v>16086</v>
      </c>
      <c r="D490" s="14">
        <v>2</v>
      </c>
      <c r="E490" s="14">
        <v>1378</v>
      </c>
      <c r="F490" s="14">
        <v>14</v>
      </c>
      <c r="G490" s="14">
        <v>15605</v>
      </c>
      <c r="H490" s="14">
        <v>0.35426452864064</v>
      </c>
      <c r="I490" s="14">
        <v>0.911965910022374</v>
      </c>
      <c r="J490" s="14">
        <v>1.6177690234294</v>
      </c>
      <c r="K490" s="14" t="s">
        <v>17460</v>
      </c>
    </row>
    <row r="491" spans="1:11">
      <c r="A491" s="14" t="s">
        <v>17461</v>
      </c>
      <c r="B491" s="14" t="s">
        <v>17462</v>
      </c>
      <c r="C491" s="14" t="s">
        <v>16086</v>
      </c>
      <c r="D491" s="14">
        <v>2</v>
      </c>
      <c r="E491" s="14">
        <v>1378</v>
      </c>
      <c r="F491" s="14">
        <v>14</v>
      </c>
      <c r="G491" s="14">
        <v>15605</v>
      </c>
      <c r="H491" s="14">
        <v>0.35426452864064</v>
      </c>
      <c r="I491" s="14">
        <v>0.911965910022374</v>
      </c>
      <c r="J491" s="14">
        <v>1.6177690234294</v>
      </c>
      <c r="K491" s="14" t="s">
        <v>17463</v>
      </c>
    </row>
    <row r="492" spans="1:11">
      <c r="A492" s="14" t="s">
        <v>17464</v>
      </c>
      <c r="B492" s="14" t="s">
        <v>17465</v>
      </c>
      <c r="C492" s="14" t="s">
        <v>16090</v>
      </c>
      <c r="D492" s="14">
        <v>2</v>
      </c>
      <c r="E492" s="14">
        <v>1378</v>
      </c>
      <c r="F492" s="14">
        <v>14</v>
      </c>
      <c r="G492" s="14">
        <v>15605</v>
      </c>
      <c r="H492" s="14">
        <v>0.35426452864064</v>
      </c>
      <c r="I492" s="14">
        <v>0.911965910022374</v>
      </c>
      <c r="J492" s="14">
        <v>1.6177690234294</v>
      </c>
      <c r="K492" s="14" t="s">
        <v>16610</v>
      </c>
    </row>
    <row r="493" spans="1:11">
      <c r="A493" s="14" t="s">
        <v>17466</v>
      </c>
      <c r="B493" s="14" t="s">
        <v>17467</v>
      </c>
      <c r="C493" s="14" t="s">
        <v>16090</v>
      </c>
      <c r="D493" s="14">
        <v>3</v>
      </c>
      <c r="E493" s="14">
        <v>1378</v>
      </c>
      <c r="F493" s="14">
        <v>24</v>
      </c>
      <c r="G493" s="14">
        <v>15605</v>
      </c>
      <c r="H493" s="14">
        <v>0.356930745436363</v>
      </c>
      <c r="I493" s="14">
        <v>0.911965910022374</v>
      </c>
      <c r="J493" s="14">
        <v>1.41554789550073</v>
      </c>
      <c r="K493" s="14" t="s">
        <v>17468</v>
      </c>
    </row>
    <row r="494" spans="1:11">
      <c r="A494" s="14" t="s">
        <v>17469</v>
      </c>
      <c r="B494" s="14" t="s">
        <v>17470</v>
      </c>
      <c r="C494" s="14" t="s">
        <v>16090</v>
      </c>
      <c r="D494" s="14">
        <v>6</v>
      </c>
      <c r="E494" s="14">
        <v>1378</v>
      </c>
      <c r="F494" s="14">
        <v>55</v>
      </c>
      <c r="G494" s="14">
        <v>15605</v>
      </c>
      <c r="H494" s="14">
        <v>0.357535500651415</v>
      </c>
      <c r="I494" s="14">
        <v>0.911965910022374</v>
      </c>
      <c r="J494" s="14">
        <v>1.23538725425518</v>
      </c>
      <c r="K494" s="14" t="s">
        <v>17471</v>
      </c>
    </row>
    <row r="495" spans="1:11">
      <c r="A495" s="14" t="s">
        <v>17472</v>
      </c>
      <c r="B495" s="14" t="s">
        <v>17473</v>
      </c>
      <c r="C495" s="14" t="s">
        <v>16090</v>
      </c>
      <c r="D495" s="14">
        <v>1</v>
      </c>
      <c r="E495" s="14">
        <v>1378</v>
      </c>
      <c r="F495" s="14">
        <v>5</v>
      </c>
      <c r="G495" s="14">
        <v>15605</v>
      </c>
      <c r="H495" s="14">
        <v>0.370173643004874</v>
      </c>
      <c r="I495" s="14">
        <v>0.911965910022374</v>
      </c>
      <c r="J495" s="14">
        <v>2.26487663280116</v>
      </c>
      <c r="K495" s="14" t="s">
        <v>13533</v>
      </c>
    </row>
    <row r="496" spans="1:11">
      <c r="A496" s="14" t="s">
        <v>17474</v>
      </c>
      <c r="B496" s="14" t="s">
        <v>17475</v>
      </c>
      <c r="C496" s="14" t="s">
        <v>16096</v>
      </c>
      <c r="D496" s="14">
        <v>1</v>
      </c>
      <c r="E496" s="14">
        <v>1378</v>
      </c>
      <c r="F496" s="14">
        <v>5</v>
      </c>
      <c r="G496" s="14">
        <v>15605</v>
      </c>
      <c r="H496" s="14">
        <v>0.370173643004874</v>
      </c>
      <c r="I496" s="14">
        <v>0.911965910022374</v>
      </c>
      <c r="J496" s="14">
        <v>2.26487663280116</v>
      </c>
      <c r="K496" s="14" t="s">
        <v>9220</v>
      </c>
    </row>
    <row r="497" spans="1:11">
      <c r="A497" s="14" t="s">
        <v>17476</v>
      </c>
      <c r="B497" s="14" t="s">
        <v>17477</v>
      </c>
      <c r="C497" s="14" t="s">
        <v>16086</v>
      </c>
      <c r="D497" s="14">
        <v>1</v>
      </c>
      <c r="E497" s="14">
        <v>1378</v>
      </c>
      <c r="F497" s="14">
        <v>5</v>
      </c>
      <c r="G497" s="14">
        <v>15605</v>
      </c>
      <c r="H497" s="14">
        <v>0.370173643004874</v>
      </c>
      <c r="I497" s="14">
        <v>0.911965910022374</v>
      </c>
      <c r="J497" s="14">
        <v>2.26487663280116</v>
      </c>
      <c r="K497" s="14" t="s">
        <v>7152</v>
      </c>
    </row>
    <row r="498" spans="1:11">
      <c r="A498" s="14" t="s">
        <v>17478</v>
      </c>
      <c r="B498" s="14" t="s">
        <v>17479</v>
      </c>
      <c r="C498" s="14" t="s">
        <v>16086</v>
      </c>
      <c r="D498" s="14">
        <v>1</v>
      </c>
      <c r="E498" s="14">
        <v>1378</v>
      </c>
      <c r="F498" s="14">
        <v>5</v>
      </c>
      <c r="G498" s="14">
        <v>15605</v>
      </c>
      <c r="H498" s="14">
        <v>0.370173643004874</v>
      </c>
      <c r="I498" s="14">
        <v>0.911965910022374</v>
      </c>
      <c r="J498" s="14">
        <v>2.26487663280116</v>
      </c>
      <c r="K498" s="14" t="s">
        <v>12096</v>
      </c>
    </row>
    <row r="499" spans="1:11">
      <c r="A499" s="14" t="s">
        <v>17480</v>
      </c>
      <c r="B499" s="14" t="s">
        <v>17481</v>
      </c>
      <c r="C499" s="14" t="s">
        <v>16086</v>
      </c>
      <c r="D499" s="14">
        <v>1</v>
      </c>
      <c r="E499" s="14">
        <v>1378</v>
      </c>
      <c r="F499" s="14">
        <v>5</v>
      </c>
      <c r="G499" s="14">
        <v>15605</v>
      </c>
      <c r="H499" s="14">
        <v>0.370173643004874</v>
      </c>
      <c r="I499" s="14">
        <v>0.911965910022374</v>
      </c>
      <c r="J499" s="14">
        <v>2.26487663280116</v>
      </c>
      <c r="K499" s="14" t="s">
        <v>1178</v>
      </c>
    </row>
    <row r="500" spans="1:11">
      <c r="A500" s="14" t="s">
        <v>17482</v>
      </c>
      <c r="B500" s="14" t="s">
        <v>17483</v>
      </c>
      <c r="C500" s="14" t="s">
        <v>16086</v>
      </c>
      <c r="D500" s="14">
        <v>1</v>
      </c>
      <c r="E500" s="14">
        <v>1378</v>
      </c>
      <c r="F500" s="14">
        <v>5</v>
      </c>
      <c r="G500" s="14">
        <v>15605</v>
      </c>
      <c r="H500" s="14">
        <v>0.370173643004874</v>
      </c>
      <c r="I500" s="14">
        <v>0.911965910022374</v>
      </c>
      <c r="J500" s="14">
        <v>2.26487663280116</v>
      </c>
      <c r="K500" s="14" t="s">
        <v>3236</v>
      </c>
    </row>
    <row r="501" spans="1:11">
      <c r="A501" s="14" t="s">
        <v>17484</v>
      </c>
      <c r="B501" s="14" t="s">
        <v>17485</v>
      </c>
      <c r="C501" s="14" t="s">
        <v>16086</v>
      </c>
      <c r="D501" s="14">
        <v>1</v>
      </c>
      <c r="E501" s="14">
        <v>1378</v>
      </c>
      <c r="F501" s="14">
        <v>5</v>
      </c>
      <c r="G501" s="14">
        <v>15605</v>
      </c>
      <c r="H501" s="14">
        <v>0.370173643004874</v>
      </c>
      <c r="I501" s="14">
        <v>0.911965910022374</v>
      </c>
      <c r="J501" s="14">
        <v>2.26487663280116</v>
      </c>
      <c r="K501" s="14" t="s">
        <v>6344</v>
      </c>
    </row>
    <row r="502" spans="1:11">
      <c r="A502" s="14" t="s">
        <v>17486</v>
      </c>
      <c r="B502" s="14" t="s">
        <v>17487</v>
      </c>
      <c r="C502" s="14" t="s">
        <v>16096</v>
      </c>
      <c r="D502" s="14">
        <v>1</v>
      </c>
      <c r="E502" s="14">
        <v>1378</v>
      </c>
      <c r="F502" s="14">
        <v>5</v>
      </c>
      <c r="G502" s="14">
        <v>15605</v>
      </c>
      <c r="H502" s="14">
        <v>0.370173643004874</v>
      </c>
      <c r="I502" s="14">
        <v>0.911965910022374</v>
      </c>
      <c r="J502" s="14">
        <v>2.26487663280116</v>
      </c>
      <c r="K502" s="14" t="s">
        <v>6439</v>
      </c>
    </row>
    <row r="503" spans="1:11">
      <c r="A503" s="14" t="s">
        <v>17488</v>
      </c>
      <c r="B503" s="14" t="s">
        <v>17489</v>
      </c>
      <c r="C503" s="14" t="s">
        <v>16096</v>
      </c>
      <c r="D503" s="14">
        <v>1</v>
      </c>
      <c r="E503" s="14">
        <v>1378</v>
      </c>
      <c r="F503" s="14">
        <v>5</v>
      </c>
      <c r="G503" s="14">
        <v>15605</v>
      </c>
      <c r="H503" s="14">
        <v>0.370173643004874</v>
      </c>
      <c r="I503" s="14">
        <v>0.911965910022374</v>
      </c>
      <c r="J503" s="14">
        <v>2.26487663280116</v>
      </c>
      <c r="K503" s="14" t="s">
        <v>14971</v>
      </c>
    </row>
    <row r="504" spans="1:11">
      <c r="A504" s="14" t="s">
        <v>17490</v>
      </c>
      <c r="B504" s="14" t="s">
        <v>17491</v>
      </c>
      <c r="C504" s="14" t="s">
        <v>16096</v>
      </c>
      <c r="D504" s="14">
        <v>1</v>
      </c>
      <c r="E504" s="14">
        <v>1378</v>
      </c>
      <c r="F504" s="14">
        <v>5</v>
      </c>
      <c r="G504" s="14">
        <v>15605</v>
      </c>
      <c r="H504" s="14">
        <v>0.370173643004874</v>
      </c>
      <c r="I504" s="14">
        <v>0.911965910022374</v>
      </c>
      <c r="J504" s="14">
        <v>2.26487663280116</v>
      </c>
      <c r="K504" s="14" t="s">
        <v>8032</v>
      </c>
    </row>
    <row r="505" spans="1:11">
      <c r="A505" s="14" t="s">
        <v>17492</v>
      </c>
      <c r="B505" s="14" t="s">
        <v>17493</v>
      </c>
      <c r="C505" s="14" t="s">
        <v>16090</v>
      </c>
      <c r="D505" s="14">
        <v>1</v>
      </c>
      <c r="E505" s="14">
        <v>1378</v>
      </c>
      <c r="F505" s="14">
        <v>5</v>
      </c>
      <c r="G505" s="14">
        <v>15605</v>
      </c>
      <c r="H505" s="14">
        <v>0.370173643004874</v>
      </c>
      <c r="I505" s="14">
        <v>0.911965910022374</v>
      </c>
      <c r="J505" s="14">
        <v>2.26487663280116</v>
      </c>
      <c r="K505" s="14" t="s">
        <v>5528</v>
      </c>
    </row>
    <row r="506" spans="1:11">
      <c r="A506" s="14" t="s">
        <v>17494</v>
      </c>
      <c r="B506" s="14" t="s">
        <v>17495</v>
      </c>
      <c r="C506" s="14" t="s">
        <v>16090</v>
      </c>
      <c r="D506" s="14">
        <v>1</v>
      </c>
      <c r="E506" s="14">
        <v>1378</v>
      </c>
      <c r="F506" s="14">
        <v>5</v>
      </c>
      <c r="G506" s="14">
        <v>15605</v>
      </c>
      <c r="H506" s="14">
        <v>0.370173643004874</v>
      </c>
      <c r="I506" s="14">
        <v>0.911965910022374</v>
      </c>
      <c r="J506" s="14">
        <v>2.26487663280116</v>
      </c>
      <c r="K506" s="14" t="s">
        <v>11209</v>
      </c>
    </row>
    <row r="507" spans="1:11">
      <c r="A507" s="14" t="s">
        <v>17496</v>
      </c>
      <c r="B507" s="14" t="s">
        <v>17497</v>
      </c>
      <c r="C507" s="14" t="s">
        <v>16090</v>
      </c>
      <c r="D507" s="14">
        <v>1</v>
      </c>
      <c r="E507" s="14">
        <v>1378</v>
      </c>
      <c r="F507" s="14">
        <v>5</v>
      </c>
      <c r="G507" s="14">
        <v>15605</v>
      </c>
      <c r="H507" s="14">
        <v>0.370173643004874</v>
      </c>
      <c r="I507" s="14">
        <v>0.911965910022374</v>
      </c>
      <c r="J507" s="14">
        <v>2.26487663280116</v>
      </c>
      <c r="K507" s="14" t="s">
        <v>1632</v>
      </c>
    </row>
    <row r="508" spans="1:11">
      <c r="A508" s="14" t="s">
        <v>17498</v>
      </c>
      <c r="B508" s="14" t="s">
        <v>17499</v>
      </c>
      <c r="C508" s="14" t="s">
        <v>16090</v>
      </c>
      <c r="D508" s="14">
        <v>1</v>
      </c>
      <c r="E508" s="14">
        <v>1378</v>
      </c>
      <c r="F508" s="14">
        <v>5</v>
      </c>
      <c r="G508" s="14">
        <v>15605</v>
      </c>
      <c r="H508" s="14">
        <v>0.370173643004874</v>
      </c>
      <c r="I508" s="14">
        <v>0.911965910022374</v>
      </c>
      <c r="J508" s="14">
        <v>2.26487663280116</v>
      </c>
      <c r="K508" s="14" t="s">
        <v>3699</v>
      </c>
    </row>
    <row r="509" spans="1:11">
      <c r="A509" s="14" t="s">
        <v>17500</v>
      </c>
      <c r="B509" s="14" t="s">
        <v>17501</v>
      </c>
      <c r="C509" s="14" t="s">
        <v>16090</v>
      </c>
      <c r="D509" s="14">
        <v>1</v>
      </c>
      <c r="E509" s="14">
        <v>1378</v>
      </c>
      <c r="F509" s="14">
        <v>5</v>
      </c>
      <c r="G509" s="14">
        <v>15605</v>
      </c>
      <c r="H509" s="14">
        <v>0.370173643004874</v>
      </c>
      <c r="I509" s="14">
        <v>0.911965910022374</v>
      </c>
      <c r="J509" s="14">
        <v>2.26487663280116</v>
      </c>
      <c r="K509" s="14" t="s">
        <v>1178</v>
      </c>
    </row>
    <row r="510" spans="1:11">
      <c r="A510" s="14" t="s">
        <v>17502</v>
      </c>
      <c r="B510" s="14" t="s">
        <v>17503</v>
      </c>
      <c r="C510" s="14" t="s">
        <v>16090</v>
      </c>
      <c r="D510" s="14">
        <v>1</v>
      </c>
      <c r="E510" s="14">
        <v>1378</v>
      </c>
      <c r="F510" s="14">
        <v>5</v>
      </c>
      <c r="G510" s="14">
        <v>15605</v>
      </c>
      <c r="H510" s="14">
        <v>0.370173643004874</v>
      </c>
      <c r="I510" s="14">
        <v>0.911965910022374</v>
      </c>
      <c r="J510" s="14">
        <v>2.26487663280116</v>
      </c>
      <c r="K510" s="14" t="s">
        <v>5757</v>
      </c>
    </row>
    <row r="511" spans="1:11">
      <c r="A511" s="14" t="s">
        <v>17504</v>
      </c>
      <c r="B511" s="14" t="s">
        <v>17505</v>
      </c>
      <c r="C511" s="14" t="s">
        <v>16086</v>
      </c>
      <c r="D511" s="14">
        <v>1</v>
      </c>
      <c r="E511" s="14">
        <v>1378</v>
      </c>
      <c r="F511" s="14">
        <v>5</v>
      </c>
      <c r="G511" s="14">
        <v>15605</v>
      </c>
      <c r="H511" s="14">
        <v>0.370173643004874</v>
      </c>
      <c r="I511" s="14">
        <v>0.911965910022374</v>
      </c>
      <c r="J511" s="14">
        <v>2.26487663280116</v>
      </c>
      <c r="K511" s="14" t="s">
        <v>1171</v>
      </c>
    </row>
    <row r="512" spans="1:11">
      <c r="A512" s="14" t="s">
        <v>17506</v>
      </c>
      <c r="B512" s="14" t="s">
        <v>17507</v>
      </c>
      <c r="C512" s="14" t="s">
        <v>16090</v>
      </c>
      <c r="D512" s="14">
        <v>1</v>
      </c>
      <c r="E512" s="14">
        <v>1378</v>
      </c>
      <c r="F512" s="14">
        <v>5</v>
      </c>
      <c r="G512" s="14">
        <v>15605</v>
      </c>
      <c r="H512" s="14">
        <v>0.370173643004874</v>
      </c>
      <c r="I512" s="14">
        <v>0.911965910022374</v>
      </c>
      <c r="J512" s="14">
        <v>2.26487663280116</v>
      </c>
      <c r="K512" s="14" t="s">
        <v>4166</v>
      </c>
    </row>
    <row r="513" spans="1:11">
      <c r="A513" s="14" t="s">
        <v>17508</v>
      </c>
      <c r="B513" s="14" t="s">
        <v>17509</v>
      </c>
      <c r="C513" s="14" t="s">
        <v>16086</v>
      </c>
      <c r="D513" s="14">
        <v>1</v>
      </c>
      <c r="E513" s="14">
        <v>1378</v>
      </c>
      <c r="F513" s="14">
        <v>5</v>
      </c>
      <c r="G513" s="14">
        <v>15605</v>
      </c>
      <c r="H513" s="14">
        <v>0.370173643004874</v>
      </c>
      <c r="I513" s="14">
        <v>0.911965910022374</v>
      </c>
      <c r="J513" s="14">
        <v>2.26487663280116</v>
      </c>
      <c r="K513" s="14" t="s">
        <v>10894</v>
      </c>
    </row>
    <row r="514" spans="1:11">
      <c r="A514" s="14" t="s">
        <v>17510</v>
      </c>
      <c r="B514" s="14" t="s">
        <v>17511</v>
      </c>
      <c r="C514" s="14" t="s">
        <v>16090</v>
      </c>
      <c r="D514" s="14">
        <v>1</v>
      </c>
      <c r="E514" s="14">
        <v>1378</v>
      </c>
      <c r="F514" s="14">
        <v>5</v>
      </c>
      <c r="G514" s="14">
        <v>15605</v>
      </c>
      <c r="H514" s="14">
        <v>0.370173643004874</v>
      </c>
      <c r="I514" s="14">
        <v>0.911965910022374</v>
      </c>
      <c r="J514" s="14">
        <v>2.26487663280116</v>
      </c>
      <c r="K514" s="14" t="s">
        <v>7480</v>
      </c>
    </row>
    <row r="515" spans="1:11">
      <c r="A515" s="14" t="s">
        <v>17512</v>
      </c>
      <c r="B515" s="14" t="s">
        <v>17513</v>
      </c>
      <c r="C515" s="14" t="s">
        <v>16096</v>
      </c>
      <c r="D515" s="14">
        <v>1</v>
      </c>
      <c r="E515" s="14">
        <v>1378</v>
      </c>
      <c r="F515" s="14">
        <v>5</v>
      </c>
      <c r="G515" s="14">
        <v>15605</v>
      </c>
      <c r="H515" s="14">
        <v>0.370173643004874</v>
      </c>
      <c r="I515" s="14">
        <v>0.911965910022374</v>
      </c>
      <c r="J515" s="14">
        <v>2.26487663280116</v>
      </c>
      <c r="K515" s="14" t="s">
        <v>12175</v>
      </c>
    </row>
    <row r="516" spans="1:11">
      <c r="A516" s="14" t="s">
        <v>17514</v>
      </c>
      <c r="B516" s="14" t="s">
        <v>17515</v>
      </c>
      <c r="C516" s="14" t="s">
        <v>16090</v>
      </c>
      <c r="D516" s="14">
        <v>1</v>
      </c>
      <c r="E516" s="14">
        <v>1378</v>
      </c>
      <c r="F516" s="14">
        <v>5</v>
      </c>
      <c r="G516" s="14">
        <v>15605</v>
      </c>
      <c r="H516" s="14">
        <v>0.370173643004874</v>
      </c>
      <c r="I516" s="14">
        <v>0.911965910022374</v>
      </c>
      <c r="J516" s="14">
        <v>2.26487663280116</v>
      </c>
      <c r="K516" s="14" t="s">
        <v>8082</v>
      </c>
    </row>
    <row r="517" spans="1:11">
      <c r="A517" s="14" t="s">
        <v>17516</v>
      </c>
      <c r="B517" s="14" t="s">
        <v>17517</v>
      </c>
      <c r="C517" s="14" t="s">
        <v>16090</v>
      </c>
      <c r="D517" s="14">
        <v>1</v>
      </c>
      <c r="E517" s="14">
        <v>1378</v>
      </c>
      <c r="F517" s="14">
        <v>5</v>
      </c>
      <c r="G517" s="14">
        <v>15605</v>
      </c>
      <c r="H517" s="14">
        <v>0.370173643004874</v>
      </c>
      <c r="I517" s="14">
        <v>0.911965910022374</v>
      </c>
      <c r="J517" s="14">
        <v>2.26487663280116</v>
      </c>
      <c r="K517" s="14" t="s">
        <v>10602</v>
      </c>
    </row>
    <row r="518" spans="1:11">
      <c r="A518" s="14" t="s">
        <v>17518</v>
      </c>
      <c r="B518" s="14" t="s">
        <v>17519</v>
      </c>
      <c r="C518" s="14" t="s">
        <v>16090</v>
      </c>
      <c r="D518" s="14">
        <v>1</v>
      </c>
      <c r="E518" s="14">
        <v>1378</v>
      </c>
      <c r="F518" s="14">
        <v>5</v>
      </c>
      <c r="G518" s="14">
        <v>15605</v>
      </c>
      <c r="H518" s="14">
        <v>0.370173643004874</v>
      </c>
      <c r="I518" s="14">
        <v>0.911965910022374</v>
      </c>
      <c r="J518" s="14">
        <v>2.26487663280116</v>
      </c>
      <c r="K518" s="14" t="s">
        <v>11188</v>
      </c>
    </row>
    <row r="519" spans="1:11">
      <c r="A519" s="14" t="s">
        <v>17520</v>
      </c>
      <c r="B519" s="14" t="s">
        <v>17521</v>
      </c>
      <c r="C519" s="14" t="s">
        <v>16090</v>
      </c>
      <c r="D519" s="14">
        <v>1</v>
      </c>
      <c r="E519" s="14">
        <v>1378</v>
      </c>
      <c r="F519" s="14">
        <v>5</v>
      </c>
      <c r="G519" s="14">
        <v>15605</v>
      </c>
      <c r="H519" s="14">
        <v>0.370173643004874</v>
      </c>
      <c r="I519" s="14">
        <v>0.911965910022374</v>
      </c>
      <c r="J519" s="14">
        <v>2.26487663280116</v>
      </c>
      <c r="K519" s="14" t="s">
        <v>12936</v>
      </c>
    </row>
    <row r="520" spans="1:11">
      <c r="A520" s="14" t="s">
        <v>17522</v>
      </c>
      <c r="B520" s="14" t="s">
        <v>17523</v>
      </c>
      <c r="C520" s="14" t="s">
        <v>16090</v>
      </c>
      <c r="D520" s="14">
        <v>1</v>
      </c>
      <c r="E520" s="14">
        <v>1378</v>
      </c>
      <c r="F520" s="14">
        <v>5</v>
      </c>
      <c r="G520" s="14">
        <v>15605</v>
      </c>
      <c r="H520" s="14">
        <v>0.370173643004874</v>
      </c>
      <c r="I520" s="14">
        <v>0.911965910022374</v>
      </c>
      <c r="J520" s="14">
        <v>2.26487663280116</v>
      </c>
      <c r="K520" s="14" t="s">
        <v>9220</v>
      </c>
    </row>
    <row r="521" spans="1:11">
      <c r="A521" s="14" t="s">
        <v>17524</v>
      </c>
      <c r="B521" s="14" t="s">
        <v>17525</v>
      </c>
      <c r="C521" s="14" t="s">
        <v>16090</v>
      </c>
      <c r="D521" s="14">
        <v>1</v>
      </c>
      <c r="E521" s="14">
        <v>1378</v>
      </c>
      <c r="F521" s="14">
        <v>5</v>
      </c>
      <c r="G521" s="14">
        <v>15605</v>
      </c>
      <c r="H521" s="14">
        <v>0.370173643004874</v>
      </c>
      <c r="I521" s="14">
        <v>0.911965910022374</v>
      </c>
      <c r="J521" s="14">
        <v>2.26487663280116</v>
      </c>
      <c r="K521" s="14" t="s">
        <v>8783</v>
      </c>
    </row>
    <row r="522" spans="1:11">
      <c r="A522" s="14" t="s">
        <v>17526</v>
      </c>
      <c r="B522" s="14" t="s">
        <v>17527</v>
      </c>
      <c r="C522" s="14" t="s">
        <v>16090</v>
      </c>
      <c r="D522" s="14">
        <v>1</v>
      </c>
      <c r="E522" s="14">
        <v>1378</v>
      </c>
      <c r="F522" s="14">
        <v>5</v>
      </c>
      <c r="G522" s="14">
        <v>15605</v>
      </c>
      <c r="H522" s="14">
        <v>0.370173643004874</v>
      </c>
      <c r="I522" s="14">
        <v>0.911965910022374</v>
      </c>
      <c r="J522" s="14">
        <v>2.26487663280116</v>
      </c>
      <c r="K522" s="14" t="s">
        <v>8783</v>
      </c>
    </row>
    <row r="523" spans="1:11">
      <c r="A523" s="14" t="s">
        <v>17528</v>
      </c>
      <c r="B523" s="14" t="s">
        <v>17529</v>
      </c>
      <c r="C523" s="14" t="s">
        <v>16090</v>
      </c>
      <c r="D523" s="14">
        <v>1</v>
      </c>
      <c r="E523" s="14">
        <v>1378</v>
      </c>
      <c r="F523" s="14">
        <v>5</v>
      </c>
      <c r="G523" s="14">
        <v>15605</v>
      </c>
      <c r="H523" s="14">
        <v>0.370173643004874</v>
      </c>
      <c r="I523" s="14">
        <v>0.911965910022374</v>
      </c>
      <c r="J523" s="14">
        <v>2.26487663280116</v>
      </c>
      <c r="K523" s="14" t="s">
        <v>14411</v>
      </c>
    </row>
    <row r="524" spans="1:11">
      <c r="A524" s="14" t="s">
        <v>17530</v>
      </c>
      <c r="B524" s="14" t="s">
        <v>17531</v>
      </c>
      <c r="C524" s="14" t="s">
        <v>16090</v>
      </c>
      <c r="D524" s="14">
        <v>1</v>
      </c>
      <c r="E524" s="14">
        <v>1378</v>
      </c>
      <c r="F524" s="14">
        <v>5</v>
      </c>
      <c r="G524" s="14">
        <v>15605</v>
      </c>
      <c r="H524" s="14">
        <v>0.370173643004874</v>
      </c>
      <c r="I524" s="14">
        <v>0.911965910022374</v>
      </c>
      <c r="J524" s="14">
        <v>2.26487663280116</v>
      </c>
      <c r="K524" s="14" t="s">
        <v>1463</v>
      </c>
    </row>
    <row r="525" spans="1:11">
      <c r="A525" s="14" t="s">
        <v>17532</v>
      </c>
      <c r="B525" s="14" t="s">
        <v>17533</v>
      </c>
      <c r="C525" s="14" t="s">
        <v>16090</v>
      </c>
      <c r="D525" s="14">
        <v>1</v>
      </c>
      <c r="E525" s="14">
        <v>1378</v>
      </c>
      <c r="F525" s="14">
        <v>5</v>
      </c>
      <c r="G525" s="14">
        <v>15605</v>
      </c>
      <c r="H525" s="14">
        <v>0.370173643004874</v>
      </c>
      <c r="I525" s="14">
        <v>0.911965910022374</v>
      </c>
      <c r="J525" s="14">
        <v>2.26487663280116</v>
      </c>
      <c r="K525" s="14" t="s">
        <v>6358</v>
      </c>
    </row>
    <row r="526" spans="1:11">
      <c r="A526" s="14" t="s">
        <v>17534</v>
      </c>
      <c r="B526" s="14" t="s">
        <v>17535</v>
      </c>
      <c r="C526" s="14" t="s">
        <v>16090</v>
      </c>
      <c r="D526" s="14">
        <v>1</v>
      </c>
      <c r="E526" s="14">
        <v>1378</v>
      </c>
      <c r="F526" s="14">
        <v>5</v>
      </c>
      <c r="G526" s="14">
        <v>15605</v>
      </c>
      <c r="H526" s="14">
        <v>0.370173643004874</v>
      </c>
      <c r="I526" s="14">
        <v>0.911965910022374</v>
      </c>
      <c r="J526" s="14">
        <v>2.26487663280116</v>
      </c>
      <c r="K526" s="14" t="s">
        <v>15989</v>
      </c>
    </row>
    <row r="527" spans="1:11">
      <c r="A527" s="14" t="s">
        <v>17536</v>
      </c>
      <c r="B527" s="14" t="s">
        <v>17537</v>
      </c>
      <c r="C527" s="14" t="s">
        <v>16086</v>
      </c>
      <c r="D527" s="14">
        <v>1</v>
      </c>
      <c r="E527" s="14">
        <v>1378</v>
      </c>
      <c r="F527" s="14">
        <v>5</v>
      </c>
      <c r="G527" s="14">
        <v>15605</v>
      </c>
      <c r="H527" s="14">
        <v>0.370173643004874</v>
      </c>
      <c r="I527" s="14">
        <v>0.911965910022374</v>
      </c>
      <c r="J527" s="14">
        <v>2.26487663280116</v>
      </c>
      <c r="K527" s="14" t="s">
        <v>7466</v>
      </c>
    </row>
    <row r="528" spans="1:11">
      <c r="A528" s="14" t="s">
        <v>17538</v>
      </c>
      <c r="B528" s="14" t="s">
        <v>17539</v>
      </c>
      <c r="C528" s="14" t="s">
        <v>16086</v>
      </c>
      <c r="D528" s="14">
        <v>1</v>
      </c>
      <c r="E528" s="14">
        <v>1378</v>
      </c>
      <c r="F528" s="14">
        <v>5</v>
      </c>
      <c r="G528" s="14">
        <v>15605</v>
      </c>
      <c r="H528" s="14">
        <v>0.370173643004874</v>
      </c>
      <c r="I528" s="14">
        <v>0.911965910022374</v>
      </c>
      <c r="J528" s="14">
        <v>2.26487663280116</v>
      </c>
      <c r="K528" s="14" t="s">
        <v>5034</v>
      </c>
    </row>
    <row r="529" spans="1:11">
      <c r="A529" s="14" t="s">
        <v>17540</v>
      </c>
      <c r="B529" s="14" t="s">
        <v>17541</v>
      </c>
      <c r="C529" s="14" t="s">
        <v>16086</v>
      </c>
      <c r="D529" s="14">
        <v>1</v>
      </c>
      <c r="E529" s="14">
        <v>1378</v>
      </c>
      <c r="F529" s="14">
        <v>5</v>
      </c>
      <c r="G529" s="14">
        <v>15605</v>
      </c>
      <c r="H529" s="14">
        <v>0.370173643004874</v>
      </c>
      <c r="I529" s="14">
        <v>0.911965910022374</v>
      </c>
      <c r="J529" s="14">
        <v>2.26487663280116</v>
      </c>
      <c r="K529" s="14" t="s">
        <v>9255</v>
      </c>
    </row>
    <row r="530" spans="1:11">
      <c r="A530" s="14" t="s">
        <v>17542</v>
      </c>
      <c r="B530" s="14" t="s">
        <v>17543</v>
      </c>
      <c r="C530" s="14" t="s">
        <v>16086</v>
      </c>
      <c r="D530" s="14">
        <v>1</v>
      </c>
      <c r="E530" s="14">
        <v>1378</v>
      </c>
      <c r="F530" s="14">
        <v>5</v>
      </c>
      <c r="G530" s="14">
        <v>15605</v>
      </c>
      <c r="H530" s="14">
        <v>0.370173643004874</v>
      </c>
      <c r="I530" s="14">
        <v>0.911965910022374</v>
      </c>
      <c r="J530" s="14">
        <v>2.26487663280116</v>
      </c>
      <c r="K530" s="14" t="s">
        <v>8693</v>
      </c>
    </row>
    <row r="531" spans="1:11">
      <c r="A531" s="14" t="s">
        <v>17544</v>
      </c>
      <c r="B531" s="14" t="s">
        <v>17545</v>
      </c>
      <c r="C531" s="14" t="s">
        <v>16090</v>
      </c>
      <c r="D531" s="14">
        <v>1</v>
      </c>
      <c r="E531" s="14">
        <v>1378</v>
      </c>
      <c r="F531" s="14">
        <v>5</v>
      </c>
      <c r="G531" s="14">
        <v>15605</v>
      </c>
      <c r="H531" s="14">
        <v>0.370173643004874</v>
      </c>
      <c r="I531" s="14">
        <v>0.911965910022374</v>
      </c>
      <c r="J531" s="14">
        <v>2.26487663280116</v>
      </c>
      <c r="K531" s="14" t="s">
        <v>3063</v>
      </c>
    </row>
    <row r="532" spans="1:11">
      <c r="A532" s="14" t="s">
        <v>17546</v>
      </c>
      <c r="B532" s="14" t="s">
        <v>17547</v>
      </c>
      <c r="C532" s="14" t="s">
        <v>16086</v>
      </c>
      <c r="D532" s="14">
        <v>1</v>
      </c>
      <c r="E532" s="14">
        <v>1378</v>
      </c>
      <c r="F532" s="14">
        <v>5</v>
      </c>
      <c r="G532" s="14">
        <v>15605</v>
      </c>
      <c r="H532" s="14">
        <v>0.370173643004874</v>
      </c>
      <c r="I532" s="14">
        <v>0.911965910022374</v>
      </c>
      <c r="J532" s="14">
        <v>2.26487663280116</v>
      </c>
      <c r="K532" s="14" t="s">
        <v>408</v>
      </c>
    </row>
    <row r="533" spans="1:11">
      <c r="A533" s="14" t="s">
        <v>17548</v>
      </c>
      <c r="B533" s="14" t="s">
        <v>17549</v>
      </c>
      <c r="C533" s="14" t="s">
        <v>16096</v>
      </c>
      <c r="D533" s="14">
        <v>1</v>
      </c>
      <c r="E533" s="14">
        <v>1378</v>
      </c>
      <c r="F533" s="14">
        <v>5</v>
      </c>
      <c r="G533" s="14">
        <v>15605</v>
      </c>
      <c r="H533" s="14">
        <v>0.370173643004874</v>
      </c>
      <c r="I533" s="14">
        <v>0.911965910022374</v>
      </c>
      <c r="J533" s="14">
        <v>2.26487663280116</v>
      </c>
      <c r="K533" s="14" t="s">
        <v>6369</v>
      </c>
    </row>
    <row r="534" spans="1:11">
      <c r="A534" s="14" t="s">
        <v>17550</v>
      </c>
      <c r="B534" s="14" t="s">
        <v>17551</v>
      </c>
      <c r="C534" s="14" t="s">
        <v>16096</v>
      </c>
      <c r="D534" s="14">
        <v>1</v>
      </c>
      <c r="E534" s="14">
        <v>1378</v>
      </c>
      <c r="F534" s="14">
        <v>5</v>
      </c>
      <c r="G534" s="14">
        <v>15605</v>
      </c>
      <c r="H534" s="14">
        <v>0.370173643004874</v>
      </c>
      <c r="I534" s="14">
        <v>0.911965910022374</v>
      </c>
      <c r="J534" s="14">
        <v>2.26487663280116</v>
      </c>
      <c r="K534" s="14" t="s">
        <v>14138</v>
      </c>
    </row>
    <row r="535" spans="1:11">
      <c r="A535" s="14" t="s">
        <v>17552</v>
      </c>
      <c r="B535" s="14" t="s">
        <v>17553</v>
      </c>
      <c r="C535" s="14" t="s">
        <v>16090</v>
      </c>
      <c r="D535" s="14">
        <v>1</v>
      </c>
      <c r="E535" s="14">
        <v>1378</v>
      </c>
      <c r="F535" s="14">
        <v>5</v>
      </c>
      <c r="G535" s="14">
        <v>15605</v>
      </c>
      <c r="H535" s="14">
        <v>0.370173643004874</v>
      </c>
      <c r="I535" s="14">
        <v>0.911965910022374</v>
      </c>
      <c r="J535" s="14">
        <v>2.26487663280116</v>
      </c>
      <c r="K535" s="14" t="s">
        <v>7475</v>
      </c>
    </row>
    <row r="536" spans="1:11">
      <c r="A536" s="14" t="s">
        <v>17554</v>
      </c>
      <c r="B536" s="14" t="s">
        <v>17555</v>
      </c>
      <c r="C536" s="14" t="s">
        <v>16086</v>
      </c>
      <c r="D536" s="14">
        <v>1</v>
      </c>
      <c r="E536" s="14">
        <v>1378</v>
      </c>
      <c r="F536" s="14">
        <v>5</v>
      </c>
      <c r="G536" s="14">
        <v>15605</v>
      </c>
      <c r="H536" s="14">
        <v>0.370173643004874</v>
      </c>
      <c r="I536" s="14">
        <v>0.911965910022374</v>
      </c>
      <c r="J536" s="14">
        <v>2.26487663280116</v>
      </c>
      <c r="K536" s="14" t="s">
        <v>587</v>
      </c>
    </row>
    <row r="537" spans="1:11">
      <c r="A537" s="14" t="s">
        <v>17556</v>
      </c>
      <c r="B537" s="14" t="s">
        <v>17557</v>
      </c>
      <c r="C537" s="14" t="s">
        <v>16090</v>
      </c>
      <c r="D537" s="14">
        <v>1</v>
      </c>
      <c r="E537" s="14">
        <v>1378</v>
      </c>
      <c r="F537" s="14">
        <v>5</v>
      </c>
      <c r="G537" s="14">
        <v>15605</v>
      </c>
      <c r="H537" s="14">
        <v>0.370173643004874</v>
      </c>
      <c r="I537" s="14">
        <v>0.911965910022374</v>
      </c>
      <c r="J537" s="14">
        <v>2.26487663280116</v>
      </c>
      <c r="K537" s="14" t="s">
        <v>2630</v>
      </c>
    </row>
    <row r="538" spans="1:11">
      <c r="A538" s="14" t="s">
        <v>17558</v>
      </c>
      <c r="B538" s="14" t="s">
        <v>17559</v>
      </c>
      <c r="C538" s="14" t="s">
        <v>16090</v>
      </c>
      <c r="D538" s="14">
        <v>1</v>
      </c>
      <c r="E538" s="14">
        <v>1378</v>
      </c>
      <c r="F538" s="14">
        <v>5</v>
      </c>
      <c r="G538" s="14">
        <v>15605</v>
      </c>
      <c r="H538" s="14">
        <v>0.370173643004874</v>
      </c>
      <c r="I538" s="14">
        <v>0.911965910022374</v>
      </c>
      <c r="J538" s="14">
        <v>2.26487663280116</v>
      </c>
      <c r="K538" s="14" t="s">
        <v>6389</v>
      </c>
    </row>
    <row r="539" spans="1:11">
      <c r="A539" s="14" t="s">
        <v>17560</v>
      </c>
      <c r="B539" s="14" t="s">
        <v>17561</v>
      </c>
      <c r="C539" s="14" t="s">
        <v>16086</v>
      </c>
      <c r="D539" s="14">
        <v>1</v>
      </c>
      <c r="E539" s="14">
        <v>1378</v>
      </c>
      <c r="F539" s="14">
        <v>5</v>
      </c>
      <c r="G539" s="14">
        <v>15605</v>
      </c>
      <c r="H539" s="14">
        <v>0.370173643004874</v>
      </c>
      <c r="I539" s="14">
        <v>0.911965910022374</v>
      </c>
      <c r="J539" s="14">
        <v>2.26487663280116</v>
      </c>
      <c r="K539" s="14" t="s">
        <v>14143</v>
      </c>
    </row>
    <row r="540" spans="1:11">
      <c r="A540" s="14" t="s">
        <v>17562</v>
      </c>
      <c r="B540" s="14" t="s">
        <v>17563</v>
      </c>
      <c r="C540" s="14" t="s">
        <v>16086</v>
      </c>
      <c r="D540" s="14">
        <v>1</v>
      </c>
      <c r="E540" s="14">
        <v>1378</v>
      </c>
      <c r="F540" s="14">
        <v>5</v>
      </c>
      <c r="G540" s="14">
        <v>15605</v>
      </c>
      <c r="H540" s="14">
        <v>0.370173643004874</v>
      </c>
      <c r="I540" s="14">
        <v>0.911965910022374</v>
      </c>
      <c r="J540" s="14">
        <v>2.26487663280116</v>
      </c>
      <c r="K540" s="14" t="s">
        <v>352</v>
      </c>
    </row>
    <row r="541" spans="1:11">
      <c r="A541" s="14" t="s">
        <v>17564</v>
      </c>
      <c r="B541" s="14" t="s">
        <v>17565</v>
      </c>
      <c r="C541" s="14" t="s">
        <v>16090</v>
      </c>
      <c r="D541" s="14">
        <v>1</v>
      </c>
      <c r="E541" s="14">
        <v>1378</v>
      </c>
      <c r="F541" s="14">
        <v>5</v>
      </c>
      <c r="G541" s="14">
        <v>15605</v>
      </c>
      <c r="H541" s="14">
        <v>0.370173643004874</v>
      </c>
      <c r="I541" s="14">
        <v>0.911965910022374</v>
      </c>
      <c r="J541" s="14">
        <v>2.26487663280116</v>
      </c>
      <c r="K541" s="14" t="s">
        <v>7925</v>
      </c>
    </row>
    <row r="542" spans="1:11">
      <c r="A542" s="14" t="s">
        <v>17566</v>
      </c>
      <c r="B542" s="14" t="s">
        <v>17567</v>
      </c>
      <c r="C542" s="14" t="s">
        <v>16096</v>
      </c>
      <c r="D542" s="14">
        <v>1</v>
      </c>
      <c r="E542" s="14">
        <v>1378</v>
      </c>
      <c r="F542" s="14">
        <v>5</v>
      </c>
      <c r="G542" s="14">
        <v>15605</v>
      </c>
      <c r="H542" s="14">
        <v>0.370173643004874</v>
      </c>
      <c r="I542" s="14">
        <v>0.911965910022374</v>
      </c>
      <c r="J542" s="14">
        <v>2.26487663280116</v>
      </c>
      <c r="K542" s="14" t="s">
        <v>8627</v>
      </c>
    </row>
    <row r="543" spans="1:11">
      <c r="A543" s="14" t="s">
        <v>17568</v>
      </c>
      <c r="B543" s="14" t="s">
        <v>17569</v>
      </c>
      <c r="C543" s="14" t="s">
        <v>16090</v>
      </c>
      <c r="D543" s="14">
        <v>1</v>
      </c>
      <c r="E543" s="14">
        <v>1378</v>
      </c>
      <c r="F543" s="14">
        <v>5</v>
      </c>
      <c r="G543" s="14">
        <v>15605</v>
      </c>
      <c r="H543" s="14">
        <v>0.370173643004874</v>
      </c>
      <c r="I543" s="14">
        <v>0.911965910022374</v>
      </c>
      <c r="J543" s="14">
        <v>2.26487663280116</v>
      </c>
      <c r="K543" s="14" t="s">
        <v>5757</v>
      </c>
    </row>
    <row r="544" spans="1:11">
      <c r="A544" s="14" t="s">
        <v>17570</v>
      </c>
      <c r="B544" s="14" t="s">
        <v>17571</v>
      </c>
      <c r="C544" s="14" t="s">
        <v>16090</v>
      </c>
      <c r="D544" s="14">
        <v>1</v>
      </c>
      <c r="E544" s="14">
        <v>1378</v>
      </c>
      <c r="F544" s="14">
        <v>5</v>
      </c>
      <c r="G544" s="14">
        <v>15605</v>
      </c>
      <c r="H544" s="14">
        <v>0.370173643004874</v>
      </c>
      <c r="I544" s="14">
        <v>0.911965910022374</v>
      </c>
      <c r="J544" s="14">
        <v>2.26487663280116</v>
      </c>
      <c r="K544" s="14" t="s">
        <v>13671</v>
      </c>
    </row>
    <row r="545" spans="1:11">
      <c r="A545" s="14" t="s">
        <v>17572</v>
      </c>
      <c r="B545" s="14" t="s">
        <v>17573</v>
      </c>
      <c r="C545" s="14" t="s">
        <v>16086</v>
      </c>
      <c r="D545" s="14">
        <v>1</v>
      </c>
      <c r="E545" s="14">
        <v>1378</v>
      </c>
      <c r="F545" s="14">
        <v>5</v>
      </c>
      <c r="G545" s="14">
        <v>15605</v>
      </c>
      <c r="H545" s="14">
        <v>0.370173643004874</v>
      </c>
      <c r="I545" s="14">
        <v>0.911965910022374</v>
      </c>
      <c r="J545" s="14">
        <v>2.26487663280116</v>
      </c>
      <c r="K545" s="14" t="s">
        <v>6032</v>
      </c>
    </row>
    <row r="546" spans="1:11">
      <c r="A546" s="14" t="s">
        <v>17574</v>
      </c>
      <c r="B546" s="14" t="s">
        <v>17575</v>
      </c>
      <c r="C546" s="14" t="s">
        <v>16086</v>
      </c>
      <c r="D546" s="14">
        <v>1</v>
      </c>
      <c r="E546" s="14">
        <v>1378</v>
      </c>
      <c r="F546" s="14">
        <v>5</v>
      </c>
      <c r="G546" s="14">
        <v>15605</v>
      </c>
      <c r="H546" s="14">
        <v>0.370173643004874</v>
      </c>
      <c r="I546" s="14">
        <v>0.911965910022374</v>
      </c>
      <c r="J546" s="14">
        <v>2.26487663280116</v>
      </c>
      <c r="K546" s="14" t="s">
        <v>15754</v>
      </c>
    </row>
    <row r="547" spans="1:11">
      <c r="A547" s="14" t="s">
        <v>17576</v>
      </c>
      <c r="B547" s="14" t="s">
        <v>17577</v>
      </c>
      <c r="C547" s="14" t="s">
        <v>16090</v>
      </c>
      <c r="D547" s="14">
        <v>1</v>
      </c>
      <c r="E547" s="14">
        <v>1378</v>
      </c>
      <c r="F547" s="14">
        <v>5</v>
      </c>
      <c r="G547" s="14">
        <v>15605</v>
      </c>
      <c r="H547" s="14">
        <v>0.370173643004874</v>
      </c>
      <c r="I547" s="14">
        <v>0.911965910022374</v>
      </c>
      <c r="J547" s="14">
        <v>2.26487663280116</v>
      </c>
      <c r="K547" s="14" t="s">
        <v>12175</v>
      </c>
    </row>
    <row r="548" spans="1:11">
      <c r="A548" s="14" t="s">
        <v>17578</v>
      </c>
      <c r="B548" s="14" t="s">
        <v>17579</v>
      </c>
      <c r="C548" s="14" t="s">
        <v>16086</v>
      </c>
      <c r="D548" s="14">
        <v>1</v>
      </c>
      <c r="E548" s="14">
        <v>1378</v>
      </c>
      <c r="F548" s="14">
        <v>5</v>
      </c>
      <c r="G548" s="14">
        <v>15605</v>
      </c>
      <c r="H548" s="14">
        <v>0.370173643004874</v>
      </c>
      <c r="I548" s="14">
        <v>0.911965910022374</v>
      </c>
      <c r="J548" s="14">
        <v>2.26487663280116</v>
      </c>
      <c r="K548" s="14" t="s">
        <v>9530</v>
      </c>
    </row>
    <row r="549" spans="1:11">
      <c r="A549" s="14" t="s">
        <v>17580</v>
      </c>
      <c r="B549" s="14" t="s">
        <v>17581</v>
      </c>
      <c r="C549" s="14" t="s">
        <v>16090</v>
      </c>
      <c r="D549" s="14">
        <v>1</v>
      </c>
      <c r="E549" s="14">
        <v>1378</v>
      </c>
      <c r="F549" s="14">
        <v>5</v>
      </c>
      <c r="G549" s="14">
        <v>15605</v>
      </c>
      <c r="H549" s="14">
        <v>0.370173643004874</v>
      </c>
      <c r="I549" s="14">
        <v>0.911965910022374</v>
      </c>
      <c r="J549" s="14">
        <v>2.26487663280116</v>
      </c>
      <c r="K549" s="14" t="s">
        <v>3533</v>
      </c>
    </row>
    <row r="550" spans="1:11">
      <c r="A550" s="14" t="s">
        <v>17582</v>
      </c>
      <c r="B550" s="14" t="s">
        <v>17583</v>
      </c>
      <c r="C550" s="14" t="s">
        <v>16090</v>
      </c>
      <c r="D550" s="14">
        <v>1</v>
      </c>
      <c r="E550" s="14">
        <v>1378</v>
      </c>
      <c r="F550" s="14">
        <v>5</v>
      </c>
      <c r="G550" s="14">
        <v>15605</v>
      </c>
      <c r="H550" s="14">
        <v>0.370173643004874</v>
      </c>
      <c r="I550" s="14">
        <v>0.911965910022374</v>
      </c>
      <c r="J550" s="14">
        <v>2.26487663280116</v>
      </c>
      <c r="K550" s="14" t="s">
        <v>9755</v>
      </c>
    </row>
    <row r="551" spans="1:11">
      <c r="A551" s="14" t="s">
        <v>17584</v>
      </c>
      <c r="B551" s="14" t="s">
        <v>17585</v>
      </c>
      <c r="C551" s="14" t="s">
        <v>16090</v>
      </c>
      <c r="D551" s="14">
        <v>1</v>
      </c>
      <c r="E551" s="14">
        <v>1378</v>
      </c>
      <c r="F551" s="14">
        <v>5</v>
      </c>
      <c r="G551" s="14">
        <v>15605</v>
      </c>
      <c r="H551" s="14">
        <v>0.370173643004874</v>
      </c>
      <c r="I551" s="14">
        <v>0.911965910022374</v>
      </c>
      <c r="J551" s="14">
        <v>2.26487663280116</v>
      </c>
      <c r="K551" s="14" t="s">
        <v>14138</v>
      </c>
    </row>
    <row r="552" spans="1:11">
      <c r="A552" s="14" t="s">
        <v>17586</v>
      </c>
      <c r="B552" s="14" t="s">
        <v>17587</v>
      </c>
      <c r="C552" s="14" t="s">
        <v>16090</v>
      </c>
      <c r="D552" s="14">
        <v>1</v>
      </c>
      <c r="E552" s="14">
        <v>1378</v>
      </c>
      <c r="F552" s="14">
        <v>5</v>
      </c>
      <c r="G552" s="14">
        <v>15605</v>
      </c>
      <c r="H552" s="14">
        <v>0.370173643004874</v>
      </c>
      <c r="I552" s="14">
        <v>0.911965910022374</v>
      </c>
      <c r="J552" s="14">
        <v>2.26487663280116</v>
      </c>
      <c r="K552" s="14" t="s">
        <v>13605</v>
      </c>
    </row>
    <row r="553" spans="1:11">
      <c r="A553" s="14" t="s">
        <v>17588</v>
      </c>
      <c r="B553" s="14" t="s">
        <v>17589</v>
      </c>
      <c r="C553" s="14" t="s">
        <v>16090</v>
      </c>
      <c r="D553" s="14">
        <v>1</v>
      </c>
      <c r="E553" s="14">
        <v>1378</v>
      </c>
      <c r="F553" s="14">
        <v>5</v>
      </c>
      <c r="G553" s="14">
        <v>15605</v>
      </c>
      <c r="H553" s="14">
        <v>0.370173643004874</v>
      </c>
      <c r="I553" s="14">
        <v>0.911965910022374</v>
      </c>
      <c r="J553" s="14">
        <v>2.26487663280116</v>
      </c>
      <c r="K553" s="14" t="s">
        <v>13349</v>
      </c>
    </row>
    <row r="554" spans="1:11">
      <c r="A554" s="14" t="s">
        <v>17590</v>
      </c>
      <c r="B554" s="14" t="s">
        <v>17591</v>
      </c>
      <c r="C554" s="14" t="s">
        <v>16086</v>
      </c>
      <c r="D554" s="14">
        <v>1</v>
      </c>
      <c r="E554" s="14">
        <v>1378</v>
      </c>
      <c r="F554" s="14">
        <v>5</v>
      </c>
      <c r="G554" s="14">
        <v>15605</v>
      </c>
      <c r="H554" s="14">
        <v>0.370173643004874</v>
      </c>
      <c r="I554" s="14">
        <v>0.911965910022374</v>
      </c>
      <c r="J554" s="14">
        <v>2.26487663280116</v>
      </c>
      <c r="K554" s="14" t="s">
        <v>4933</v>
      </c>
    </row>
    <row r="555" spans="1:11">
      <c r="A555" s="14" t="s">
        <v>17592</v>
      </c>
      <c r="B555" s="14" t="s">
        <v>17593</v>
      </c>
      <c r="C555" s="14" t="s">
        <v>16090</v>
      </c>
      <c r="D555" s="14">
        <v>1</v>
      </c>
      <c r="E555" s="14">
        <v>1378</v>
      </c>
      <c r="F555" s="14">
        <v>5</v>
      </c>
      <c r="G555" s="14">
        <v>15605</v>
      </c>
      <c r="H555" s="14">
        <v>0.370173643004874</v>
      </c>
      <c r="I555" s="14">
        <v>0.911965910022374</v>
      </c>
      <c r="J555" s="14">
        <v>2.26487663280116</v>
      </c>
      <c r="K555" s="14" t="s">
        <v>2647</v>
      </c>
    </row>
    <row r="556" spans="1:11">
      <c r="A556" s="14" t="s">
        <v>17594</v>
      </c>
      <c r="B556" s="14" t="s">
        <v>17595</v>
      </c>
      <c r="C556" s="14" t="s">
        <v>16096</v>
      </c>
      <c r="D556" s="14">
        <v>1</v>
      </c>
      <c r="E556" s="14">
        <v>1378</v>
      </c>
      <c r="F556" s="14">
        <v>5</v>
      </c>
      <c r="G556" s="14">
        <v>15605</v>
      </c>
      <c r="H556" s="14">
        <v>0.370173643004874</v>
      </c>
      <c r="I556" s="14">
        <v>0.911965910022374</v>
      </c>
      <c r="J556" s="14">
        <v>2.26487663280116</v>
      </c>
      <c r="K556" s="14" t="s">
        <v>352</v>
      </c>
    </row>
    <row r="557" spans="1:11">
      <c r="A557" s="14" t="s">
        <v>17596</v>
      </c>
      <c r="B557" s="14" t="s">
        <v>17597</v>
      </c>
      <c r="C557" s="14" t="s">
        <v>16086</v>
      </c>
      <c r="D557" s="14">
        <v>1</v>
      </c>
      <c r="E557" s="14">
        <v>1378</v>
      </c>
      <c r="F557" s="14">
        <v>5</v>
      </c>
      <c r="G557" s="14">
        <v>15605</v>
      </c>
      <c r="H557" s="14">
        <v>0.370173643004874</v>
      </c>
      <c r="I557" s="14">
        <v>0.911965910022374</v>
      </c>
      <c r="J557" s="14">
        <v>2.26487663280116</v>
      </c>
      <c r="K557" s="14" t="s">
        <v>6032</v>
      </c>
    </row>
    <row r="558" spans="1:11">
      <c r="A558" s="14" t="s">
        <v>17598</v>
      </c>
      <c r="B558" s="14" t="s">
        <v>17599</v>
      </c>
      <c r="C558" s="14" t="s">
        <v>16086</v>
      </c>
      <c r="D558" s="14">
        <v>1</v>
      </c>
      <c r="E558" s="14">
        <v>1378</v>
      </c>
      <c r="F558" s="14">
        <v>5</v>
      </c>
      <c r="G558" s="14">
        <v>15605</v>
      </c>
      <c r="H558" s="14">
        <v>0.370173643004874</v>
      </c>
      <c r="I558" s="14">
        <v>0.911965910022374</v>
      </c>
      <c r="J558" s="14">
        <v>2.26487663280116</v>
      </c>
      <c r="K558" s="14" t="s">
        <v>6032</v>
      </c>
    </row>
    <row r="559" spans="1:11">
      <c r="A559" s="14" t="s">
        <v>17600</v>
      </c>
      <c r="B559" s="14" t="s">
        <v>17601</v>
      </c>
      <c r="C559" s="14" t="s">
        <v>16090</v>
      </c>
      <c r="D559" s="14">
        <v>1</v>
      </c>
      <c r="E559" s="14">
        <v>1378</v>
      </c>
      <c r="F559" s="14">
        <v>5</v>
      </c>
      <c r="G559" s="14">
        <v>15605</v>
      </c>
      <c r="H559" s="14">
        <v>0.370173643004874</v>
      </c>
      <c r="I559" s="14">
        <v>0.911965910022374</v>
      </c>
      <c r="J559" s="14">
        <v>2.26487663280116</v>
      </c>
      <c r="K559" s="14" t="s">
        <v>7116</v>
      </c>
    </row>
    <row r="560" spans="1:11">
      <c r="A560" s="14" t="s">
        <v>17602</v>
      </c>
      <c r="B560" s="14" t="s">
        <v>17603</v>
      </c>
      <c r="C560" s="14" t="s">
        <v>16090</v>
      </c>
      <c r="D560" s="14">
        <v>1</v>
      </c>
      <c r="E560" s="14">
        <v>1378</v>
      </c>
      <c r="F560" s="14">
        <v>5</v>
      </c>
      <c r="G560" s="14">
        <v>15605</v>
      </c>
      <c r="H560" s="14">
        <v>0.370173643004874</v>
      </c>
      <c r="I560" s="14">
        <v>0.911965910022374</v>
      </c>
      <c r="J560" s="14">
        <v>2.26487663280116</v>
      </c>
      <c r="K560" s="14" t="s">
        <v>625</v>
      </c>
    </row>
    <row r="561" spans="1:11">
      <c r="A561" s="14" t="s">
        <v>17604</v>
      </c>
      <c r="B561" s="14" t="s">
        <v>17605</v>
      </c>
      <c r="C561" s="14" t="s">
        <v>16090</v>
      </c>
      <c r="D561" s="14">
        <v>1</v>
      </c>
      <c r="E561" s="14">
        <v>1378</v>
      </c>
      <c r="F561" s="14">
        <v>5</v>
      </c>
      <c r="G561" s="14">
        <v>15605</v>
      </c>
      <c r="H561" s="14">
        <v>0.370173643004874</v>
      </c>
      <c r="I561" s="14">
        <v>0.911965910022374</v>
      </c>
      <c r="J561" s="14">
        <v>2.26487663280116</v>
      </c>
      <c r="K561" s="14" t="s">
        <v>7695</v>
      </c>
    </row>
    <row r="562" spans="1:11">
      <c r="A562" s="14" t="s">
        <v>17606</v>
      </c>
      <c r="B562" s="14" t="s">
        <v>17607</v>
      </c>
      <c r="C562" s="14" t="s">
        <v>16086</v>
      </c>
      <c r="D562" s="14">
        <v>1</v>
      </c>
      <c r="E562" s="14">
        <v>1378</v>
      </c>
      <c r="F562" s="14">
        <v>5</v>
      </c>
      <c r="G562" s="14">
        <v>15605</v>
      </c>
      <c r="H562" s="14">
        <v>0.370173643004874</v>
      </c>
      <c r="I562" s="14">
        <v>0.911965910022374</v>
      </c>
      <c r="J562" s="14">
        <v>2.26487663280116</v>
      </c>
      <c r="K562" s="14" t="s">
        <v>2630</v>
      </c>
    </row>
    <row r="563" spans="1:11">
      <c r="A563" s="14" t="s">
        <v>17608</v>
      </c>
      <c r="B563" s="14" t="s">
        <v>17609</v>
      </c>
      <c r="C563" s="14" t="s">
        <v>16086</v>
      </c>
      <c r="D563" s="14">
        <v>1</v>
      </c>
      <c r="E563" s="14">
        <v>1378</v>
      </c>
      <c r="F563" s="14">
        <v>5</v>
      </c>
      <c r="G563" s="14">
        <v>15605</v>
      </c>
      <c r="H563" s="14">
        <v>0.370173643004874</v>
      </c>
      <c r="I563" s="14">
        <v>0.911965910022374</v>
      </c>
      <c r="J563" s="14">
        <v>2.26487663280116</v>
      </c>
      <c r="K563" s="14" t="s">
        <v>2630</v>
      </c>
    </row>
    <row r="564" spans="1:11">
      <c r="A564" s="14" t="s">
        <v>17610</v>
      </c>
      <c r="B564" s="14" t="s">
        <v>17611</v>
      </c>
      <c r="C564" s="14" t="s">
        <v>16096</v>
      </c>
      <c r="D564" s="14">
        <v>6</v>
      </c>
      <c r="E564" s="14">
        <v>1378</v>
      </c>
      <c r="F564" s="14">
        <v>56</v>
      </c>
      <c r="G564" s="14">
        <v>15605</v>
      </c>
      <c r="H564" s="14">
        <v>0.373774279847369</v>
      </c>
      <c r="I564" s="14">
        <v>0.911965910022374</v>
      </c>
      <c r="J564" s="14">
        <v>1.21332676757205</v>
      </c>
      <c r="K564" s="14" t="s">
        <v>17612</v>
      </c>
    </row>
    <row r="565" spans="1:11">
      <c r="A565" s="14" t="s">
        <v>17613</v>
      </c>
      <c r="B565" s="14" t="s">
        <v>17614</v>
      </c>
      <c r="C565" s="14" t="s">
        <v>16096</v>
      </c>
      <c r="D565" s="14">
        <v>4</v>
      </c>
      <c r="E565" s="14">
        <v>1378</v>
      </c>
      <c r="F565" s="14">
        <v>35</v>
      </c>
      <c r="G565" s="14">
        <v>15605</v>
      </c>
      <c r="H565" s="14">
        <v>0.373879813519061</v>
      </c>
      <c r="I565" s="14">
        <v>0.911965910022374</v>
      </c>
      <c r="J565" s="14">
        <v>1.29421521874352</v>
      </c>
      <c r="K565" s="14" t="s">
        <v>17615</v>
      </c>
    </row>
    <row r="566" spans="1:11">
      <c r="A566" s="14" t="s">
        <v>17616</v>
      </c>
      <c r="B566" s="14" t="s">
        <v>17617</v>
      </c>
      <c r="C566" s="14" t="s">
        <v>16090</v>
      </c>
      <c r="D566" s="14">
        <v>4</v>
      </c>
      <c r="E566" s="14">
        <v>1378</v>
      </c>
      <c r="F566" s="14">
        <v>35</v>
      </c>
      <c r="G566" s="14">
        <v>15605</v>
      </c>
      <c r="H566" s="14">
        <v>0.373879813519061</v>
      </c>
      <c r="I566" s="14">
        <v>0.911965910022374</v>
      </c>
      <c r="J566" s="14">
        <v>1.29421521874352</v>
      </c>
      <c r="K566" s="14" t="s">
        <v>17618</v>
      </c>
    </row>
    <row r="567" spans="1:11">
      <c r="A567" s="14" t="s">
        <v>2960</v>
      </c>
      <c r="B567" s="14" t="s">
        <v>2961</v>
      </c>
      <c r="C567" s="14" t="s">
        <v>16086</v>
      </c>
      <c r="D567" s="14">
        <v>7</v>
      </c>
      <c r="E567" s="14">
        <v>1378</v>
      </c>
      <c r="F567" s="14">
        <v>67</v>
      </c>
      <c r="G567" s="14">
        <v>15605</v>
      </c>
      <c r="H567" s="14">
        <v>0.379464575339338</v>
      </c>
      <c r="I567" s="14">
        <v>0.911965910022374</v>
      </c>
      <c r="J567" s="14">
        <v>1.18314450967225</v>
      </c>
      <c r="K567" s="14" t="s">
        <v>17619</v>
      </c>
    </row>
    <row r="568" spans="1:11">
      <c r="A568" s="14" t="s">
        <v>17620</v>
      </c>
      <c r="B568" s="14" t="s">
        <v>17621</v>
      </c>
      <c r="C568" s="14" t="s">
        <v>16086</v>
      </c>
      <c r="D568" s="14">
        <v>3</v>
      </c>
      <c r="E568" s="14">
        <v>1378</v>
      </c>
      <c r="F568" s="14">
        <v>25</v>
      </c>
      <c r="G568" s="14">
        <v>15605</v>
      </c>
      <c r="H568" s="14">
        <v>0.381814051274177</v>
      </c>
      <c r="I568" s="14">
        <v>0.911965910022374</v>
      </c>
      <c r="J568" s="14">
        <v>1.3589259796807</v>
      </c>
      <c r="K568" s="14" t="s">
        <v>16287</v>
      </c>
    </row>
    <row r="569" spans="1:11">
      <c r="A569" s="14" t="s">
        <v>17622</v>
      </c>
      <c r="B569" s="14" t="s">
        <v>17623</v>
      </c>
      <c r="C569" s="14" t="s">
        <v>16090</v>
      </c>
      <c r="D569" s="14">
        <v>3</v>
      </c>
      <c r="E569" s="14">
        <v>1378</v>
      </c>
      <c r="F569" s="14">
        <v>25</v>
      </c>
      <c r="G569" s="14">
        <v>15605</v>
      </c>
      <c r="H569" s="14">
        <v>0.381814051274177</v>
      </c>
      <c r="I569" s="14">
        <v>0.911965910022374</v>
      </c>
      <c r="J569" s="14">
        <v>1.3589259796807</v>
      </c>
      <c r="K569" s="14" t="s">
        <v>17624</v>
      </c>
    </row>
    <row r="570" spans="1:11">
      <c r="A570" s="14" t="s">
        <v>17625</v>
      </c>
      <c r="B570" s="14" t="s">
        <v>17626</v>
      </c>
      <c r="C570" s="14" t="s">
        <v>16096</v>
      </c>
      <c r="D570" s="14">
        <v>3</v>
      </c>
      <c r="E570" s="14">
        <v>1378</v>
      </c>
      <c r="F570" s="14">
        <v>25</v>
      </c>
      <c r="G570" s="14">
        <v>15605</v>
      </c>
      <c r="H570" s="14">
        <v>0.381814051274177</v>
      </c>
      <c r="I570" s="14">
        <v>0.911965910022374</v>
      </c>
      <c r="J570" s="14">
        <v>1.3589259796807</v>
      </c>
      <c r="K570" s="14" t="s">
        <v>17627</v>
      </c>
    </row>
    <row r="571" spans="1:11">
      <c r="A571" s="14" t="s">
        <v>17628</v>
      </c>
      <c r="B571" s="14" t="s">
        <v>17629</v>
      </c>
      <c r="C571" s="14" t="s">
        <v>16086</v>
      </c>
      <c r="D571" s="14">
        <v>5</v>
      </c>
      <c r="E571" s="14">
        <v>1378</v>
      </c>
      <c r="F571" s="14">
        <v>46</v>
      </c>
      <c r="G571" s="14">
        <v>15605</v>
      </c>
      <c r="H571" s="14">
        <v>0.383708065174502</v>
      </c>
      <c r="I571" s="14">
        <v>0.911965910022374</v>
      </c>
      <c r="J571" s="14">
        <v>1.23091121347889</v>
      </c>
      <c r="K571" s="14" t="s">
        <v>17630</v>
      </c>
    </row>
    <row r="572" spans="1:11">
      <c r="A572" s="14" t="s">
        <v>17631</v>
      </c>
      <c r="B572" s="14" t="s">
        <v>17632</v>
      </c>
      <c r="C572" s="14" t="s">
        <v>16096</v>
      </c>
      <c r="D572" s="14">
        <v>32</v>
      </c>
      <c r="E572" s="14">
        <v>1378</v>
      </c>
      <c r="F572" s="14">
        <v>341</v>
      </c>
      <c r="G572" s="14">
        <v>15605</v>
      </c>
      <c r="H572" s="14">
        <v>0.385429484670769</v>
      </c>
      <c r="I572" s="14">
        <v>0.911965910022374</v>
      </c>
      <c r="J572" s="14">
        <v>1.06269871333779</v>
      </c>
      <c r="K572" s="14" t="s">
        <v>17633</v>
      </c>
    </row>
    <row r="573" spans="1:11">
      <c r="A573" s="14" t="s">
        <v>17634</v>
      </c>
      <c r="B573" s="14" t="s">
        <v>17635</v>
      </c>
      <c r="C573" s="14" t="s">
        <v>16086</v>
      </c>
      <c r="D573" s="14">
        <v>2</v>
      </c>
      <c r="E573" s="14">
        <v>1378</v>
      </c>
      <c r="F573" s="14">
        <v>15</v>
      </c>
      <c r="G573" s="14">
        <v>15605</v>
      </c>
      <c r="H573" s="14">
        <v>0.387101967820259</v>
      </c>
      <c r="I573" s="14">
        <v>0.911965910022374</v>
      </c>
      <c r="J573" s="14">
        <v>1.50991775520077</v>
      </c>
      <c r="K573" s="14" t="s">
        <v>17636</v>
      </c>
    </row>
    <row r="574" spans="1:11">
      <c r="A574" s="14" t="s">
        <v>17637</v>
      </c>
      <c r="B574" s="14" t="s">
        <v>17638</v>
      </c>
      <c r="C574" s="14" t="s">
        <v>16090</v>
      </c>
      <c r="D574" s="14">
        <v>2</v>
      </c>
      <c r="E574" s="14">
        <v>1378</v>
      </c>
      <c r="F574" s="14">
        <v>15</v>
      </c>
      <c r="G574" s="14">
        <v>15605</v>
      </c>
      <c r="H574" s="14">
        <v>0.387101967820259</v>
      </c>
      <c r="I574" s="14">
        <v>0.911965910022374</v>
      </c>
      <c r="J574" s="14">
        <v>1.50991775520077</v>
      </c>
      <c r="K574" s="14" t="s">
        <v>17639</v>
      </c>
    </row>
    <row r="575" spans="1:11">
      <c r="A575" s="14" t="s">
        <v>17640</v>
      </c>
      <c r="B575" s="14" t="s">
        <v>17641</v>
      </c>
      <c r="C575" s="14" t="s">
        <v>16086</v>
      </c>
      <c r="D575" s="14">
        <v>2</v>
      </c>
      <c r="E575" s="14">
        <v>1378</v>
      </c>
      <c r="F575" s="14">
        <v>15</v>
      </c>
      <c r="G575" s="14">
        <v>15605</v>
      </c>
      <c r="H575" s="14">
        <v>0.387101967820259</v>
      </c>
      <c r="I575" s="14">
        <v>0.911965910022374</v>
      </c>
      <c r="J575" s="14">
        <v>1.50991775520077</v>
      </c>
      <c r="K575" s="14" t="s">
        <v>17642</v>
      </c>
    </row>
    <row r="576" spans="1:11">
      <c r="A576" s="14" t="s">
        <v>17643</v>
      </c>
      <c r="B576" s="14" t="s">
        <v>17644</v>
      </c>
      <c r="C576" s="14" t="s">
        <v>16090</v>
      </c>
      <c r="D576" s="14">
        <v>2</v>
      </c>
      <c r="E576" s="14">
        <v>1378</v>
      </c>
      <c r="F576" s="14">
        <v>15</v>
      </c>
      <c r="G576" s="14">
        <v>15605</v>
      </c>
      <c r="H576" s="14">
        <v>0.387101967820259</v>
      </c>
      <c r="I576" s="14">
        <v>0.911965910022374</v>
      </c>
      <c r="J576" s="14">
        <v>1.50991775520077</v>
      </c>
      <c r="K576" s="14" t="s">
        <v>17645</v>
      </c>
    </row>
    <row r="577" spans="1:11">
      <c r="A577" s="14" t="s">
        <v>17646</v>
      </c>
      <c r="B577" s="14" t="s">
        <v>17647</v>
      </c>
      <c r="C577" s="14" t="s">
        <v>16090</v>
      </c>
      <c r="D577" s="14">
        <v>2</v>
      </c>
      <c r="E577" s="14">
        <v>1378</v>
      </c>
      <c r="F577" s="14">
        <v>15</v>
      </c>
      <c r="G577" s="14">
        <v>15605</v>
      </c>
      <c r="H577" s="14">
        <v>0.387101967820259</v>
      </c>
      <c r="I577" s="14">
        <v>0.911965910022374</v>
      </c>
      <c r="J577" s="14">
        <v>1.50991775520077</v>
      </c>
      <c r="K577" s="14" t="s">
        <v>17648</v>
      </c>
    </row>
    <row r="578" spans="1:11">
      <c r="A578" s="14" t="s">
        <v>17649</v>
      </c>
      <c r="B578" s="14" t="s">
        <v>17650</v>
      </c>
      <c r="C578" s="14" t="s">
        <v>16090</v>
      </c>
      <c r="D578" s="14">
        <v>2</v>
      </c>
      <c r="E578" s="14">
        <v>1378</v>
      </c>
      <c r="F578" s="14">
        <v>15</v>
      </c>
      <c r="G578" s="14">
        <v>15605</v>
      </c>
      <c r="H578" s="14">
        <v>0.387101967820259</v>
      </c>
      <c r="I578" s="14">
        <v>0.911965910022374</v>
      </c>
      <c r="J578" s="14">
        <v>1.50991775520077</v>
      </c>
      <c r="K578" s="14" t="s">
        <v>17651</v>
      </c>
    </row>
    <row r="579" spans="1:11">
      <c r="A579" s="14" t="s">
        <v>17652</v>
      </c>
      <c r="B579" s="14" t="s">
        <v>17653</v>
      </c>
      <c r="C579" s="14" t="s">
        <v>16090</v>
      </c>
      <c r="D579" s="14">
        <v>2</v>
      </c>
      <c r="E579" s="14">
        <v>1378</v>
      </c>
      <c r="F579" s="14">
        <v>15</v>
      </c>
      <c r="G579" s="14">
        <v>15605</v>
      </c>
      <c r="H579" s="14">
        <v>0.387101967820259</v>
      </c>
      <c r="I579" s="14">
        <v>0.911965910022374</v>
      </c>
      <c r="J579" s="14">
        <v>1.50991775520077</v>
      </c>
      <c r="K579" s="14" t="s">
        <v>17654</v>
      </c>
    </row>
    <row r="580" spans="1:11">
      <c r="A580" s="14" t="s">
        <v>17655</v>
      </c>
      <c r="B580" s="14" t="s">
        <v>17656</v>
      </c>
      <c r="C580" s="14" t="s">
        <v>16086</v>
      </c>
      <c r="D580" s="14">
        <v>2</v>
      </c>
      <c r="E580" s="14">
        <v>1378</v>
      </c>
      <c r="F580" s="14">
        <v>15</v>
      </c>
      <c r="G580" s="14">
        <v>15605</v>
      </c>
      <c r="H580" s="14">
        <v>0.387101967820259</v>
      </c>
      <c r="I580" s="14">
        <v>0.911965910022374</v>
      </c>
      <c r="J580" s="14">
        <v>1.50991775520077</v>
      </c>
      <c r="K580" s="14" t="s">
        <v>17463</v>
      </c>
    </row>
    <row r="581" spans="1:11">
      <c r="A581" s="14" t="s">
        <v>17657</v>
      </c>
      <c r="B581" s="14" t="s">
        <v>17658</v>
      </c>
      <c r="C581" s="14" t="s">
        <v>16086</v>
      </c>
      <c r="D581" s="14">
        <v>2</v>
      </c>
      <c r="E581" s="14">
        <v>1378</v>
      </c>
      <c r="F581" s="14">
        <v>15</v>
      </c>
      <c r="G581" s="14">
        <v>15605</v>
      </c>
      <c r="H581" s="14">
        <v>0.387101967820259</v>
      </c>
      <c r="I581" s="14">
        <v>0.911965910022374</v>
      </c>
      <c r="J581" s="14">
        <v>1.50991775520077</v>
      </c>
      <c r="K581" s="14" t="s">
        <v>17659</v>
      </c>
    </row>
    <row r="582" spans="1:11">
      <c r="A582" s="14" t="s">
        <v>17660</v>
      </c>
      <c r="B582" s="14" t="s">
        <v>17661</v>
      </c>
      <c r="C582" s="14" t="s">
        <v>16090</v>
      </c>
      <c r="D582" s="14">
        <v>4</v>
      </c>
      <c r="E582" s="14">
        <v>1378</v>
      </c>
      <c r="F582" s="14">
        <v>36</v>
      </c>
      <c r="G582" s="14">
        <v>15605</v>
      </c>
      <c r="H582" s="14">
        <v>0.394559269389002</v>
      </c>
      <c r="I582" s="14">
        <v>0.911965910022374</v>
      </c>
      <c r="J582" s="14">
        <v>1.25826479600065</v>
      </c>
      <c r="K582" s="14" t="s">
        <v>17662</v>
      </c>
    </row>
    <row r="583" spans="1:11">
      <c r="A583" s="14" t="s">
        <v>17663</v>
      </c>
      <c r="B583" s="14" t="s">
        <v>17664</v>
      </c>
      <c r="C583" s="14" t="s">
        <v>16090</v>
      </c>
      <c r="D583" s="14">
        <v>25</v>
      </c>
      <c r="E583" s="14">
        <v>1378</v>
      </c>
      <c r="F583" s="14">
        <v>265</v>
      </c>
      <c r="G583" s="14">
        <v>15605</v>
      </c>
      <c r="H583" s="14">
        <v>0.394657107999038</v>
      </c>
      <c r="I583" s="14">
        <v>0.911965910022374</v>
      </c>
      <c r="J583" s="14">
        <v>1.06833803434017</v>
      </c>
      <c r="K583" s="14" t="s">
        <v>17665</v>
      </c>
    </row>
    <row r="584" spans="1:11">
      <c r="A584" s="14" t="s">
        <v>17666</v>
      </c>
      <c r="B584" s="14" t="s">
        <v>17667</v>
      </c>
      <c r="C584" s="14" t="s">
        <v>16086</v>
      </c>
      <c r="D584" s="14">
        <v>5</v>
      </c>
      <c r="E584" s="14">
        <v>1378</v>
      </c>
      <c r="F584" s="14">
        <v>47</v>
      </c>
      <c r="G584" s="14">
        <v>15605</v>
      </c>
      <c r="H584" s="14">
        <v>0.401777308707092</v>
      </c>
      <c r="I584" s="14">
        <v>0.911965910022374</v>
      </c>
      <c r="J584" s="14">
        <v>1.20472161319211</v>
      </c>
      <c r="K584" s="14" t="s">
        <v>17630</v>
      </c>
    </row>
    <row r="585" spans="1:11">
      <c r="A585" s="14" t="s">
        <v>17668</v>
      </c>
      <c r="B585" s="14" t="s">
        <v>17669</v>
      </c>
      <c r="C585" s="14" t="s">
        <v>16086</v>
      </c>
      <c r="D585" s="14">
        <v>3</v>
      </c>
      <c r="E585" s="14">
        <v>1378</v>
      </c>
      <c r="F585" s="14">
        <v>26</v>
      </c>
      <c r="G585" s="14">
        <v>15605</v>
      </c>
      <c r="H585" s="14">
        <v>0.4064741059308</v>
      </c>
      <c r="I585" s="14">
        <v>0.911965910022374</v>
      </c>
      <c r="J585" s="14">
        <v>1.30665959584682</v>
      </c>
      <c r="K585" s="14" t="s">
        <v>17670</v>
      </c>
    </row>
    <row r="586" spans="1:11">
      <c r="A586" s="14" t="s">
        <v>17671</v>
      </c>
      <c r="B586" s="14" t="s">
        <v>17672</v>
      </c>
      <c r="C586" s="14" t="s">
        <v>16086</v>
      </c>
      <c r="D586" s="14">
        <v>2</v>
      </c>
      <c r="E586" s="14">
        <v>1378</v>
      </c>
      <c r="F586" s="14">
        <v>16</v>
      </c>
      <c r="G586" s="14">
        <v>15605</v>
      </c>
      <c r="H586" s="14">
        <v>0.419179629359185</v>
      </c>
      <c r="I586" s="14">
        <v>0.911965910022374</v>
      </c>
      <c r="J586" s="14">
        <v>1.41554789550073</v>
      </c>
      <c r="K586" s="14" t="s">
        <v>17673</v>
      </c>
    </row>
    <row r="587" spans="1:11">
      <c r="A587" s="14" t="s">
        <v>17674</v>
      </c>
      <c r="B587" s="14" t="s">
        <v>17675</v>
      </c>
      <c r="C587" s="14" t="s">
        <v>16090</v>
      </c>
      <c r="D587" s="14">
        <v>2</v>
      </c>
      <c r="E587" s="14">
        <v>1378</v>
      </c>
      <c r="F587" s="14">
        <v>16</v>
      </c>
      <c r="G587" s="14">
        <v>15605</v>
      </c>
      <c r="H587" s="14">
        <v>0.419179629359185</v>
      </c>
      <c r="I587" s="14">
        <v>0.911965910022374</v>
      </c>
      <c r="J587" s="14">
        <v>1.41554789550073</v>
      </c>
      <c r="K587" s="14" t="s">
        <v>17676</v>
      </c>
    </row>
    <row r="588" spans="1:11">
      <c r="A588" s="14" t="s">
        <v>17677</v>
      </c>
      <c r="B588" s="14" t="s">
        <v>17678</v>
      </c>
      <c r="C588" s="14" t="s">
        <v>16090</v>
      </c>
      <c r="D588" s="14">
        <v>2</v>
      </c>
      <c r="E588" s="14">
        <v>1378</v>
      </c>
      <c r="F588" s="14">
        <v>16</v>
      </c>
      <c r="G588" s="14">
        <v>15605</v>
      </c>
      <c r="H588" s="14">
        <v>0.419179629359185</v>
      </c>
      <c r="I588" s="14">
        <v>0.911965910022374</v>
      </c>
      <c r="J588" s="14">
        <v>1.41554789550073</v>
      </c>
      <c r="K588" s="14" t="s">
        <v>17190</v>
      </c>
    </row>
    <row r="589" spans="1:11">
      <c r="A589" s="14" t="s">
        <v>17679</v>
      </c>
      <c r="B589" s="14" t="s">
        <v>17680</v>
      </c>
      <c r="C589" s="14" t="s">
        <v>16090</v>
      </c>
      <c r="D589" s="14">
        <v>2</v>
      </c>
      <c r="E589" s="14">
        <v>1378</v>
      </c>
      <c r="F589" s="14">
        <v>16</v>
      </c>
      <c r="G589" s="14">
        <v>15605</v>
      </c>
      <c r="H589" s="14">
        <v>0.419179629359185</v>
      </c>
      <c r="I589" s="14">
        <v>0.911965910022374</v>
      </c>
      <c r="J589" s="14">
        <v>1.41554789550073</v>
      </c>
      <c r="K589" s="14" t="s">
        <v>17681</v>
      </c>
    </row>
    <row r="590" spans="1:11">
      <c r="A590" s="14" t="s">
        <v>17682</v>
      </c>
      <c r="B590" s="14" t="s">
        <v>17683</v>
      </c>
      <c r="C590" s="14" t="s">
        <v>16090</v>
      </c>
      <c r="D590" s="14">
        <v>2</v>
      </c>
      <c r="E590" s="14">
        <v>1378</v>
      </c>
      <c r="F590" s="14">
        <v>16</v>
      </c>
      <c r="G590" s="14">
        <v>15605</v>
      </c>
      <c r="H590" s="14">
        <v>0.419179629359185</v>
      </c>
      <c r="I590" s="14">
        <v>0.911965910022374</v>
      </c>
      <c r="J590" s="14">
        <v>1.41554789550073</v>
      </c>
      <c r="K590" s="14" t="s">
        <v>16884</v>
      </c>
    </row>
    <row r="591" spans="1:11">
      <c r="A591" s="14" t="s">
        <v>17684</v>
      </c>
      <c r="B591" s="14" t="s">
        <v>17685</v>
      </c>
      <c r="C591" s="14" t="s">
        <v>16090</v>
      </c>
      <c r="D591" s="14">
        <v>2</v>
      </c>
      <c r="E591" s="14">
        <v>1378</v>
      </c>
      <c r="F591" s="14">
        <v>16</v>
      </c>
      <c r="G591" s="14">
        <v>15605</v>
      </c>
      <c r="H591" s="14">
        <v>0.419179629359185</v>
      </c>
      <c r="I591" s="14">
        <v>0.911965910022374</v>
      </c>
      <c r="J591" s="14">
        <v>1.41554789550073</v>
      </c>
      <c r="K591" s="14" t="s">
        <v>17686</v>
      </c>
    </row>
    <row r="592" spans="1:11">
      <c r="A592" s="14" t="s">
        <v>17687</v>
      </c>
      <c r="B592" s="14" t="s">
        <v>17688</v>
      </c>
      <c r="C592" s="14" t="s">
        <v>16090</v>
      </c>
      <c r="D592" s="14">
        <v>2</v>
      </c>
      <c r="E592" s="14">
        <v>1378</v>
      </c>
      <c r="F592" s="14">
        <v>16</v>
      </c>
      <c r="G592" s="14">
        <v>15605</v>
      </c>
      <c r="H592" s="14">
        <v>0.419179629359185</v>
      </c>
      <c r="I592" s="14">
        <v>0.911965910022374</v>
      </c>
      <c r="J592" s="14">
        <v>1.41554789550073</v>
      </c>
      <c r="K592" s="14" t="s">
        <v>17689</v>
      </c>
    </row>
    <row r="593" spans="1:11">
      <c r="A593" s="14" t="s">
        <v>17690</v>
      </c>
      <c r="B593" s="14" t="s">
        <v>17691</v>
      </c>
      <c r="C593" s="14" t="s">
        <v>16090</v>
      </c>
      <c r="D593" s="14">
        <v>2</v>
      </c>
      <c r="E593" s="14">
        <v>1378</v>
      </c>
      <c r="F593" s="14">
        <v>16</v>
      </c>
      <c r="G593" s="14">
        <v>15605</v>
      </c>
      <c r="H593" s="14">
        <v>0.419179629359185</v>
      </c>
      <c r="I593" s="14">
        <v>0.911965910022374</v>
      </c>
      <c r="J593" s="14">
        <v>1.41554789550073</v>
      </c>
      <c r="K593" s="14" t="s">
        <v>17692</v>
      </c>
    </row>
    <row r="594" spans="1:11">
      <c r="A594" s="14" t="s">
        <v>17693</v>
      </c>
      <c r="B594" s="14" t="s">
        <v>17694</v>
      </c>
      <c r="C594" s="14" t="s">
        <v>16090</v>
      </c>
      <c r="D594" s="14">
        <v>9</v>
      </c>
      <c r="E594" s="14">
        <v>1378</v>
      </c>
      <c r="F594" s="14">
        <v>92</v>
      </c>
      <c r="G594" s="14">
        <v>15605</v>
      </c>
      <c r="H594" s="14">
        <v>0.425500396156467</v>
      </c>
      <c r="I594" s="14">
        <v>0.911965910022374</v>
      </c>
      <c r="J594" s="14">
        <v>1.107820092131</v>
      </c>
      <c r="K594" s="14" t="s">
        <v>17695</v>
      </c>
    </row>
    <row r="595" spans="1:11">
      <c r="A595" s="14" t="s">
        <v>17696</v>
      </c>
      <c r="B595" s="14" t="s">
        <v>17697</v>
      </c>
      <c r="C595" s="14" t="s">
        <v>16086</v>
      </c>
      <c r="D595" s="14">
        <v>1</v>
      </c>
      <c r="E595" s="14">
        <v>1378</v>
      </c>
      <c r="F595" s="14">
        <v>6</v>
      </c>
      <c r="G595" s="14">
        <v>15605</v>
      </c>
      <c r="H595" s="14">
        <v>0.425808304539443</v>
      </c>
      <c r="I595" s="14">
        <v>0.911965910022374</v>
      </c>
      <c r="J595" s="14">
        <v>1.88739719400097</v>
      </c>
      <c r="K595" s="14" t="s">
        <v>8063</v>
      </c>
    </row>
    <row r="596" spans="1:11">
      <c r="A596" s="14" t="s">
        <v>17698</v>
      </c>
      <c r="B596" s="14" t="s">
        <v>17699</v>
      </c>
      <c r="C596" s="14" t="s">
        <v>16086</v>
      </c>
      <c r="D596" s="14">
        <v>1</v>
      </c>
      <c r="E596" s="14">
        <v>1378</v>
      </c>
      <c r="F596" s="14">
        <v>6</v>
      </c>
      <c r="G596" s="14">
        <v>15605</v>
      </c>
      <c r="H596" s="14">
        <v>0.425808304539443</v>
      </c>
      <c r="I596" s="14">
        <v>0.911965910022374</v>
      </c>
      <c r="J596" s="14">
        <v>1.88739719400097</v>
      </c>
      <c r="K596" s="14" t="s">
        <v>11064</v>
      </c>
    </row>
    <row r="597" spans="1:11">
      <c r="A597" s="14" t="s">
        <v>17700</v>
      </c>
      <c r="B597" s="14" t="s">
        <v>17701</v>
      </c>
      <c r="C597" s="14" t="s">
        <v>16086</v>
      </c>
      <c r="D597" s="14">
        <v>1</v>
      </c>
      <c r="E597" s="14">
        <v>1378</v>
      </c>
      <c r="F597" s="14">
        <v>6</v>
      </c>
      <c r="G597" s="14">
        <v>15605</v>
      </c>
      <c r="H597" s="14">
        <v>0.425808304539443</v>
      </c>
      <c r="I597" s="14">
        <v>0.911965910022374</v>
      </c>
      <c r="J597" s="14">
        <v>1.88739719400097</v>
      </c>
      <c r="K597" s="14" t="s">
        <v>8032</v>
      </c>
    </row>
    <row r="598" spans="1:11">
      <c r="A598" s="14" t="s">
        <v>17702</v>
      </c>
      <c r="B598" s="14" t="s">
        <v>17703</v>
      </c>
      <c r="C598" s="14" t="s">
        <v>16086</v>
      </c>
      <c r="D598" s="14">
        <v>1</v>
      </c>
      <c r="E598" s="14">
        <v>1378</v>
      </c>
      <c r="F598" s="14">
        <v>6</v>
      </c>
      <c r="G598" s="14">
        <v>15605</v>
      </c>
      <c r="H598" s="14">
        <v>0.425808304539443</v>
      </c>
      <c r="I598" s="14">
        <v>0.911965910022374</v>
      </c>
      <c r="J598" s="14">
        <v>1.88739719400097</v>
      </c>
      <c r="K598" s="14" t="s">
        <v>5500</v>
      </c>
    </row>
    <row r="599" spans="1:11">
      <c r="A599" s="14" t="s">
        <v>17704</v>
      </c>
      <c r="B599" s="14" t="s">
        <v>17705</v>
      </c>
      <c r="C599" s="14" t="s">
        <v>16086</v>
      </c>
      <c r="D599" s="14">
        <v>1</v>
      </c>
      <c r="E599" s="14">
        <v>1378</v>
      </c>
      <c r="F599" s="14">
        <v>6</v>
      </c>
      <c r="G599" s="14">
        <v>15605</v>
      </c>
      <c r="H599" s="14">
        <v>0.425808304539443</v>
      </c>
      <c r="I599" s="14">
        <v>0.911965910022374</v>
      </c>
      <c r="J599" s="14">
        <v>1.88739719400097</v>
      </c>
      <c r="K599" s="14" t="s">
        <v>7837</v>
      </c>
    </row>
    <row r="600" spans="1:11">
      <c r="A600" s="14" t="s">
        <v>17706</v>
      </c>
      <c r="B600" s="14" t="s">
        <v>17707</v>
      </c>
      <c r="C600" s="14" t="s">
        <v>16086</v>
      </c>
      <c r="D600" s="14">
        <v>1</v>
      </c>
      <c r="E600" s="14">
        <v>1378</v>
      </c>
      <c r="F600" s="14">
        <v>6</v>
      </c>
      <c r="G600" s="14">
        <v>15605</v>
      </c>
      <c r="H600" s="14">
        <v>0.425808304539443</v>
      </c>
      <c r="I600" s="14">
        <v>0.911965910022374</v>
      </c>
      <c r="J600" s="14">
        <v>1.88739719400097</v>
      </c>
      <c r="K600" s="14" t="s">
        <v>4049</v>
      </c>
    </row>
    <row r="601" spans="1:11">
      <c r="A601" s="14" t="s">
        <v>17708</v>
      </c>
      <c r="B601" s="14" t="s">
        <v>17709</v>
      </c>
      <c r="C601" s="14" t="s">
        <v>16096</v>
      </c>
      <c r="D601" s="14">
        <v>1</v>
      </c>
      <c r="E601" s="14">
        <v>1378</v>
      </c>
      <c r="F601" s="14">
        <v>6</v>
      </c>
      <c r="G601" s="14">
        <v>15605</v>
      </c>
      <c r="H601" s="14">
        <v>0.425808304539443</v>
      </c>
      <c r="I601" s="14">
        <v>0.911965910022374</v>
      </c>
      <c r="J601" s="14">
        <v>1.88739719400097</v>
      </c>
      <c r="K601" s="14" t="s">
        <v>9034</v>
      </c>
    </row>
    <row r="602" spans="1:11">
      <c r="A602" s="14" t="s">
        <v>17710</v>
      </c>
      <c r="B602" s="14" t="s">
        <v>17711</v>
      </c>
      <c r="C602" s="14" t="s">
        <v>16090</v>
      </c>
      <c r="D602" s="14">
        <v>1</v>
      </c>
      <c r="E602" s="14">
        <v>1378</v>
      </c>
      <c r="F602" s="14">
        <v>6</v>
      </c>
      <c r="G602" s="14">
        <v>15605</v>
      </c>
      <c r="H602" s="14">
        <v>0.425808304539443</v>
      </c>
      <c r="I602" s="14">
        <v>0.911965910022374</v>
      </c>
      <c r="J602" s="14">
        <v>1.88739719400097</v>
      </c>
      <c r="K602" s="14" t="s">
        <v>14375</v>
      </c>
    </row>
    <row r="603" spans="1:11">
      <c r="A603" s="14" t="s">
        <v>17712</v>
      </c>
      <c r="B603" s="14" t="s">
        <v>17713</v>
      </c>
      <c r="C603" s="14" t="s">
        <v>16090</v>
      </c>
      <c r="D603" s="14">
        <v>1</v>
      </c>
      <c r="E603" s="14">
        <v>1378</v>
      </c>
      <c r="F603" s="14">
        <v>6</v>
      </c>
      <c r="G603" s="14">
        <v>15605</v>
      </c>
      <c r="H603" s="14">
        <v>0.425808304539443</v>
      </c>
      <c r="I603" s="14">
        <v>0.911965910022374</v>
      </c>
      <c r="J603" s="14">
        <v>1.88739719400097</v>
      </c>
      <c r="K603" s="14" t="s">
        <v>6358</v>
      </c>
    </row>
    <row r="604" spans="1:11">
      <c r="A604" s="14" t="s">
        <v>17714</v>
      </c>
      <c r="B604" s="14" t="s">
        <v>17715</v>
      </c>
      <c r="C604" s="14" t="s">
        <v>16090</v>
      </c>
      <c r="D604" s="14">
        <v>1</v>
      </c>
      <c r="E604" s="14">
        <v>1378</v>
      </c>
      <c r="F604" s="14">
        <v>6</v>
      </c>
      <c r="G604" s="14">
        <v>15605</v>
      </c>
      <c r="H604" s="14">
        <v>0.425808304539443</v>
      </c>
      <c r="I604" s="14">
        <v>0.911965910022374</v>
      </c>
      <c r="J604" s="14">
        <v>1.88739719400097</v>
      </c>
      <c r="K604" s="14" t="s">
        <v>12175</v>
      </c>
    </row>
    <row r="605" spans="1:11">
      <c r="A605" s="14" t="s">
        <v>17716</v>
      </c>
      <c r="B605" s="14" t="s">
        <v>17717</v>
      </c>
      <c r="C605" s="14" t="s">
        <v>16090</v>
      </c>
      <c r="D605" s="14">
        <v>1</v>
      </c>
      <c r="E605" s="14">
        <v>1378</v>
      </c>
      <c r="F605" s="14">
        <v>6</v>
      </c>
      <c r="G605" s="14">
        <v>15605</v>
      </c>
      <c r="H605" s="14">
        <v>0.425808304539443</v>
      </c>
      <c r="I605" s="14">
        <v>0.911965910022374</v>
      </c>
      <c r="J605" s="14">
        <v>1.88739719400097</v>
      </c>
      <c r="K605" s="14" t="s">
        <v>1502</v>
      </c>
    </row>
    <row r="606" spans="1:11">
      <c r="A606" s="14" t="s">
        <v>17718</v>
      </c>
      <c r="B606" s="14" t="s">
        <v>17719</v>
      </c>
      <c r="C606" s="14" t="s">
        <v>16090</v>
      </c>
      <c r="D606" s="14">
        <v>1</v>
      </c>
      <c r="E606" s="14">
        <v>1378</v>
      </c>
      <c r="F606" s="14">
        <v>6</v>
      </c>
      <c r="G606" s="14">
        <v>15605</v>
      </c>
      <c r="H606" s="14">
        <v>0.425808304539443</v>
      </c>
      <c r="I606" s="14">
        <v>0.911965910022374</v>
      </c>
      <c r="J606" s="14">
        <v>1.88739719400097</v>
      </c>
      <c r="K606" s="14" t="s">
        <v>9332</v>
      </c>
    </row>
    <row r="607" spans="1:11">
      <c r="A607" s="14" t="s">
        <v>17720</v>
      </c>
      <c r="B607" s="14" t="s">
        <v>17721</v>
      </c>
      <c r="C607" s="14" t="s">
        <v>16090</v>
      </c>
      <c r="D607" s="14">
        <v>1</v>
      </c>
      <c r="E607" s="14">
        <v>1378</v>
      </c>
      <c r="F607" s="14">
        <v>6</v>
      </c>
      <c r="G607" s="14">
        <v>15605</v>
      </c>
      <c r="H607" s="14">
        <v>0.425808304539443</v>
      </c>
      <c r="I607" s="14">
        <v>0.911965910022374</v>
      </c>
      <c r="J607" s="14">
        <v>1.88739719400097</v>
      </c>
      <c r="K607" s="14" t="s">
        <v>5533</v>
      </c>
    </row>
    <row r="608" spans="1:11">
      <c r="A608" s="14" t="s">
        <v>17722</v>
      </c>
      <c r="B608" s="14" t="s">
        <v>17723</v>
      </c>
      <c r="C608" s="14" t="s">
        <v>16086</v>
      </c>
      <c r="D608" s="14">
        <v>1</v>
      </c>
      <c r="E608" s="14">
        <v>1378</v>
      </c>
      <c r="F608" s="14">
        <v>6</v>
      </c>
      <c r="G608" s="14">
        <v>15605</v>
      </c>
      <c r="H608" s="14">
        <v>0.425808304539443</v>
      </c>
      <c r="I608" s="14">
        <v>0.911965910022374</v>
      </c>
      <c r="J608" s="14">
        <v>1.88739719400097</v>
      </c>
      <c r="K608" s="14" t="s">
        <v>4905</v>
      </c>
    </row>
    <row r="609" spans="1:11">
      <c r="A609" s="14" t="s">
        <v>17724</v>
      </c>
      <c r="B609" s="14" t="s">
        <v>17725</v>
      </c>
      <c r="C609" s="14" t="s">
        <v>16086</v>
      </c>
      <c r="D609" s="14">
        <v>1</v>
      </c>
      <c r="E609" s="14">
        <v>1378</v>
      </c>
      <c r="F609" s="14">
        <v>6</v>
      </c>
      <c r="G609" s="14">
        <v>15605</v>
      </c>
      <c r="H609" s="14">
        <v>0.425808304539443</v>
      </c>
      <c r="I609" s="14">
        <v>0.911965910022374</v>
      </c>
      <c r="J609" s="14">
        <v>1.88739719400097</v>
      </c>
      <c r="K609" s="14" t="s">
        <v>9095</v>
      </c>
    </row>
    <row r="610" spans="1:11">
      <c r="A610" s="14" t="s">
        <v>17726</v>
      </c>
      <c r="B610" s="14" t="s">
        <v>17727</v>
      </c>
      <c r="C610" s="14" t="s">
        <v>16090</v>
      </c>
      <c r="D610" s="14">
        <v>1</v>
      </c>
      <c r="E610" s="14">
        <v>1378</v>
      </c>
      <c r="F610" s="14">
        <v>6</v>
      </c>
      <c r="G610" s="14">
        <v>15605</v>
      </c>
      <c r="H610" s="14">
        <v>0.425808304539443</v>
      </c>
      <c r="I610" s="14">
        <v>0.911965910022374</v>
      </c>
      <c r="J610" s="14">
        <v>1.88739719400097</v>
      </c>
      <c r="K610" s="14" t="s">
        <v>10881</v>
      </c>
    </row>
    <row r="611" spans="1:11">
      <c r="A611" s="14" t="s">
        <v>17728</v>
      </c>
      <c r="B611" s="14" t="s">
        <v>17729</v>
      </c>
      <c r="C611" s="14" t="s">
        <v>16096</v>
      </c>
      <c r="D611" s="14">
        <v>1</v>
      </c>
      <c r="E611" s="14">
        <v>1378</v>
      </c>
      <c r="F611" s="14">
        <v>6</v>
      </c>
      <c r="G611" s="14">
        <v>15605</v>
      </c>
      <c r="H611" s="14">
        <v>0.425808304539443</v>
      </c>
      <c r="I611" s="14">
        <v>0.911965910022374</v>
      </c>
      <c r="J611" s="14">
        <v>1.88739719400097</v>
      </c>
      <c r="K611" s="14" t="s">
        <v>345</v>
      </c>
    </row>
    <row r="612" spans="1:11">
      <c r="A612" s="14" t="s">
        <v>17730</v>
      </c>
      <c r="B612" s="14" t="s">
        <v>17731</v>
      </c>
      <c r="C612" s="14" t="s">
        <v>16090</v>
      </c>
      <c r="D612" s="14">
        <v>1</v>
      </c>
      <c r="E612" s="14">
        <v>1378</v>
      </c>
      <c r="F612" s="14">
        <v>6</v>
      </c>
      <c r="G612" s="14">
        <v>15605</v>
      </c>
      <c r="H612" s="14">
        <v>0.425808304539443</v>
      </c>
      <c r="I612" s="14">
        <v>0.911965910022374</v>
      </c>
      <c r="J612" s="14">
        <v>1.88739719400097</v>
      </c>
      <c r="K612" s="14" t="s">
        <v>10714</v>
      </c>
    </row>
    <row r="613" spans="1:11">
      <c r="A613" s="14" t="s">
        <v>17732</v>
      </c>
      <c r="B613" s="14" t="s">
        <v>17733</v>
      </c>
      <c r="C613" s="14" t="s">
        <v>16096</v>
      </c>
      <c r="D613" s="14">
        <v>1</v>
      </c>
      <c r="E613" s="14">
        <v>1378</v>
      </c>
      <c r="F613" s="14">
        <v>6</v>
      </c>
      <c r="G613" s="14">
        <v>15605</v>
      </c>
      <c r="H613" s="14">
        <v>0.425808304539443</v>
      </c>
      <c r="I613" s="14">
        <v>0.911965910022374</v>
      </c>
      <c r="J613" s="14">
        <v>1.88739719400097</v>
      </c>
      <c r="K613" s="14" t="s">
        <v>13363</v>
      </c>
    </row>
    <row r="614" spans="1:11">
      <c r="A614" s="14" t="s">
        <v>17734</v>
      </c>
      <c r="B614" s="14" t="s">
        <v>17735</v>
      </c>
      <c r="C614" s="14" t="s">
        <v>16090</v>
      </c>
      <c r="D614" s="14">
        <v>1</v>
      </c>
      <c r="E614" s="14">
        <v>1378</v>
      </c>
      <c r="F614" s="14">
        <v>6</v>
      </c>
      <c r="G614" s="14">
        <v>15605</v>
      </c>
      <c r="H614" s="14">
        <v>0.425808304539443</v>
      </c>
      <c r="I614" s="14">
        <v>0.911965910022374</v>
      </c>
      <c r="J614" s="14">
        <v>1.88739719400097</v>
      </c>
      <c r="K614" s="14" t="s">
        <v>625</v>
      </c>
    </row>
    <row r="615" spans="1:11">
      <c r="A615" s="14" t="s">
        <v>17736</v>
      </c>
      <c r="B615" s="14" t="s">
        <v>17737</v>
      </c>
      <c r="C615" s="14" t="s">
        <v>16090</v>
      </c>
      <c r="D615" s="14">
        <v>1</v>
      </c>
      <c r="E615" s="14">
        <v>1378</v>
      </c>
      <c r="F615" s="14">
        <v>6</v>
      </c>
      <c r="G615" s="14">
        <v>15605</v>
      </c>
      <c r="H615" s="14">
        <v>0.425808304539443</v>
      </c>
      <c r="I615" s="14">
        <v>0.911965910022374</v>
      </c>
      <c r="J615" s="14">
        <v>1.88739719400097</v>
      </c>
      <c r="K615" s="14" t="s">
        <v>10774</v>
      </c>
    </row>
    <row r="616" spans="1:11">
      <c r="A616" s="14" t="s">
        <v>17738</v>
      </c>
      <c r="B616" s="14" t="s">
        <v>17739</v>
      </c>
      <c r="C616" s="14" t="s">
        <v>16090</v>
      </c>
      <c r="D616" s="14">
        <v>1</v>
      </c>
      <c r="E616" s="14">
        <v>1378</v>
      </c>
      <c r="F616" s="14">
        <v>6</v>
      </c>
      <c r="G616" s="14">
        <v>15605</v>
      </c>
      <c r="H616" s="14">
        <v>0.425808304539443</v>
      </c>
      <c r="I616" s="14">
        <v>0.911965910022374</v>
      </c>
      <c r="J616" s="14">
        <v>1.88739719400097</v>
      </c>
      <c r="K616" s="14" t="s">
        <v>625</v>
      </c>
    </row>
    <row r="617" spans="1:11">
      <c r="A617" s="14" t="s">
        <v>17740</v>
      </c>
      <c r="B617" s="14" t="s">
        <v>17741</v>
      </c>
      <c r="C617" s="14" t="s">
        <v>16086</v>
      </c>
      <c r="D617" s="14">
        <v>1</v>
      </c>
      <c r="E617" s="14">
        <v>1378</v>
      </c>
      <c r="F617" s="14">
        <v>6</v>
      </c>
      <c r="G617" s="14">
        <v>15605</v>
      </c>
      <c r="H617" s="14">
        <v>0.425808304539443</v>
      </c>
      <c r="I617" s="14">
        <v>0.911965910022374</v>
      </c>
      <c r="J617" s="14">
        <v>1.88739719400097</v>
      </c>
      <c r="K617" s="14" t="s">
        <v>15989</v>
      </c>
    </row>
    <row r="618" spans="1:11">
      <c r="A618" s="14" t="s">
        <v>17742</v>
      </c>
      <c r="B618" s="14" t="s">
        <v>17743</v>
      </c>
      <c r="C618" s="14" t="s">
        <v>16086</v>
      </c>
      <c r="D618" s="14">
        <v>1</v>
      </c>
      <c r="E618" s="14">
        <v>1378</v>
      </c>
      <c r="F618" s="14">
        <v>6</v>
      </c>
      <c r="G618" s="14">
        <v>15605</v>
      </c>
      <c r="H618" s="14">
        <v>0.425808304539443</v>
      </c>
      <c r="I618" s="14">
        <v>0.911965910022374</v>
      </c>
      <c r="J618" s="14">
        <v>1.88739719400097</v>
      </c>
      <c r="K618" s="14" t="s">
        <v>15989</v>
      </c>
    </row>
    <row r="619" spans="1:11">
      <c r="A619" s="14" t="s">
        <v>17744</v>
      </c>
      <c r="B619" s="14" t="s">
        <v>17745</v>
      </c>
      <c r="C619" s="14" t="s">
        <v>16090</v>
      </c>
      <c r="D619" s="14">
        <v>1</v>
      </c>
      <c r="E619" s="14">
        <v>1378</v>
      </c>
      <c r="F619" s="14">
        <v>6</v>
      </c>
      <c r="G619" s="14">
        <v>15605</v>
      </c>
      <c r="H619" s="14">
        <v>0.425808304539443</v>
      </c>
      <c r="I619" s="14">
        <v>0.911965910022374</v>
      </c>
      <c r="J619" s="14">
        <v>1.88739719400097</v>
      </c>
      <c r="K619" s="14" t="s">
        <v>12407</v>
      </c>
    </row>
    <row r="620" spans="1:11">
      <c r="A620" s="14" t="s">
        <v>17746</v>
      </c>
      <c r="B620" s="14" t="s">
        <v>17747</v>
      </c>
      <c r="C620" s="14" t="s">
        <v>16086</v>
      </c>
      <c r="D620" s="14">
        <v>1</v>
      </c>
      <c r="E620" s="14">
        <v>1378</v>
      </c>
      <c r="F620" s="14">
        <v>6</v>
      </c>
      <c r="G620" s="14">
        <v>15605</v>
      </c>
      <c r="H620" s="14">
        <v>0.425808304539443</v>
      </c>
      <c r="I620" s="14">
        <v>0.911965910022374</v>
      </c>
      <c r="J620" s="14">
        <v>1.88739719400097</v>
      </c>
      <c r="K620" s="14" t="s">
        <v>15402</v>
      </c>
    </row>
    <row r="621" spans="1:11">
      <c r="A621" s="14" t="s">
        <v>17748</v>
      </c>
      <c r="B621" s="14" t="s">
        <v>17749</v>
      </c>
      <c r="C621" s="14" t="s">
        <v>16096</v>
      </c>
      <c r="D621" s="14">
        <v>1</v>
      </c>
      <c r="E621" s="14">
        <v>1378</v>
      </c>
      <c r="F621" s="14">
        <v>6</v>
      </c>
      <c r="G621" s="14">
        <v>15605</v>
      </c>
      <c r="H621" s="14">
        <v>0.425808304539443</v>
      </c>
      <c r="I621" s="14">
        <v>0.911965910022374</v>
      </c>
      <c r="J621" s="14">
        <v>1.88739719400097</v>
      </c>
      <c r="K621" s="14" t="s">
        <v>5713</v>
      </c>
    </row>
    <row r="622" spans="1:11">
      <c r="A622" s="14" t="s">
        <v>17750</v>
      </c>
      <c r="B622" s="14" t="s">
        <v>17751</v>
      </c>
      <c r="C622" s="14" t="s">
        <v>16086</v>
      </c>
      <c r="D622" s="14">
        <v>1</v>
      </c>
      <c r="E622" s="14">
        <v>1378</v>
      </c>
      <c r="F622" s="14">
        <v>6</v>
      </c>
      <c r="G622" s="14">
        <v>15605</v>
      </c>
      <c r="H622" s="14">
        <v>0.425808304539443</v>
      </c>
      <c r="I622" s="14">
        <v>0.911965910022374</v>
      </c>
      <c r="J622" s="14">
        <v>1.88739719400097</v>
      </c>
      <c r="K622" s="14" t="s">
        <v>5500</v>
      </c>
    </row>
    <row r="623" spans="1:11">
      <c r="A623" s="14" t="s">
        <v>17752</v>
      </c>
      <c r="B623" s="14" t="s">
        <v>17753</v>
      </c>
      <c r="C623" s="14" t="s">
        <v>16086</v>
      </c>
      <c r="D623" s="14">
        <v>1</v>
      </c>
      <c r="E623" s="14">
        <v>1378</v>
      </c>
      <c r="F623" s="14">
        <v>6</v>
      </c>
      <c r="G623" s="14">
        <v>15605</v>
      </c>
      <c r="H623" s="14">
        <v>0.425808304539443</v>
      </c>
      <c r="I623" s="14">
        <v>0.911965910022374</v>
      </c>
      <c r="J623" s="14">
        <v>1.88739719400097</v>
      </c>
      <c r="K623" s="14" t="s">
        <v>12610</v>
      </c>
    </row>
    <row r="624" spans="1:11">
      <c r="A624" s="14" t="s">
        <v>17754</v>
      </c>
      <c r="B624" s="14" t="s">
        <v>17755</v>
      </c>
      <c r="C624" s="14" t="s">
        <v>16090</v>
      </c>
      <c r="D624" s="14">
        <v>1</v>
      </c>
      <c r="E624" s="14">
        <v>1378</v>
      </c>
      <c r="F624" s="14">
        <v>6</v>
      </c>
      <c r="G624" s="14">
        <v>15605</v>
      </c>
      <c r="H624" s="14">
        <v>0.425808304539443</v>
      </c>
      <c r="I624" s="14">
        <v>0.911965910022374</v>
      </c>
      <c r="J624" s="14">
        <v>1.88739719400097</v>
      </c>
      <c r="K624" s="14" t="s">
        <v>7837</v>
      </c>
    </row>
    <row r="625" spans="1:11">
      <c r="A625" s="14" t="s">
        <v>17756</v>
      </c>
      <c r="B625" s="14" t="s">
        <v>17757</v>
      </c>
      <c r="C625" s="14" t="s">
        <v>16086</v>
      </c>
      <c r="D625" s="14">
        <v>1</v>
      </c>
      <c r="E625" s="14">
        <v>1378</v>
      </c>
      <c r="F625" s="14">
        <v>6</v>
      </c>
      <c r="G625" s="14">
        <v>15605</v>
      </c>
      <c r="H625" s="14">
        <v>0.425808304539443</v>
      </c>
      <c r="I625" s="14">
        <v>0.911965910022374</v>
      </c>
      <c r="J625" s="14">
        <v>1.88739719400097</v>
      </c>
      <c r="K625" s="14" t="s">
        <v>8755</v>
      </c>
    </row>
    <row r="626" spans="1:11">
      <c r="A626" s="14" t="s">
        <v>17758</v>
      </c>
      <c r="B626" s="14" t="s">
        <v>17759</v>
      </c>
      <c r="C626" s="14" t="s">
        <v>16090</v>
      </c>
      <c r="D626" s="14">
        <v>1</v>
      </c>
      <c r="E626" s="14">
        <v>1378</v>
      </c>
      <c r="F626" s="14">
        <v>6</v>
      </c>
      <c r="G626" s="14">
        <v>15605</v>
      </c>
      <c r="H626" s="14">
        <v>0.425808304539443</v>
      </c>
      <c r="I626" s="14">
        <v>0.911965910022374</v>
      </c>
      <c r="J626" s="14">
        <v>1.88739719400097</v>
      </c>
      <c r="K626" s="14" t="s">
        <v>15741</v>
      </c>
    </row>
    <row r="627" spans="1:11">
      <c r="A627" s="14" t="s">
        <v>17760</v>
      </c>
      <c r="B627" s="14" t="s">
        <v>17761</v>
      </c>
      <c r="C627" s="14" t="s">
        <v>16090</v>
      </c>
      <c r="D627" s="14">
        <v>1</v>
      </c>
      <c r="E627" s="14">
        <v>1378</v>
      </c>
      <c r="F627" s="14">
        <v>6</v>
      </c>
      <c r="G627" s="14">
        <v>15605</v>
      </c>
      <c r="H627" s="14">
        <v>0.425808304539443</v>
      </c>
      <c r="I627" s="14">
        <v>0.911965910022374</v>
      </c>
      <c r="J627" s="14">
        <v>1.88739719400097</v>
      </c>
      <c r="K627" s="14" t="s">
        <v>15261</v>
      </c>
    </row>
    <row r="628" spans="1:11">
      <c r="A628" s="14" t="s">
        <v>17762</v>
      </c>
      <c r="B628" s="14" t="s">
        <v>17763</v>
      </c>
      <c r="C628" s="14" t="s">
        <v>16096</v>
      </c>
      <c r="D628" s="14">
        <v>1</v>
      </c>
      <c r="E628" s="14">
        <v>1378</v>
      </c>
      <c r="F628" s="14">
        <v>6</v>
      </c>
      <c r="G628" s="14">
        <v>15605</v>
      </c>
      <c r="H628" s="14">
        <v>0.425808304539443</v>
      </c>
      <c r="I628" s="14">
        <v>0.911965910022374</v>
      </c>
      <c r="J628" s="14">
        <v>1.88739719400097</v>
      </c>
      <c r="K628" s="14" t="s">
        <v>5533</v>
      </c>
    </row>
    <row r="629" spans="1:11">
      <c r="A629" s="14" t="s">
        <v>17764</v>
      </c>
      <c r="B629" s="14" t="s">
        <v>17765</v>
      </c>
      <c r="C629" s="14" t="s">
        <v>16096</v>
      </c>
      <c r="D629" s="14">
        <v>1</v>
      </c>
      <c r="E629" s="14">
        <v>1378</v>
      </c>
      <c r="F629" s="14">
        <v>6</v>
      </c>
      <c r="G629" s="14">
        <v>15605</v>
      </c>
      <c r="H629" s="14">
        <v>0.425808304539443</v>
      </c>
      <c r="I629" s="14">
        <v>0.911965910022374</v>
      </c>
      <c r="J629" s="14">
        <v>1.88739719400097</v>
      </c>
      <c r="K629" s="14" t="s">
        <v>3307</v>
      </c>
    </row>
    <row r="630" spans="1:11">
      <c r="A630" s="14" t="s">
        <v>17766</v>
      </c>
      <c r="B630" s="14" t="s">
        <v>17767</v>
      </c>
      <c r="C630" s="14" t="s">
        <v>16086</v>
      </c>
      <c r="D630" s="14">
        <v>1</v>
      </c>
      <c r="E630" s="14">
        <v>1378</v>
      </c>
      <c r="F630" s="14">
        <v>6</v>
      </c>
      <c r="G630" s="14">
        <v>15605</v>
      </c>
      <c r="H630" s="14">
        <v>0.425808304539443</v>
      </c>
      <c r="I630" s="14">
        <v>0.911965910022374</v>
      </c>
      <c r="J630" s="14">
        <v>1.88739719400097</v>
      </c>
      <c r="K630" s="14" t="s">
        <v>11048</v>
      </c>
    </row>
    <row r="631" spans="1:11">
      <c r="A631" s="14" t="s">
        <v>17768</v>
      </c>
      <c r="B631" s="14" t="s">
        <v>17769</v>
      </c>
      <c r="C631" s="14" t="s">
        <v>16090</v>
      </c>
      <c r="D631" s="14">
        <v>1</v>
      </c>
      <c r="E631" s="14">
        <v>1378</v>
      </c>
      <c r="F631" s="14">
        <v>6</v>
      </c>
      <c r="G631" s="14">
        <v>15605</v>
      </c>
      <c r="H631" s="14">
        <v>0.425808304539443</v>
      </c>
      <c r="I631" s="14">
        <v>0.911965910022374</v>
      </c>
      <c r="J631" s="14">
        <v>1.88739719400097</v>
      </c>
      <c r="K631" s="14" t="s">
        <v>7296</v>
      </c>
    </row>
    <row r="632" spans="1:11">
      <c r="A632" s="14" t="s">
        <v>17770</v>
      </c>
      <c r="B632" s="14" t="s">
        <v>17771</v>
      </c>
      <c r="C632" s="14" t="s">
        <v>16096</v>
      </c>
      <c r="D632" s="14">
        <v>1</v>
      </c>
      <c r="E632" s="14">
        <v>1378</v>
      </c>
      <c r="F632" s="14">
        <v>6</v>
      </c>
      <c r="G632" s="14">
        <v>15605</v>
      </c>
      <c r="H632" s="14">
        <v>0.425808304539443</v>
      </c>
      <c r="I632" s="14">
        <v>0.911965910022374</v>
      </c>
      <c r="J632" s="14">
        <v>1.88739719400097</v>
      </c>
      <c r="K632" s="14" t="s">
        <v>15538</v>
      </c>
    </row>
    <row r="633" spans="1:11">
      <c r="A633" s="14" t="s">
        <v>17772</v>
      </c>
      <c r="B633" s="14" t="s">
        <v>17773</v>
      </c>
      <c r="C633" s="14" t="s">
        <v>16090</v>
      </c>
      <c r="D633" s="14">
        <v>1</v>
      </c>
      <c r="E633" s="14">
        <v>1378</v>
      </c>
      <c r="F633" s="14">
        <v>6</v>
      </c>
      <c r="G633" s="14">
        <v>15605</v>
      </c>
      <c r="H633" s="14">
        <v>0.425808304539443</v>
      </c>
      <c r="I633" s="14">
        <v>0.911965910022374</v>
      </c>
      <c r="J633" s="14">
        <v>1.88739719400097</v>
      </c>
      <c r="K633" s="14" t="s">
        <v>8168</v>
      </c>
    </row>
    <row r="634" spans="1:11">
      <c r="A634" s="14" t="s">
        <v>17774</v>
      </c>
      <c r="B634" s="14" t="s">
        <v>17775</v>
      </c>
      <c r="C634" s="14" t="s">
        <v>16090</v>
      </c>
      <c r="D634" s="14">
        <v>1</v>
      </c>
      <c r="E634" s="14">
        <v>1378</v>
      </c>
      <c r="F634" s="14">
        <v>6</v>
      </c>
      <c r="G634" s="14">
        <v>15605</v>
      </c>
      <c r="H634" s="14">
        <v>0.425808304539443</v>
      </c>
      <c r="I634" s="14">
        <v>0.911965910022374</v>
      </c>
      <c r="J634" s="14">
        <v>1.88739719400097</v>
      </c>
      <c r="K634" s="14" t="s">
        <v>1812</v>
      </c>
    </row>
    <row r="635" spans="1:11">
      <c r="A635" s="14" t="s">
        <v>17776</v>
      </c>
      <c r="B635" s="14" t="s">
        <v>17777</v>
      </c>
      <c r="C635" s="14" t="s">
        <v>16096</v>
      </c>
      <c r="D635" s="14">
        <v>1</v>
      </c>
      <c r="E635" s="14">
        <v>1378</v>
      </c>
      <c r="F635" s="14">
        <v>6</v>
      </c>
      <c r="G635" s="14">
        <v>15605</v>
      </c>
      <c r="H635" s="14">
        <v>0.425808304539443</v>
      </c>
      <c r="I635" s="14">
        <v>0.911965910022374</v>
      </c>
      <c r="J635" s="14">
        <v>1.88739719400097</v>
      </c>
      <c r="K635" s="14" t="s">
        <v>6859</v>
      </c>
    </row>
    <row r="636" spans="1:11">
      <c r="A636" s="14" t="s">
        <v>17778</v>
      </c>
      <c r="B636" s="14" t="s">
        <v>17779</v>
      </c>
      <c r="C636" s="14" t="s">
        <v>16086</v>
      </c>
      <c r="D636" s="14">
        <v>1</v>
      </c>
      <c r="E636" s="14">
        <v>1378</v>
      </c>
      <c r="F636" s="14">
        <v>6</v>
      </c>
      <c r="G636" s="14">
        <v>15605</v>
      </c>
      <c r="H636" s="14">
        <v>0.425808304539443</v>
      </c>
      <c r="I636" s="14">
        <v>0.911965910022374</v>
      </c>
      <c r="J636" s="14">
        <v>1.88739719400097</v>
      </c>
      <c r="K636" s="14" t="s">
        <v>11064</v>
      </c>
    </row>
    <row r="637" spans="1:11">
      <c r="A637" s="14" t="s">
        <v>17780</v>
      </c>
      <c r="B637" s="14" t="s">
        <v>17781</v>
      </c>
      <c r="C637" s="14" t="s">
        <v>16090</v>
      </c>
      <c r="D637" s="14">
        <v>1</v>
      </c>
      <c r="E637" s="14">
        <v>1378</v>
      </c>
      <c r="F637" s="14">
        <v>6</v>
      </c>
      <c r="G637" s="14">
        <v>15605</v>
      </c>
      <c r="H637" s="14">
        <v>0.425808304539443</v>
      </c>
      <c r="I637" s="14">
        <v>0.911965910022374</v>
      </c>
      <c r="J637" s="14">
        <v>1.88739719400097</v>
      </c>
      <c r="K637" s="14" t="s">
        <v>9907</v>
      </c>
    </row>
    <row r="638" spans="1:11">
      <c r="A638" s="14" t="s">
        <v>17782</v>
      </c>
      <c r="B638" s="14" t="s">
        <v>17783</v>
      </c>
      <c r="C638" s="14" t="s">
        <v>16086</v>
      </c>
      <c r="D638" s="14">
        <v>1</v>
      </c>
      <c r="E638" s="14">
        <v>1378</v>
      </c>
      <c r="F638" s="14">
        <v>6</v>
      </c>
      <c r="G638" s="14">
        <v>15605</v>
      </c>
      <c r="H638" s="14">
        <v>0.425808304539443</v>
      </c>
      <c r="I638" s="14">
        <v>0.911965910022374</v>
      </c>
      <c r="J638" s="14">
        <v>1.88739719400097</v>
      </c>
      <c r="K638" s="14" t="s">
        <v>5757</v>
      </c>
    </row>
    <row r="639" spans="1:11">
      <c r="A639" s="14" t="s">
        <v>17784</v>
      </c>
      <c r="B639" s="14" t="s">
        <v>17785</v>
      </c>
      <c r="C639" s="14" t="s">
        <v>16086</v>
      </c>
      <c r="D639" s="14">
        <v>1</v>
      </c>
      <c r="E639" s="14">
        <v>1378</v>
      </c>
      <c r="F639" s="14">
        <v>6</v>
      </c>
      <c r="G639" s="14">
        <v>15605</v>
      </c>
      <c r="H639" s="14">
        <v>0.425808304539443</v>
      </c>
      <c r="I639" s="14">
        <v>0.911965910022374</v>
      </c>
      <c r="J639" s="14">
        <v>1.88739719400097</v>
      </c>
      <c r="K639" s="14" t="s">
        <v>5360</v>
      </c>
    </row>
    <row r="640" spans="1:11">
      <c r="A640" s="14" t="s">
        <v>17786</v>
      </c>
      <c r="B640" s="14" t="s">
        <v>17787</v>
      </c>
      <c r="C640" s="14" t="s">
        <v>16090</v>
      </c>
      <c r="D640" s="14">
        <v>1</v>
      </c>
      <c r="E640" s="14">
        <v>1378</v>
      </c>
      <c r="F640" s="14">
        <v>6</v>
      </c>
      <c r="G640" s="14">
        <v>15605</v>
      </c>
      <c r="H640" s="14">
        <v>0.425808304539443</v>
      </c>
      <c r="I640" s="14">
        <v>0.911965910022374</v>
      </c>
      <c r="J640" s="14">
        <v>1.88739719400097</v>
      </c>
      <c r="K640" s="14" t="s">
        <v>2952</v>
      </c>
    </row>
    <row r="641" spans="1:11">
      <c r="A641" s="14" t="s">
        <v>17788</v>
      </c>
      <c r="B641" s="14" t="s">
        <v>17789</v>
      </c>
      <c r="C641" s="14" t="s">
        <v>16090</v>
      </c>
      <c r="D641" s="14">
        <v>1</v>
      </c>
      <c r="E641" s="14">
        <v>1378</v>
      </c>
      <c r="F641" s="14">
        <v>6</v>
      </c>
      <c r="G641" s="14">
        <v>15605</v>
      </c>
      <c r="H641" s="14">
        <v>0.425808304539443</v>
      </c>
      <c r="I641" s="14">
        <v>0.911965910022374</v>
      </c>
      <c r="J641" s="14">
        <v>1.88739719400097</v>
      </c>
      <c r="K641" s="14" t="s">
        <v>5571</v>
      </c>
    </row>
    <row r="642" spans="1:11">
      <c r="A642" s="14" t="s">
        <v>17790</v>
      </c>
      <c r="B642" s="14" t="s">
        <v>17791</v>
      </c>
      <c r="C642" s="14" t="s">
        <v>16090</v>
      </c>
      <c r="D642" s="14">
        <v>1</v>
      </c>
      <c r="E642" s="14">
        <v>1378</v>
      </c>
      <c r="F642" s="14">
        <v>6</v>
      </c>
      <c r="G642" s="14">
        <v>15605</v>
      </c>
      <c r="H642" s="14">
        <v>0.425808304539443</v>
      </c>
      <c r="I642" s="14">
        <v>0.911965910022374</v>
      </c>
      <c r="J642" s="14">
        <v>1.88739719400097</v>
      </c>
      <c r="K642" s="14" t="s">
        <v>8839</v>
      </c>
    </row>
    <row r="643" spans="1:11">
      <c r="A643" s="14" t="s">
        <v>17792</v>
      </c>
      <c r="B643" s="14" t="s">
        <v>17793</v>
      </c>
      <c r="C643" s="14" t="s">
        <v>16090</v>
      </c>
      <c r="D643" s="14">
        <v>1</v>
      </c>
      <c r="E643" s="14">
        <v>1378</v>
      </c>
      <c r="F643" s="14">
        <v>6</v>
      </c>
      <c r="G643" s="14">
        <v>15605</v>
      </c>
      <c r="H643" s="14">
        <v>0.425808304539443</v>
      </c>
      <c r="I643" s="14">
        <v>0.911965910022374</v>
      </c>
      <c r="J643" s="14">
        <v>1.88739719400097</v>
      </c>
      <c r="K643" s="14" t="s">
        <v>5156</v>
      </c>
    </row>
    <row r="644" spans="1:11">
      <c r="A644" s="14" t="s">
        <v>17794</v>
      </c>
      <c r="B644" s="14" t="s">
        <v>17795</v>
      </c>
      <c r="C644" s="14" t="s">
        <v>16090</v>
      </c>
      <c r="D644" s="14">
        <v>1</v>
      </c>
      <c r="E644" s="14">
        <v>1378</v>
      </c>
      <c r="F644" s="14">
        <v>6</v>
      </c>
      <c r="G644" s="14">
        <v>15605</v>
      </c>
      <c r="H644" s="14">
        <v>0.425808304539443</v>
      </c>
      <c r="I644" s="14">
        <v>0.911965910022374</v>
      </c>
      <c r="J644" s="14">
        <v>1.88739719400097</v>
      </c>
      <c r="K644" s="14" t="s">
        <v>648</v>
      </c>
    </row>
    <row r="645" spans="1:11">
      <c r="A645" s="14" t="s">
        <v>17796</v>
      </c>
      <c r="B645" s="14" t="s">
        <v>17797</v>
      </c>
      <c r="C645" s="14" t="s">
        <v>16090</v>
      </c>
      <c r="D645" s="14">
        <v>1</v>
      </c>
      <c r="E645" s="14">
        <v>1378</v>
      </c>
      <c r="F645" s="14">
        <v>6</v>
      </c>
      <c r="G645" s="14">
        <v>15605</v>
      </c>
      <c r="H645" s="14">
        <v>0.425808304539443</v>
      </c>
      <c r="I645" s="14">
        <v>0.911965910022374</v>
      </c>
      <c r="J645" s="14">
        <v>1.88739719400097</v>
      </c>
      <c r="K645" s="14" t="s">
        <v>7576</v>
      </c>
    </row>
    <row r="646" spans="1:11">
      <c r="A646" s="14" t="s">
        <v>17798</v>
      </c>
      <c r="B646" s="14" t="s">
        <v>17799</v>
      </c>
      <c r="C646" s="14" t="s">
        <v>16090</v>
      </c>
      <c r="D646" s="14">
        <v>1</v>
      </c>
      <c r="E646" s="14">
        <v>1378</v>
      </c>
      <c r="F646" s="14">
        <v>6</v>
      </c>
      <c r="G646" s="14">
        <v>15605</v>
      </c>
      <c r="H646" s="14">
        <v>0.425808304539443</v>
      </c>
      <c r="I646" s="14">
        <v>0.911965910022374</v>
      </c>
      <c r="J646" s="14">
        <v>1.88739719400097</v>
      </c>
      <c r="K646" s="14" t="s">
        <v>2630</v>
      </c>
    </row>
    <row r="647" spans="1:11">
      <c r="A647" s="14" t="s">
        <v>17800</v>
      </c>
      <c r="B647" s="14" t="s">
        <v>17801</v>
      </c>
      <c r="C647" s="14" t="s">
        <v>16086</v>
      </c>
      <c r="D647" s="14">
        <v>1</v>
      </c>
      <c r="E647" s="14">
        <v>1378</v>
      </c>
      <c r="F647" s="14">
        <v>6</v>
      </c>
      <c r="G647" s="14">
        <v>15605</v>
      </c>
      <c r="H647" s="14">
        <v>0.425808304539443</v>
      </c>
      <c r="I647" s="14">
        <v>0.911965910022374</v>
      </c>
      <c r="J647" s="14">
        <v>1.88739719400097</v>
      </c>
      <c r="K647" s="14" t="s">
        <v>10483</v>
      </c>
    </row>
    <row r="648" spans="1:11">
      <c r="A648" s="14" t="s">
        <v>17802</v>
      </c>
      <c r="B648" s="14" t="s">
        <v>17803</v>
      </c>
      <c r="C648" s="14" t="s">
        <v>16086</v>
      </c>
      <c r="D648" s="14">
        <v>1</v>
      </c>
      <c r="E648" s="14">
        <v>1378</v>
      </c>
      <c r="F648" s="14">
        <v>6</v>
      </c>
      <c r="G648" s="14">
        <v>15605</v>
      </c>
      <c r="H648" s="14">
        <v>0.425808304539443</v>
      </c>
      <c r="I648" s="14">
        <v>0.911965910022374</v>
      </c>
      <c r="J648" s="14">
        <v>1.88739719400097</v>
      </c>
      <c r="K648" s="14" t="s">
        <v>391</v>
      </c>
    </row>
    <row r="649" spans="1:11">
      <c r="A649" s="14" t="s">
        <v>17804</v>
      </c>
      <c r="B649" s="14" t="s">
        <v>17805</v>
      </c>
      <c r="C649" s="14" t="s">
        <v>16090</v>
      </c>
      <c r="D649" s="14">
        <v>1</v>
      </c>
      <c r="E649" s="14">
        <v>1378</v>
      </c>
      <c r="F649" s="14">
        <v>6</v>
      </c>
      <c r="G649" s="14">
        <v>15605</v>
      </c>
      <c r="H649" s="14">
        <v>0.425808304539443</v>
      </c>
      <c r="I649" s="14">
        <v>0.911965910022374</v>
      </c>
      <c r="J649" s="14">
        <v>1.88739719400097</v>
      </c>
      <c r="K649" s="14" t="s">
        <v>2639</v>
      </c>
    </row>
    <row r="650" spans="1:11">
      <c r="A650" s="14" t="s">
        <v>17806</v>
      </c>
      <c r="B650" s="14" t="s">
        <v>17807</v>
      </c>
      <c r="C650" s="14" t="s">
        <v>16090</v>
      </c>
      <c r="D650" s="14">
        <v>1</v>
      </c>
      <c r="E650" s="14">
        <v>1378</v>
      </c>
      <c r="F650" s="14">
        <v>6</v>
      </c>
      <c r="G650" s="14">
        <v>15605</v>
      </c>
      <c r="H650" s="14">
        <v>0.425808304539443</v>
      </c>
      <c r="I650" s="14">
        <v>0.911965910022374</v>
      </c>
      <c r="J650" s="14">
        <v>1.88739719400097</v>
      </c>
      <c r="K650" s="14" t="s">
        <v>12347</v>
      </c>
    </row>
    <row r="651" spans="1:11">
      <c r="A651" s="14" t="s">
        <v>17808</v>
      </c>
      <c r="B651" s="14" t="s">
        <v>17809</v>
      </c>
      <c r="C651" s="14" t="s">
        <v>16090</v>
      </c>
      <c r="D651" s="14">
        <v>1</v>
      </c>
      <c r="E651" s="14">
        <v>1378</v>
      </c>
      <c r="F651" s="14">
        <v>6</v>
      </c>
      <c r="G651" s="14">
        <v>15605</v>
      </c>
      <c r="H651" s="14">
        <v>0.425808304539443</v>
      </c>
      <c r="I651" s="14">
        <v>0.911965910022374</v>
      </c>
      <c r="J651" s="14">
        <v>1.88739719400097</v>
      </c>
      <c r="K651" s="14" t="s">
        <v>13137</v>
      </c>
    </row>
    <row r="652" spans="1:11">
      <c r="A652" s="14" t="s">
        <v>17810</v>
      </c>
      <c r="B652" s="14" t="s">
        <v>17811</v>
      </c>
      <c r="C652" s="14" t="s">
        <v>16090</v>
      </c>
      <c r="D652" s="14">
        <v>1</v>
      </c>
      <c r="E652" s="14">
        <v>1378</v>
      </c>
      <c r="F652" s="14">
        <v>6</v>
      </c>
      <c r="G652" s="14">
        <v>15605</v>
      </c>
      <c r="H652" s="14">
        <v>0.425808304539443</v>
      </c>
      <c r="I652" s="14">
        <v>0.911965910022374</v>
      </c>
      <c r="J652" s="14">
        <v>1.88739719400097</v>
      </c>
      <c r="K652" s="14" t="s">
        <v>11760</v>
      </c>
    </row>
    <row r="653" spans="1:11">
      <c r="A653" s="14" t="s">
        <v>17812</v>
      </c>
      <c r="B653" s="14" t="s">
        <v>17813</v>
      </c>
      <c r="C653" s="14" t="s">
        <v>16090</v>
      </c>
      <c r="D653" s="14">
        <v>1</v>
      </c>
      <c r="E653" s="14">
        <v>1378</v>
      </c>
      <c r="F653" s="14">
        <v>6</v>
      </c>
      <c r="G653" s="14">
        <v>15605</v>
      </c>
      <c r="H653" s="14">
        <v>0.425808304539443</v>
      </c>
      <c r="I653" s="14">
        <v>0.911965910022374</v>
      </c>
      <c r="J653" s="14">
        <v>1.88739719400097</v>
      </c>
      <c r="K653" s="14" t="s">
        <v>15402</v>
      </c>
    </row>
    <row r="654" spans="1:11">
      <c r="A654" s="14" t="s">
        <v>17814</v>
      </c>
      <c r="B654" s="14" t="s">
        <v>17815</v>
      </c>
      <c r="C654" s="14" t="s">
        <v>16086</v>
      </c>
      <c r="D654" s="14">
        <v>1</v>
      </c>
      <c r="E654" s="14">
        <v>1378</v>
      </c>
      <c r="F654" s="14">
        <v>6</v>
      </c>
      <c r="G654" s="14">
        <v>15605</v>
      </c>
      <c r="H654" s="14">
        <v>0.425808304539443</v>
      </c>
      <c r="I654" s="14">
        <v>0.911965910022374</v>
      </c>
      <c r="J654" s="14">
        <v>1.88739719400097</v>
      </c>
      <c r="K654" s="14" t="s">
        <v>15402</v>
      </c>
    </row>
    <row r="655" spans="1:11">
      <c r="A655" s="14" t="s">
        <v>17816</v>
      </c>
      <c r="B655" s="14" t="s">
        <v>17817</v>
      </c>
      <c r="C655" s="14" t="s">
        <v>16090</v>
      </c>
      <c r="D655" s="14">
        <v>1</v>
      </c>
      <c r="E655" s="14">
        <v>1378</v>
      </c>
      <c r="F655" s="14">
        <v>6</v>
      </c>
      <c r="G655" s="14">
        <v>15605</v>
      </c>
      <c r="H655" s="14">
        <v>0.425808304539443</v>
      </c>
      <c r="I655" s="14">
        <v>0.911965910022374</v>
      </c>
      <c r="J655" s="14">
        <v>1.88739719400097</v>
      </c>
      <c r="K655" s="14" t="s">
        <v>6752</v>
      </c>
    </row>
    <row r="656" spans="1:11">
      <c r="A656" s="14" t="s">
        <v>17818</v>
      </c>
      <c r="B656" s="14" t="s">
        <v>17819</v>
      </c>
      <c r="C656" s="14" t="s">
        <v>16086</v>
      </c>
      <c r="D656" s="14">
        <v>3</v>
      </c>
      <c r="E656" s="14">
        <v>1378</v>
      </c>
      <c r="F656" s="14">
        <v>27</v>
      </c>
      <c r="G656" s="14">
        <v>15605</v>
      </c>
      <c r="H656" s="14">
        <v>0.430831298371771</v>
      </c>
      <c r="I656" s="14">
        <v>0.911965910022374</v>
      </c>
      <c r="J656" s="14">
        <v>1.25826479600065</v>
      </c>
      <c r="K656" s="14" t="s">
        <v>17820</v>
      </c>
    </row>
    <row r="657" spans="1:11">
      <c r="A657" s="14" t="s">
        <v>17821</v>
      </c>
      <c r="B657" s="14" t="s">
        <v>17822</v>
      </c>
      <c r="C657" s="14" t="s">
        <v>16090</v>
      </c>
      <c r="D657" s="14">
        <v>3</v>
      </c>
      <c r="E657" s="14">
        <v>1378</v>
      </c>
      <c r="F657" s="14">
        <v>27</v>
      </c>
      <c r="G657" s="14">
        <v>15605</v>
      </c>
      <c r="H657" s="14">
        <v>0.430831298371771</v>
      </c>
      <c r="I657" s="14">
        <v>0.911965910022374</v>
      </c>
      <c r="J657" s="14">
        <v>1.25826479600065</v>
      </c>
      <c r="K657" s="14" t="s">
        <v>17823</v>
      </c>
    </row>
    <row r="658" spans="1:11">
      <c r="A658" s="14" t="s">
        <v>17824</v>
      </c>
      <c r="B658" s="14" t="s">
        <v>17825</v>
      </c>
      <c r="C658" s="14" t="s">
        <v>16090</v>
      </c>
      <c r="D658" s="14">
        <v>3</v>
      </c>
      <c r="E658" s="14">
        <v>1378</v>
      </c>
      <c r="F658" s="14">
        <v>27</v>
      </c>
      <c r="G658" s="14">
        <v>15605</v>
      </c>
      <c r="H658" s="14">
        <v>0.430831298371771</v>
      </c>
      <c r="I658" s="14">
        <v>0.911965910022374</v>
      </c>
      <c r="J658" s="14">
        <v>1.25826479600065</v>
      </c>
      <c r="K658" s="14" t="s">
        <v>17826</v>
      </c>
    </row>
    <row r="659" spans="1:11">
      <c r="A659" s="14" t="s">
        <v>17827</v>
      </c>
      <c r="B659" s="14" t="s">
        <v>17828</v>
      </c>
      <c r="C659" s="14" t="s">
        <v>16090</v>
      </c>
      <c r="D659" s="14">
        <v>3</v>
      </c>
      <c r="E659" s="14">
        <v>1378</v>
      </c>
      <c r="F659" s="14">
        <v>27</v>
      </c>
      <c r="G659" s="14">
        <v>15605</v>
      </c>
      <c r="H659" s="14">
        <v>0.430831298371771</v>
      </c>
      <c r="I659" s="14">
        <v>0.911965910022374</v>
      </c>
      <c r="J659" s="14">
        <v>1.25826479600065</v>
      </c>
      <c r="K659" s="14" t="s">
        <v>17829</v>
      </c>
    </row>
    <row r="660" spans="1:11">
      <c r="A660" s="14" t="s">
        <v>17830</v>
      </c>
      <c r="B660" s="14" t="s">
        <v>17831</v>
      </c>
      <c r="C660" s="14" t="s">
        <v>16090</v>
      </c>
      <c r="D660" s="14">
        <v>3</v>
      </c>
      <c r="E660" s="14">
        <v>1378</v>
      </c>
      <c r="F660" s="14">
        <v>27</v>
      </c>
      <c r="G660" s="14">
        <v>15605</v>
      </c>
      <c r="H660" s="14">
        <v>0.430831298371771</v>
      </c>
      <c r="I660" s="14">
        <v>0.911965910022374</v>
      </c>
      <c r="J660" s="14">
        <v>1.25826479600065</v>
      </c>
      <c r="K660" s="14" t="s">
        <v>16841</v>
      </c>
    </row>
    <row r="661" spans="1:11">
      <c r="A661" s="14" t="s">
        <v>17832</v>
      </c>
      <c r="B661" s="14" t="s">
        <v>17833</v>
      </c>
      <c r="C661" s="14" t="s">
        <v>16090</v>
      </c>
      <c r="D661" s="14">
        <v>4</v>
      </c>
      <c r="E661" s="14">
        <v>1378</v>
      </c>
      <c r="F661" s="14">
        <v>38</v>
      </c>
      <c r="G661" s="14">
        <v>15605</v>
      </c>
      <c r="H661" s="14">
        <v>0.435535600631812</v>
      </c>
      <c r="I661" s="14">
        <v>0.911965910022374</v>
      </c>
      <c r="J661" s="14">
        <v>1.19204033305324</v>
      </c>
      <c r="K661" s="14" t="s">
        <v>17834</v>
      </c>
    </row>
    <row r="662" spans="1:11">
      <c r="A662" s="14" t="s">
        <v>17835</v>
      </c>
      <c r="B662" s="14" t="s">
        <v>17836</v>
      </c>
      <c r="C662" s="14" t="s">
        <v>16090</v>
      </c>
      <c r="D662" s="14">
        <v>4</v>
      </c>
      <c r="E662" s="14">
        <v>1378</v>
      </c>
      <c r="F662" s="14">
        <v>38</v>
      </c>
      <c r="G662" s="14">
        <v>15605</v>
      </c>
      <c r="H662" s="14">
        <v>0.435535600631812</v>
      </c>
      <c r="I662" s="14">
        <v>0.911965910022374</v>
      </c>
      <c r="J662" s="14">
        <v>1.19204033305324</v>
      </c>
      <c r="K662" s="14" t="s">
        <v>17837</v>
      </c>
    </row>
    <row r="663" spans="1:11">
      <c r="A663" s="14" t="s">
        <v>17838</v>
      </c>
      <c r="B663" s="14" t="s">
        <v>17839</v>
      </c>
      <c r="C663" s="14" t="s">
        <v>16090</v>
      </c>
      <c r="D663" s="14">
        <v>5</v>
      </c>
      <c r="E663" s="14">
        <v>1378</v>
      </c>
      <c r="F663" s="14">
        <v>49</v>
      </c>
      <c r="G663" s="14">
        <v>15605</v>
      </c>
      <c r="H663" s="14">
        <v>0.437694902307515</v>
      </c>
      <c r="I663" s="14">
        <v>0.911965910022374</v>
      </c>
      <c r="J663" s="14">
        <v>1.15554930244957</v>
      </c>
      <c r="K663" s="14" t="s">
        <v>17840</v>
      </c>
    </row>
    <row r="664" spans="1:11">
      <c r="A664" s="14" t="s">
        <v>17841</v>
      </c>
      <c r="B664" s="14" t="s">
        <v>17842</v>
      </c>
      <c r="C664" s="14" t="s">
        <v>16090</v>
      </c>
      <c r="D664" s="14">
        <v>7</v>
      </c>
      <c r="E664" s="14">
        <v>1378</v>
      </c>
      <c r="F664" s="14">
        <v>71</v>
      </c>
      <c r="G664" s="14">
        <v>15605</v>
      </c>
      <c r="H664" s="14">
        <v>0.438921332897723</v>
      </c>
      <c r="I664" s="14">
        <v>0.911965910022374</v>
      </c>
      <c r="J664" s="14">
        <v>1.11648848095832</v>
      </c>
      <c r="K664" s="14" t="s">
        <v>17843</v>
      </c>
    </row>
    <row r="665" spans="1:11">
      <c r="A665" s="14" t="s">
        <v>17844</v>
      </c>
      <c r="B665" s="14" t="s">
        <v>17845</v>
      </c>
      <c r="C665" s="14" t="s">
        <v>16090</v>
      </c>
      <c r="D665" s="14">
        <v>10</v>
      </c>
      <c r="E665" s="14">
        <v>1378</v>
      </c>
      <c r="F665" s="14">
        <v>105</v>
      </c>
      <c r="G665" s="14">
        <v>15605</v>
      </c>
      <c r="H665" s="14">
        <v>0.450067235237946</v>
      </c>
      <c r="I665" s="14">
        <v>0.911965910022374</v>
      </c>
      <c r="J665" s="14">
        <v>1.07851268228627</v>
      </c>
      <c r="K665" s="14" t="s">
        <v>17846</v>
      </c>
    </row>
    <row r="666" spans="1:11">
      <c r="A666" s="14" t="s">
        <v>17847</v>
      </c>
      <c r="B666" s="14" t="s">
        <v>17848</v>
      </c>
      <c r="C666" s="14" t="s">
        <v>16096</v>
      </c>
      <c r="D666" s="14">
        <v>2</v>
      </c>
      <c r="E666" s="14">
        <v>1378</v>
      </c>
      <c r="F666" s="14">
        <v>17</v>
      </c>
      <c r="G666" s="14">
        <v>15605</v>
      </c>
      <c r="H666" s="14">
        <v>0.450375630194152</v>
      </c>
      <c r="I666" s="14">
        <v>0.911965910022374</v>
      </c>
      <c r="J666" s="14">
        <v>1.33228037223598</v>
      </c>
      <c r="K666" s="14" t="s">
        <v>17849</v>
      </c>
    </row>
    <row r="667" spans="1:11">
      <c r="A667" s="14" t="s">
        <v>17850</v>
      </c>
      <c r="B667" s="14" t="s">
        <v>17851</v>
      </c>
      <c r="C667" s="14" t="s">
        <v>16086</v>
      </c>
      <c r="D667" s="14">
        <v>2</v>
      </c>
      <c r="E667" s="14">
        <v>1378</v>
      </c>
      <c r="F667" s="14">
        <v>17</v>
      </c>
      <c r="G667" s="14">
        <v>15605</v>
      </c>
      <c r="H667" s="14">
        <v>0.450375630194152</v>
      </c>
      <c r="I667" s="14">
        <v>0.911965910022374</v>
      </c>
      <c r="J667" s="14">
        <v>1.33228037223598</v>
      </c>
      <c r="K667" s="14" t="s">
        <v>17852</v>
      </c>
    </row>
    <row r="668" spans="1:11">
      <c r="A668" s="14" t="s">
        <v>17853</v>
      </c>
      <c r="B668" s="14" t="s">
        <v>17854</v>
      </c>
      <c r="C668" s="14" t="s">
        <v>16096</v>
      </c>
      <c r="D668" s="14">
        <v>2</v>
      </c>
      <c r="E668" s="14">
        <v>1378</v>
      </c>
      <c r="F668" s="14">
        <v>17</v>
      </c>
      <c r="G668" s="14">
        <v>15605</v>
      </c>
      <c r="H668" s="14">
        <v>0.450375630194152</v>
      </c>
      <c r="I668" s="14">
        <v>0.911965910022374</v>
      </c>
      <c r="J668" s="14">
        <v>1.33228037223598</v>
      </c>
      <c r="K668" s="14" t="s">
        <v>17855</v>
      </c>
    </row>
    <row r="669" spans="1:11">
      <c r="A669" s="14" t="s">
        <v>17856</v>
      </c>
      <c r="B669" s="14" t="s">
        <v>17857</v>
      </c>
      <c r="C669" s="14" t="s">
        <v>16090</v>
      </c>
      <c r="D669" s="14">
        <v>2</v>
      </c>
      <c r="E669" s="14">
        <v>1378</v>
      </c>
      <c r="F669" s="14">
        <v>17</v>
      </c>
      <c r="G669" s="14">
        <v>15605</v>
      </c>
      <c r="H669" s="14">
        <v>0.450375630194152</v>
      </c>
      <c r="I669" s="14">
        <v>0.911965910022374</v>
      </c>
      <c r="J669" s="14">
        <v>1.33228037223598</v>
      </c>
      <c r="K669" s="14" t="s">
        <v>17858</v>
      </c>
    </row>
    <row r="670" spans="1:11">
      <c r="A670" s="14" t="s">
        <v>17859</v>
      </c>
      <c r="B670" s="14" t="s">
        <v>17860</v>
      </c>
      <c r="C670" s="14" t="s">
        <v>16090</v>
      </c>
      <c r="D670" s="14">
        <v>2</v>
      </c>
      <c r="E670" s="14">
        <v>1378</v>
      </c>
      <c r="F670" s="14">
        <v>17</v>
      </c>
      <c r="G670" s="14">
        <v>15605</v>
      </c>
      <c r="H670" s="14">
        <v>0.450375630194152</v>
      </c>
      <c r="I670" s="14">
        <v>0.911965910022374</v>
      </c>
      <c r="J670" s="14">
        <v>1.33228037223598</v>
      </c>
      <c r="K670" s="14" t="s">
        <v>17861</v>
      </c>
    </row>
    <row r="671" spans="1:11">
      <c r="A671" s="14" t="s">
        <v>17862</v>
      </c>
      <c r="B671" s="14" t="s">
        <v>17863</v>
      </c>
      <c r="C671" s="14" t="s">
        <v>16090</v>
      </c>
      <c r="D671" s="14">
        <v>2</v>
      </c>
      <c r="E671" s="14">
        <v>1378</v>
      </c>
      <c r="F671" s="14">
        <v>17</v>
      </c>
      <c r="G671" s="14">
        <v>15605</v>
      </c>
      <c r="H671" s="14">
        <v>0.450375630194152</v>
      </c>
      <c r="I671" s="14">
        <v>0.911965910022374</v>
      </c>
      <c r="J671" s="14">
        <v>1.33228037223598</v>
      </c>
      <c r="K671" s="14" t="s">
        <v>17864</v>
      </c>
    </row>
    <row r="672" spans="1:11">
      <c r="A672" s="14" t="s">
        <v>17865</v>
      </c>
      <c r="B672" s="14" t="s">
        <v>17866</v>
      </c>
      <c r="C672" s="14" t="s">
        <v>16086</v>
      </c>
      <c r="D672" s="14">
        <v>2</v>
      </c>
      <c r="E672" s="14">
        <v>1378</v>
      </c>
      <c r="F672" s="14">
        <v>17</v>
      </c>
      <c r="G672" s="14">
        <v>15605</v>
      </c>
      <c r="H672" s="14">
        <v>0.450375630194152</v>
      </c>
      <c r="I672" s="14">
        <v>0.911965910022374</v>
      </c>
      <c r="J672" s="14">
        <v>1.33228037223598</v>
      </c>
      <c r="K672" s="14" t="s">
        <v>17867</v>
      </c>
    </row>
    <row r="673" spans="1:11">
      <c r="A673" s="14" t="s">
        <v>17868</v>
      </c>
      <c r="B673" s="14" t="s">
        <v>17869</v>
      </c>
      <c r="C673" s="14" t="s">
        <v>16090</v>
      </c>
      <c r="D673" s="14">
        <v>2</v>
      </c>
      <c r="E673" s="14">
        <v>1378</v>
      </c>
      <c r="F673" s="14">
        <v>17</v>
      </c>
      <c r="G673" s="14">
        <v>15605</v>
      </c>
      <c r="H673" s="14">
        <v>0.450375630194152</v>
      </c>
      <c r="I673" s="14">
        <v>0.911965910022374</v>
      </c>
      <c r="J673" s="14">
        <v>1.33228037223598</v>
      </c>
      <c r="K673" s="14" t="s">
        <v>17870</v>
      </c>
    </row>
    <row r="674" spans="1:11">
      <c r="A674" s="14" t="s">
        <v>17871</v>
      </c>
      <c r="B674" s="14" t="s">
        <v>17872</v>
      </c>
      <c r="C674" s="14" t="s">
        <v>16086</v>
      </c>
      <c r="D674" s="14">
        <v>2</v>
      </c>
      <c r="E674" s="14">
        <v>1378</v>
      </c>
      <c r="F674" s="14">
        <v>17</v>
      </c>
      <c r="G674" s="14">
        <v>15605</v>
      </c>
      <c r="H674" s="14">
        <v>0.450375630194152</v>
      </c>
      <c r="I674" s="14">
        <v>0.911965910022374</v>
      </c>
      <c r="J674" s="14">
        <v>1.33228037223598</v>
      </c>
      <c r="K674" s="14" t="s">
        <v>17041</v>
      </c>
    </row>
    <row r="675" spans="1:11">
      <c r="A675" s="14" t="s">
        <v>17873</v>
      </c>
      <c r="B675" s="14" t="s">
        <v>17874</v>
      </c>
      <c r="C675" s="14" t="s">
        <v>16086</v>
      </c>
      <c r="D675" s="14">
        <v>2</v>
      </c>
      <c r="E675" s="14">
        <v>1378</v>
      </c>
      <c r="F675" s="14">
        <v>17</v>
      </c>
      <c r="G675" s="14">
        <v>15605</v>
      </c>
      <c r="H675" s="14">
        <v>0.450375630194152</v>
      </c>
      <c r="I675" s="14">
        <v>0.911965910022374</v>
      </c>
      <c r="J675" s="14">
        <v>1.33228037223598</v>
      </c>
      <c r="K675" s="14" t="s">
        <v>17041</v>
      </c>
    </row>
    <row r="676" spans="1:11">
      <c r="A676" s="14" t="s">
        <v>17875</v>
      </c>
      <c r="B676" s="14" t="s">
        <v>17876</v>
      </c>
      <c r="C676" s="14" t="s">
        <v>16090</v>
      </c>
      <c r="D676" s="14">
        <v>2</v>
      </c>
      <c r="E676" s="14">
        <v>1378</v>
      </c>
      <c r="F676" s="14">
        <v>17</v>
      </c>
      <c r="G676" s="14">
        <v>15605</v>
      </c>
      <c r="H676" s="14">
        <v>0.450375630194152</v>
      </c>
      <c r="I676" s="14">
        <v>0.911965910022374</v>
      </c>
      <c r="J676" s="14">
        <v>1.33228037223598</v>
      </c>
      <c r="K676" s="14" t="s">
        <v>17877</v>
      </c>
    </row>
    <row r="677" spans="1:11">
      <c r="A677" s="14" t="s">
        <v>17878</v>
      </c>
      <c r="B677" s="14" t="s">
        <v>17879</v>
      </c>
      <c r="C677" s="14" t="s">
        <v>16090</v>
      </c>
      <c r="D677" s="14">
        <v>2</v>
      </c>
      <c r="E677" s="14">
        <v>1378</v>
      </c>
      <c r="F677" s="14">
        <v>17</v>
      </c>
      <c r="G677" s="14">
        <v>15605</v>
      </c>
      <c r="H677" s="14">
        <v>0.450375630194152</v>
      </c>
      <c r="I677" s="14">
        <v>0.911965910022374</v>
      </c>
      <c r="J677" s="14">
        <v>1.33228037223598</v>
      </c>
      <c r="K677" s="14" t="s">
        <v>17880</v>
      </c>
    </row>
    <row r="678" spans="1:11">
      <c r="A678" s="14" t="s">
        <v>17881</v>
      </c>
      <c r="B678" s="14" t="s">
        <v>17882</v>
      </c>
      <c r="C678" s="14" t="s">
        <v>16090</v>
      </c>
      <c r="D678" s="14">
        <v>2</v>
      </c>
      <c r="E678" s="14">
        <v>1378</v>
      </c>
      <c r="F678" s="14">
        <v>17</v>
      </c>
      <c r="G678" s="14">
        <v>15605</v>
      </c>
      <c r="H678" s="14">
        <v>0.450375630194152</v>
      </c>
      <c r="I678" s="14">
        <v>0.911965910022374</v>
      </c>
      <c r="J678" s="14">
        <v>1.33228037223598</v>
      </c>
      <c r="K678" s="14" t="s">
        <v>17883</v>
      </c>
    </row>
    <row r="679" spans="1:11">
      <c r="A679" s="14" t="s">
        <v>17884</v>
      </c>
      <c r="B679" s="14" t="s">
        <v>17885</v>
      </c>
      <c r="C679" s="14" t="s">
        <v>16090</v>
      </c>
      <c r="D679" s="14">
        <v>2</v>
      </c>
      <c r="E679" s="14">
        <v>1378</v>
      </c>
      <c r="F679" s="14">
        <v>17</v>
      </c>
      <c r="G679" s="14">
        <v>15605</v>
      </c>
      <c r="H679" s="14">
        <v>0.450375630194152</v>
      </c>
      <c r="I679" s="14">
        <v>0.911965910022374</v>
      </c>
      <c r="J679" s="14">
        <v>1.33228037223598</v>
      </c>
      <c r="K679" s="14" t="s">
        <v>17886</v>
      </c>
    </row>
    <row r="680" spans="1:11">
      <c r="A680" s="14" t="s">
        <v>17887</v>
      </c>
      <c r="B680" s="14" t="s">
        <v>17888</v>
      </c>
      <c r="C680" s="14" t="s">
        <v>16090</v>
      </c>
      <c r="D680" s="14">
        <v>2</v>
      </c>
      <c r="E680" s="14">
        <v>1378</v>
      </c>
      <c r="F680" s="14">
        <v>17</v>
      </c>
      <c r="G680" s="14">
        <v>15605</v>
      </c>
      <c r="H680" s="14">
        <v>0.450375630194152</v>
      </c>
      <c r="I680" s="14">
        <v>0.911965910022374</v>
      </c>
      <c r="J680" s="14">
        <v>1.33228037223598</v>
      </c>
      <c r="K680" s="14" t="s">
        <v>17889</v>
      </c>
    </row>
    <row r="681" spans="1:11">
      <c r="A681" s="14" t="s">
        <v>17890</v>
      </c>
      <c r="B681" s="14" t="s">
        <v>17891</v>
      </c>
      <c r="C681" s="14" t="s">
        <v>16096</v>
      </c>
      <c r="D681" s="14">
        <v>16</v>
      </c>
      <c r="E681" s="14">
        <v>1378</v>
      </c>
      <c r="F681" s="14">
        <v>172</v>
      </c>
      <c r="G681" s="14">
        <v>15605</v>
      </c>
      <c r="H681" s="14">
        <v>0.452107428036398</v>
      </c>
      <c r="I681" s="14">
        <v>0.911965910022374</v>
      </c>
      <c r="J681" s="14">
        <v>1.05343099200054</v>
      </c>
      <c r="K681" s="14" t="s">
        <v>17892</v>
      </c>
    </row>
    <row r="682" spans="1:11">
      <c r="A682" s="14" t="s">
        <v>17893</v>
      </c>
      <c r="B682" s="14" t="s">
        <v>17894</v>
      </c>
      <c r="C682" s="14" t="s">
        <v>16086</v>
      </c>
      <c r="D682" s="14">
        <v>6</v>
      </c>
      <c r="E682" s="14">
        <v>1378</v>
      </c>
      <c r="F682" s="14">
        <v>61</v>
      </c>
      <c r="G682" s="14">
        <v>15605</v>
      </c>
      <c r="H682" s="14">
        <v>0.45470434299486</v>
      </c>
      <c r="I682" s="14">
        <v>0.911965910022374</v>
      </c>
      <c r="J682" s="14">
        <v>1.11387375383664</v>
      </c>
      <c r="K682" s="14" t="s">
        <v>17895</v>
      </c>
    </row>
    <row r="683" spans="1:11">
      <c r="A683" s="14" t="s">
        <v>17896</v>
      </c>
      <c r="B683" s="14" t="s">
        <v>17897</v>
      </c>
      <c r="C683" s="14" t="s">
        <v>16086</v>
      </c>
      <c r="D683" s="14">
        <v>3</v>
      </c>
      <c r="E683" s="14">
        <v>1378</v>
      </c>
      <c r="F683" s="14">
        <v>28</v>
      </c>
      <c r="G683" s="14">
        <v>15605</v>
      </c>
      <c r="H683" s="14">
        <v>0.454815174387835</v>
      </c>
      <c r="I683" s="14">
        <v>0.911965910022374</v>
      </c>
      <c r="J683" s="14">
        <v>1.21332676757205</v>
      </c>
      <c r="K683" s="14" t="s">
        <v>17898</v>
      </c>
    </row>
    <row r="684" spans="1:11">
      <c r="A684" s="14" t="s">
        <v>17899</v>
      </c>
      <c r="B684" s="14" t="s">
        <v>17900</v>
      </c>
      <c r="C684" s="14" t="s">
        <v>16090</v>
      </c>
      <c r="D684" s="14">
        <v>3</v>
      </c>
      <c r="E684" s="14">
        <v>1378</v>
      </c>
      <c r="F684" s="14">
        <v>28</v>
      </c>
      <c r="G684" s="14">
        <v>15605</v>
      </c>
      <c r="H684" s="14">
        <v>0.454815174387835</v>
      </c>
      <c r="I684" s="14">
        <v>0.911965910022374</v>
      </c>
      <c r="J684" s="14">
        <v>1.21332676757205</v>
      </c>
      <c r="K684" s="14" t="s">
        <v>17901</v>
      </c>
    </row>
    <row r="685" spans="1:11">
      <c r="A685" s="14" t="s">
        <v>17902</v>
      </c>
      <c r="B685" s="14" t="s">
        <v>17903</v>
      </c>
      <c r="C685" s="14" t="s">
        <v>16090</v>
      </c>
      <c r="D685" s="14">
        <v>3</v>
      </c>
      <c r="E685" s="14">
        <v>1378</v>
      </c>
      <c r="F685" s="14">
        <v>28</v>
      </c>
      <c r="G685" s="14">
        <v>15605</v>
      </c>
      <c r="H685" s="14">
        <v>0.454815174387835</v>
      </c>
      <c r="I685" s="14">
        <v>0.911965910022374</v>
      </c>
      <c r="J685" s="14">
        <v>1.21332676757205</v>
      </c>
      <c r="K685" s="14" t="s">
        <v>17904</v>
      </c>
    </row>
    <row r="686" spans="1:11">
      <c r="A686" s="14" t="s">
        <v>17905</v>
      </c>
      <c r="B686" s="14" t="s">
        <v>17906</v>
      </c>
      <c r="C686" s="14" t="s">
        <v>16090</v>
      </c>
      <c r="D686" s="14">
        <v>3</v>
      </c>
      <c r="E686" s="14">
        <v>1378</v>
      </c>
      <c r="F686" s="14">
        <v>28</v>
      </c>
      <c r="G686" s="14">
        <v>15605</v>
      </c>
      <c r="H686" s="14">
        <v>0.454815174387835</v>
      </c>
      <c r="I686" s="14">
        <v>0.911965910022374</v>
      </c>
      <c r="J686" s="14">
        <v>1.21332676757205</v>
      </c>
      <c r="K686" s="14" t="s">
        <v>17907</v>
      </c>
    </row>
    <row r="687" spans="1:11">
      <c r="A687" s="14" t="s">
        <v>17908</v>
      </c>
      <c r="B687" s="14" t="s">
        <v>17909</v>
      </c>
      <c r="C687" s="14" t="s">
        <v>16090</v>
      </c>
      <c r="D687" s="14">
        <v>4</v>
      </c>
      <c r="E687" s="14">
        <v>1378</v>
      </c>
      <c r="F687" s="14">
        <v>39</v>
      </c>
      <c r="G687" s="14">
        <v>15605</v>
      </c>
      <c r="H687" s="14">
        <v>0.455737023557467</v>
      </c>
      <c r="I687" s="14">
        <v>0.911965910022374</v>
      </c>
      <c r="J687" s="14">
        <v>1.16147519630829</v>
      </c>
      <c r="K687" s="14" t="s">
        <v>17910</v>
      </c>
    </row>
    <row r="688" spans="1:11">
      <c r="A688" s="14" t="s">
        <v>17911</v>
      </c>
      <c r="B688" s="14" t="s">
        <v>17912</v>
      </c>
      <c r="C688" s="14" t="s">
        <v>16090</v>
      </c>
      <c r="D688" s="14">
        <v>9</v>
      </c>
      <c r="E688" s="14">
        <v>1378</v>
      </c>
      <c r="F688" s="14">
        <v>95</v>
      </c>
      <c r="G688" s="14">
        <v>15605</v>
      </c>
      <c r="H688" s="14">
        <v>0.464164653839339</v>
      </c>
      <c r="I688" s="14">
        <v>0.911965910022374</v>
      </c>
      <c r="J688" s="14">
        <v>1.07283629974792</v>
      </c>
      <c r="K688" s="14" t="s">
        <v>17913</v>
      </c>
    </row>
    <row r="689" spans="1:11">
      <c r="A689" s="14" t="s">
        <v>17914</v>
      </c>
      <c r="B689" s="14" t="s">
        <v>17915</v>
      </c>
      <c r="C689" s="14" t="s">
        <v>16086</v>
      </c>
      <c r="D689" s="14">
        <v>1</v>
      </c>
      <c r="E689" s="14">
        <v>1378</v>
      </c>
      <c r="F689" s="14">
        <v>7</v>
      </c>
      <c r="G689" s="14">
        <v>15605</v>
      </c>
      <c r="H689" s="14">
        <v>0.476531822479353</v>
      </c>
      <c r="I689" s="14">
        <v>0.911965910022374</v>
      </c>
      <c r="J689" s="14">
        <v>1.6177690234294</v>
      </c>
      <c r="K689" s="14" t="s">
        <v>1676</v>
      </c>
    </row>
    <row r="690" spans="1:11">
      <c r="A690" s="14" t="s">
        <v>17916</v>
      </c>
      <c r="B690" s="14" t="s">
        <v>17917</v>
      </c>
      <c r="C690" s="14" t="s">
        <v>16086</v>
      </c>
      <c r="D690" s="14">
        <v>1</v>
      </c>
      <c r="E690" s="14">
        <v>1378</v>
      </c>
      <c r="F690" s="14">
        <v>7</v>
      </c>
      <c r="G690" s="14">
        <v>15605</v>
      </c>
      <c r="H690" s="14">
        <v>0.476531822479353</v>
      </c>
      <c r="I690" s="14">
        <v>0.911965910022374</v>
      </c>
      <c r="J690" s="14">
        <v>1.6177690234294</v>
      </c>
      <c r="K690" s="14" t="s">
        <v>1847</v>
      </c>
    </row>
    <row r="691" spans="1:11">
      <c r="A691" s="14" t="s">
        <v>8226</v>
      </c>
      <c r="B691" s="14" t="s">
        <v>8227</v>
      </c>
      <c r="C691" s="14" t="s">
        <v>16086</v>
      </c>
      <c r="D691" s="14">
        <v>1</v>
      </c>
      <c r="E691" s="14">
        <v>1378</v>
      </c>
      <c r="F691" s="14">
        <v>7</v>
      </c>
      <c r="G691" s="14">
        <v>15605</v>
      </c>
      <c r="H691" s="14">
        <v>0.476531822479353</v>
      </c>
      <c r="I691" s="14">
        <v>0.911965910022374</v>
      </c>
      <c r="J691" s="14">
        <v>1.6177690234294</v>
      </c>
      <c r="K691" s="14" t="s">
        <v>13205</v>
      </c>
    </row>
    <row r="692" spans="1:11">
      <c r="A692" s="14" t="s">
        <v>17918</v>
      </c>
      <c r="B692" s="14" t="s">
        <v>17919</v>
      </c>
      <c r="C692" s="14" t="s">
        <v>16096</v>
      </c>
      <c r="D692" s="14">
        <v>1</v>
      </c>
      <c r="E692" s="14">
        <v>1378</v>
      </c>
      <c r="F692" s="14">
        <v>7</v>
      </c>
      <c r="G692" s="14">
        <v>15605</v>
      </c>
      <c r="H692" s="14">
        <v>0.476531822479353</v>
      </c>
      <c r="I692" s="14">
        <v>0.911965910022374</v>
      </c>
      <c r="J692" s="14">
        <v>1.6177690234294</v>
      </c>
      <c r="K692" s="14" t="s">
        <v>5365</v>
      </c>
    </row>
    <row r="693" spans="1:11">
      <c r="A693" s="14" t="s">
        <v>17920</v>
      </c>
      <c r="B693" s="14" t="s">
        <v>17921</v>
      </c>
      <c r="C693" s="14" t="s">
        <v>16096</v>
      </c>
      <c r="D693" s="14">
        <v>1</v>
      </c>
      <c r="E693" s="14">
        <v>1378</v>
      </c>
      <c r="F693" s="14">
        <v>7</v>
      </c>
      <c r="G693" s="14">
        <v>15605</v>
      </c>
      <c r="H693" s="14">
        <v>0.476531822479353</v>
      </c>
      <c r="I693" s="14">
        <v>0.911965910022374</v>
      </c>
      <c r="J693" s="14">
        <v>1.6177690234294</v>
      </c>
      <c r="K693" s="14" t="s">
        <v>3533</v>
      </c>
    </row>
    <row r="694" spans="1:11">
      <c r="A694" s="14" t="s">
        <v>17922</v>
      </c>
      <c r="B694" s="14" t="s">
        <v>17923</v>
      </c>
      <c r="C694" s="14" t="s">
        <v>16096</v>
      </c>
      <c r="D694" s="14">
        <v>1</v>
      </c>
      <c r="E694" s="14">
        <v>1378</v>
      </c>
      <c r="F694" s="14">
        <v>7</v>
      </c>
      <c r="G694" s="14">
        <v>15605</v>
      </c>
      <c r="H694" s="14">
        <v>0.476531822479353</v>
      </c>
      <c r="I694" s="14">
        <v>0.911965910022374</v>
      </c>
      <c r="J694" s="14">
        <v>1.6177690234294</v>
      </c>
      <c r="K694" s="14" t="s">
        <v>4401</v>
      </c>
    </row>
    <row r="695" spans="1:11">
      <c r="A695" s="14" t="s">
        <v>17924</v>
      </c>
      <c r="B695" s="14" t="s">
        <v>17925</v>
      </c>
      <c r="C695" s="14" t="s">
        <v>16090</v>
      </c>
      <c r="D695" s="14">
        <v>1</v>
      </c>
      <c r="E695" s="14">
        <v>1378</v>
      </c>
      <c r="F695" s="14">
        <v>7</v>
      </c>
      <c r="G695" s="14">
        <v>15605</v>
      </c>
      <c r="H695" s="14">
        <v>0.476531822479353</v>
      </c>
      <c r="I695" s="14">
        <v>0.911965910022374</v>
      </c>
      <c r="J695" s="14">
        <v>1.6177690234294</v>
      </c>
      <c r="K695" s="14" t="s">
        <v>8271</v>
      </c>
    </row>
    <row r="696" spans="1:11">
      <c r="A696" s="14" t="s">
        <v>17926</v>
      </c>
      <c r="B696" s="14" t="s">
        <v>17927</v>
      </c>
      <c r="C696" s="14" t="s">
        <v>16090</v>
      </c>
      <c r="D696" s="14">
        <v>1</v>
      </c>
      <c r="E696" s="14">
        <v>1378</v>
      </c>
      <c r="F696" s="14">
        <v>7</v>
      </c>
      <c r="G696" s="14">
        <v>15605</v>
      </c>
      <c r="H696" s="14">
        <v>0.476531822479353</v>
      </c>
      <c r="I696" s="14">
        <v>0.911965910022374</v>
      </c>
      <c r="J696" s="14">
        <v>1.6177690234294</v>
      </c>
      <c r="K696" s="14" t="s">
        <v>4186</v>
      </c>
    </row>
    <row r="697" spans="1:11">
      <c r="A697" s="14" t="s">
        <v>17928</v>
      </c>
      <c r="B697" s="14" t="s">
        <v>17929</v>
      </c>
      <c r="C697" s="14" t="s">
        <v>16090</v>
      </c>
      <c r="D697" s="14">
        <v>1</v>
      </c>
      <c r="E697" s="14">
        <v>1378</v>
      </c>
      <c r="F697" s="14">
        <v>7</v>
      </c>
      <c r="G697" s="14">
        <v>15605</v>
      </c>
      <c r="H697" s="14">
        <v>0.476531822479353</v>
      </c>
      <c r="I697" s="14">
        <v>0.911965910022374</v>
      </c>
      <c r="J697" s="14">
        <v>1.6177690234294</v>
      </c>
      <c r="K697" s="14" t="s">
        <v>4166</v>
      </c>
    </row>
    <row r="698" spans="1:11">
      <c r="A698" s="14" t="s">
        <v>17930</v>
      </c>
      <c r="B698" s="14" t="s">
        <v>17931</v>
      </c>
      <c r="C698" s="14" t="s">
        <v>16090</v>
      </c>
      <c r="D698" s="14">
        <v>1</v>
      </c>
      <c r="E698" s="14">
        <v>1378</v>
      </c>
      <c r="F698" s="14">
        <v>7</v>
      </c>
      <c r="G698" s="14">
        <v>15605</v>
      </c>
      <c r="H698" s="14">
        <v>0.476531822479353</v>
      </c>
      <c r="I698" s="14">
        <v>0.911965910022374</v>
      </c>
      <c r="J698" s="14">
        <v>1.6177690234294</v>
      </c>
      <c r="K698" s="14" t="s">
        <v>8018</v>
      </c>
    </row>
    <row r="699" spans="1:11">
      <c r="A699" s="14" t="s">
        <v>17932</v>
      </c>
      <c r="B699" s="14" t="s">
        <v>17933</v>
      </c>
      <c r="C699" s="14" t="s">
        <v>16090</v>
      </c>
      <c r="D699" s="14">
        <v>1</v>
      </c>
      <c r="E699" s="14">
        <v>1378</v>
      </c>
      <c r="F699" s="14">
        <v>7</v>
      </c>
      <c r="G699" s="14">
        <v>15605</v>
      </c>
      <c r="H699" s="14">
        <v>0.476531822479353</v>
      </c>
      <c r="I699" s="14">
        <v>0.911965910022374</v>
      </c>
      <c r="J699" s="14">
        <v>1.6177690234294</v>
      </c>
      <c r="K699" s="14" t="s">
        <v>7152</v>
      </c>
    </row>
    <row r="700" spans="1:11">
      <c r="A700" s="14" t="s">
        <v>17934</v>
      </c>
      <c r="B700" s="14" t="s">
        <v>17935</v>
      </c>
      <c r="C700" s="14" t="s">
        <v>16090</v>
      </c>
      <c r="D700" s="14">
        <v>1</v>
      </c>
      <c r="E700" s="14">
        <v>1378</v>
      </c>
      <c r="F700" s="14">
        <v>7</v>
      </c>
      <c r="G700" s="14">
        <v>15605</v>
      </c>
      <c r="H700" s="14">
        <v>0.476531822479353</v>
      </c>
      <c r="I700" s="14">
        <v>0.911965910022374</v>
      </c>
      <c r="J700" s="14">
        <v>1.6177690234294</v>
      </c>
      <c r="K700" s="14" t="s">
        <v>4225</v>
      </c>
    </row>
    <row r="701" spans="1:11">
      <c r="A701" s="14" t="s">
        <v>17936</v>
      </c>
      <c r="B701" s="14" t="s">
        <v>17937</v>
      </c>
      <c r="C701" s="14" t="s">
        <v>16086</v>
      </c>
      <c r="D701" s="14">
        <v>1</v>
      </c>
      <c r="E701" s="14">
        <v>1378</v>
      </c>
      <c r="F701" s="14">
        <v>7</v>
      </c>
      <c r="G701" s="14">
        <v>15605</v>
      </c>
      <c r="H701" s="14">
        <v>0.476531822479353</v>
      </c>
      <c r="I701" s="14">
        <v>0.911965910022374</v>
      </c>
      <c r="J701" s="14">
        <v>1.6177690234294</v>
      </c>
      <c r="K701" s="14" t="s">
        <v>6200</v>
      </c>
    </row>
    <row r="702" spans="1:11">
      <c r="A702" s="14" t="s">
        <v>17938</v>
      </c>
      <c r="B702" s="14" t="s">
        <v>17939</v>
      </c>
      <c r="C702" s="14" t="s">
        <v>16090</v>
      </c>
      <c r="D702" s="14">
        <v>1</v>
      </c>
      <c r="E702" s="14">
        <v>1378</v>
      </c>
      <c r="F702" s="14">
        <v>7</v>
      </c>
      <c r="G702" s="14">
        <v>15605</v>
      </c>
      <c r="H702" s="14">
        <v>0.476531822479353</v>
      </c>
      <c r="I702" s="14">
        <v>0.911965910022374</v>
      </c>
      <c r="J702" s="14">
        <v>1.6177690234294</v>
      </c>
      <c r="K702" s="14" t="s">
        <v>1724</v>
      </c>
    </row>
    <row r="703" spans="1:11">
      <c r="A703" s="14" t="s">
        <v>17940</v>
      </c>
      <c r="B703" s="14" t="s">
        <v>17941</v>
      </c>
      <c r="C703" s="14" t="s">
        <v>16090</v>
      </c>
      <c r="D703" s="14">
        <v>1</v>
      </c>
      <c r="E703" s="14">
        <v>1378</v>
      </c>
      <c r="F703" s="14">
        <v>7</v>
      </c>
      <c r="G703" s="14">
        <v>15605</v>
      </c>
      <c r="H703" s="14">
        <v>0.476531822479353</v>
      </c>
      <c r="I703" s="14">
        <v>0.911965910022374</v>
      </c>
      <c r="J703" s="14">
        <v>1.6177690234294</v>
      </c>
      <c r="K703" s="14" t="s">
        <v>11002</v>
      </c>
    </row>
    <row r="704" spans="1:11">
      <c r="A704" s="14" t="s">
        <v>17942</v>
      </c>
      <c r="B704" s="14" t="s">
        <v>17943</v>
      </c>
      <c r="C704" s="14" t="s">
        <v>16090</v>
      </c>
      <c r="D704" s="14">
        <v>1</v>
      </c>
      <c r="E704" s="14">
        <v>1378</v>
      </c>
      <c r="F704" s="14">
        <v>7</v>
      </c>
      <c r="G704" s="14">
        <v>15605</v>
      </c>
      <c r="H704" s="14">
        <v>0.476531822479353</v>
      </c>
      <c r="I704" s="14">
        <v>0.911965910022374</v>
      </c>
      <c r="J704" s="14">
        <v>1.6177690234294</v>
      </c>
      <c r="K704" s="14" t="s">
        <v>15152</v>
      </c>
    </row>
    <row r="705" spans="1:11">
      <c r="A705" s="14" t="s">
        <v>17944</v>
      </c>
      <c r="B705" s="14" t="s">
        <v>17945</v>
      </c>
      <c r="C705" s="14" t="s">
        <v>16090</v>
      </c>
      <c r="D705" s="14">
        <v>1</v>
      </c>
      <c r="E705" s="14">
        <v>1378</v>
      </c>
      <c r="F705" s="14">
        <v>7</v>
      </c>
      <c r="G705" s="14">
        <v>15605</v>
      </c>
      <c r="H705" s="14">
        <v>0.476531822479353</v>
      </c>
      <c r="I705" s="14">
        <v>0.911965910022374</v>
      </c>
      <c r="J705" s="14">
        <v>1.6177690234294</v>
      </c>
      <c r="K705" s="14" t="s">
        <v>15666</v>
      </c>
    </row>
    <row r="706" spans="1:11">
      <c r="A706" s="14" t="s">
        <v>17946</v>
      </c>
      <c r="B706" s="14" t="s">
        <v>17947</v>
      </c>
      <c r="C706" s="14" t="s">
        <v>16086</v>
      </c>
      <c r="D706" s="14">
        <v>1</v>
      </c>
      <c r="E706" s="14">
        <v>1378</v>
      </c>
      <c r="F706" s="14">
        <v>7</v>
      </c>
      <c r="G706" s="14">
        <v>15605</v>
      </c>
      <c r="H706" s="14">
        <v>0.476531822479353</v>
      </c>
      <c r="I706" s="14">
        <v>0.911965910022374</v>
      </c>
      <c r="J706" s="14">
        <v>1.6177690234294</v>
      </c>
      <c r="K706" s="14" t="s">
        <v>3540</v>
      </c>
    </row>
    <row r="707" spans="1:11">
      <c r="A707" s="14" t="s">
        <v>17948</v>
      </c>
      <c r="B707" s="14" t="s">
        <v>17949</v>
      </c>
      <c r="C707" s="14" t="s">
        <v>16086</v>
      </c>
      <c r="D707" s="14">
        <v>1</v>
      </c>
      <c r="E707" s="14">
        <v>1378</v>
      </c>
      <c r="F707" s="14">
        <v>7</v>
      </c>
      <c r="G707" s="14">
        <v>15605</v>
      </c>
      <c r="H707" s="14">
        <v>0.476531822479353</v>
      </c>
      <c r="I707" s="14">
        <v>0.911965910022374</v>
      </c>
      <c r="J707" s="14">
        <v>1.6177690234294</v>
      </c>
      <c r="K707" s="14" t="s">
        <v>14522</v>
      </c>
    </row>
    <row r="708" spans="1:11">
      <c r="A708" s="14" t="s">
        <v>17950</v>
      </c>
      <c r="B708" s="14" t="s">
        <v>17951</v>
      </c>
      <c r="C708" s="14" t="s">
        <v>16086</v>
      </c>
      <c r="D708" s="14">
        <v>1</v>
      </c>
      <c r="E708" s="14">
        <v>1378</v>
      </c>
      <c r="F708" s="14">
        <v>7</v>
      </c>
      <c r="G708" s="14">
        <v>15605</v>
      </c>
      <c r="H708" s="14">
        <v>0.476531822479353</v>
      </c>
      <c r="I708" s="14">
        <v>0.911965910022374</v>
      </c>
      <c r="J708" s="14">
        <v>1.6177690234294</v>
      </c>
      <c r="K708" s="14" t="s">
        <v>10483</v>
      </c>
    </row>
    <row r="709" spans="1:11">
      <c r="A709" s="14" t="s">
        <v>17952</v>
      </c>
      <c r="B709" s="14" t="s">
        <v>17953</v>
      </c>
      <c r="C709" s="14" t="s">
        <v>16096</v>
      </c>
      <c r="D709" s="14">
        <v>1</v>
      </c>
      <c r="E709" s="14">
        <v>1378</v>
      </c>
      <c r="F709" s="14">
        <v>7</v>
      </c>
      <c r="G709" s="14">
        <v>15605</v>
      </c>
      <c r="H709" s="14">
        <v>0.476531822479353</v>
      </c>
      <c r="I709" s="14">
        <v>0.911965910022374</v>
      </c>
      <c r="J709" s="14">
        <v>1.6177690234294</v>
      </c>
      <c r="K709" s="14" t="s">
        <v>10358</v>
      </c>
    </row>
    <row r="710" spans="1:11">
      <c r="A710" s="14" t="s">
        <v>17954</v>
      </c>
      <c r="B710" s="14" t="s">
        <v>17955</v>
      </c>
      <c r="C710" s="14" t="s">
        <v>16096</v>
      </c>
      <c r="D710" s="14">
        <v>1</v>
      </c>
      <c r="E710" s="14">
        <v>1378</v>
      </c>
      <c r="F710" s="14">
        <v>7</v>
      </c>
      <c r="G710" s="14">
        <v>15605</v>
      </c>
      <c r="H710" s="14">
        <v>0.476531822479353</v>
      </c>
      <c r="I710" s="14">
        <v>0.911965910022374</v>
      </c>
      <c r="J710" s="14">
        <v>1.6177690234294</v>
      </c>
      <c r="K710" s="14" t="s">
        <v>3277</v>
      </c>
    </row>
    <row r="711" spans="1:11">
      <c r="A711" s="14" t="s">
        <v>17956</v>
      </c>
      <c r="B711" s="14" t="s">
        <v>17957</v>
      </c>
      <c r="C711" s="14" t="s">
        <v>16096</v>
      </c>
      <c r="D711" s="14">
        <v>1</v>
      </c>
      <c r="E711" s="14">
        <v>1378</v>
      </c>
      <c r="F711" s="14">
        <v>7</v>
      </c>
      <c r="G711" s="14">
        <v>15605</v>
      </c>
      <c r="H711" s="14">
        <v>0.476531822479353</v>
      </c>
      <c r="I711" s="14">
        <v>0.911965910022374</v>
      </c>
      <c r="J711" s="14">
        <v>1.6177690234294</v>
      </c>
      <c r="K711" s="14" t="s">
        <v>4401</v>
      </c>
    </row>
    <row r="712" spans="1:11">
      <c r="A712" s="14" t="s">
        <v>17958</v>
      </c>
      <c r="B712" s="14" t="s">
        <v>17959</v>
      </c>
      <c r="C712" s="14" t="s">
        <v>16090</v>
      </c>
      <c r="D712" s="14">
        <v>1</v>
      </c>
      <c r="E712" s="14">
        <v>1378</v>
      </c>
      <c r="F712" s="14">
        <v>7</v>
      </c>
      <c r="G712" s="14">
        <v>15605</v>
      </c>
      <c r="H712" s="14">
        <v>0.476531822479353</v>
      </c>
      <c r="I712" s="14">
        <v>0.911965910022374</v>
      </c>
      <c r="J712" s="14">
        <v>1.6177690234294</v>
      </c>
      <c r="K712" s="14" t="s">
        <v>4385</v>
      </c>
    </row>
    <row r="713" spans="1:11">
      <c r="A713" s="14" t="s">
        <v>17960</v>
      </c>
      <c r="B713" s="14" t="s">
        <v>17961</v>
      </c>
      <c r="C713" s="14" t="s">
        <v>16086</v>
      </c>
      <c r="D713" s="14">
        <v>1</v>
      </c>
      <c r="E713" s="14">
        <v>1378</v>
      </c>
      <c r="F713" s="14">
        <v>7</v>
      </c>
      <c r="G713" s="14">
        <v>15605</v>
      </c>
      <c r="H713" s="14">
        <v>0.476531822479353</v>
      </c>
      <c r="I713" s="14">
        <v>0.911965910022374</v>
      </c>
      <c r="J713" s="14">
        <v>1.6177690234294</v>
      </c>
      <c r="K713" s="14" t="s">
        <v>9078</v>
      </c>
    </row>
    <row r="714" spans="1:11">
      <c r="A714" s="14" t="s">
        <v>17962</v>
      </c>
      <c r="B714" s="14" t="s">
        <v>17963</v>
      </c>
      <c r="C714" s="14" t="s">
        <v>16096</v>
      </c>
      <c r="D714" s="14">
        <v>1</v>
      </c>
      <c r="E714" s="14">
        <v>1378</v>
      </c>
      <c r="F714" s="14">
        <v>7</v>
      </c>
      <c r="G714" s="14">
        <v>15605</v>
      </c>
      <c r="H714" s="14">
        <v>0.476531822479353</v>
      </c>
      <c r="I714" s="14">
        <v>0.911965910022374</v>
      </c>
      <c r="J714" s="14">
        <v>1.6177690234294</v>
      </c>
      <c r="K714" s="14" t="s">
        <v>8168</v>
      </c>
    </row>
    <row r="715" spans="1:11">
      <c r="A715" s="14" t="s">
        <v>17964</v>
      </c>
      <c r="B715" s="14" t="s">
        <v>17965</v>
      </c>
      <c r="C715" s="14" t="s">
        <v>16090</v>
      </c>
      <c r="D715" s="14">
        <v>1</v>
      </c>
      <c r="E715" s="14">
        <v>1378</v>
      </c>
      <c r="F715" s="14">
        <v>7</v>
      </c>
      <c r="G715" s="14">
        <v>15605</v>
      </c>
      <c r="H715" s="14">
        <v>0.476531822479353</v>
      </c>
      <c r="I715" s="14">
        <v>0.911965910022374</v>
      </c>
      <c r="J715" s="14">
        <v>1.6177690234294</v>
      </c>
      <c r="K715" s="14" t="s">
        <v>4385</v>
      </c>
    </row>
    <row r="716" spans="1:11">
      <c r="A716" s="14" t="s">
        <v>17966</v>
      </c>
      <c r="B716" s="14" t="s">
        <v>17967</v>
      </c>
      <c r="C716" s="14" t="s">
        <v>16096</v>
      </c>
      <c r="D716" s="14">
        <v>1</v>
      </c>
      <c r="E716" s="14">
        <v>1378</v>
      </c>
      <c r="F716" s="14">
        <v>7</v>
      </c>
      <c r="G716" s="14">
        <v>15605</v>
      </c>
      <c r="H716" s="14">
        <v>0.476531822479353</v>
      </c>
      <c r="I716" s="14">
        <v>0.911965910022374</v>
      </c>
      <c r="J716" s="14">
        <v>1.6177690234294</v>
      </c>
      <c r="K716" s="14" t="s">
        <v>12621</v>
      </c>
    </row>
    <row r="717" spans="1:11">
      <c r="A717" s="14" t="s">
        <v>17968</v>
      </c>
      <c r="B717" s="14" t="s">
        <v>17969</v>
      </c>
      <c r="C717" s="14" t="s">
        <v>16086</v>
      </c>
      <c r="D717" s="14">
        <v>1</v>
      </c>
      <c r="E717" s="14">
        <v>1378</v>
      </c>
      <c r="F717" s="14">
        <v>7</v>
      </c>
      <c r="G717" s="14">
        <v>15605</v>
      </c>
      <c r="H717" s="14">
        <v>0.476531822479353</v>
      </c>
      <c r="I717" s="14">
        <v>0.911965910022374</v>
      </c>
      <c r="J717" s="14">
        <v>1.6177690234294</v>
      </c>
      <c r="K717" s="14" t="s">
        <v>12298</v>
      </c>
    </row>
    <row r="718" spans="1:11">
      <c r="A718" s="14" t="s">
        <v>17970</v>
      </c>
      <c r="B718" s="14" t="s">
        <v>17971</v>
      </c>
      <c r="C718" s="14" t="s">
        <v>16090</v>
      </c>
      <c r="D718" s="14">
        <v>1</v>
      </c>
      <c r="E718" s="14">
        <v>1378</v>
      </c>
      <c r="F718" s="14">
        <v>7</v>
      </c>
      <c r="G718" s="14">
        <v>15605</v>
      </c>
      <c r="H718" s="14">
        <v>0.476531822479353</v>
      </c>
      <c r="I718" s="14">
        <v>0.911965910022374</v>
      </c>
      <c r="J718" s="14">
        <v>1.6177690234294</v>
      </c>
      <c r="K718" s="14" t="s">
        <v>5713</v>
      </c>
    </row>
    <row r="719" spans="1:11">
      <c r="A719" s="14" t="s">
        <v>17972</v>
      </c>
      <c r="B719" s="14" t="s">
        <v>17973</v>
      </c>
      <c r="C719" s="14" t="s">
        <v>16090</v>
      </c>
      <c r="D719" s="14">
        <v>1</v>
      </c>
      <c r="E719" s="14">
        <v>1378</v>
      </c>
      <c r="F719" s="14">
        <v>7</v>
      </c>
      <c r="G719" s="14">
        <v>15605</v>
      </c>
      <c r="H719" s="14">
        <v>0.476531822479353</v>
      </c>
      <c r="I719" s="14">
        <v>0.911965910022374</v>
      </c>
      <c r="J719" s="14">
        <v>1.6177690234294</v>
      </c>
      <c r="K719" s="14" t="s">
        <v>14480</v>
      </c>
    </row>
    <row r="720" spans="1:11">
      <c r="A720" s="14" t="s">
        <v>17974</v>
      </c>
      <c r="B720" s="14" t="s">
        <v>17975</v>
      </c>
      <c r="C720" s="14" t="s">
        <v>16090</v>
      </c>
      <c r="D720" s="14">
        <v>1</v>
      </c>
      <c r="E720" s="14">
        <v>1378</v>
      </c>
      <c r="F720" s="14">
        <v>7</v>
      </c>
      <c r="G720" s="14">
        <v>15605</v>
      </c>
      <c r="H720" s="14">
        <v>0.476531822479353</v>
      </c>
      <c r="I720" s="14">
        <v>0.911965910022374</v>
      </c>
      <c r="J720" s="14">
        <v>1.6177690234294</v>
      </c>
      <c r="K720" s="14" t="s">
        <v>15074</v>
      </c>
    </row>
    <row r="721" spans="1:11">
      <c r="A721" s="14" t="s">
        <v>17976</v>
      </c>
      <c r="B721" s="14" t="s">
        <v>17977</v>
      </c>
      <c r="C721" s="14" t="s">
        <v>16086</v>
      </c>
      <c r="D721" s="14">
        <v>1</v>
      </c>
      <c r="E721" s="14">
        <v>1378</v>
      </c>
      <c r="F721" s="14">
        <v>7</v>
      </c>
      <c r="G721" s="14">
        <v>15605</v>
      </c>
      <c r="H721" s="14">
        <v>0.476531822479353</v>
      </c>
      <c r="I721" s="14">
        <v>0.911965910022374</v>
      </c>
      <c r="J721" s="14">
        <v>1.6177690234294</v>
      </c>
      <c r="K721" s="14" t="s">
        <v>10483</v>
      </c>
    </row>
    <row r="722" spans="1:11">
      <c r="A722" s="14" t="s">
        <v>17978</v>
      </c>
      <c r="B722" s="14" t="s">
        <v>17979</v>
      </c>
      <c r="C722" s="14" t="s">
        <v>16090</v>
      </c>
      <c r="D722" s="14">
        <v>1</v>
      </c>
      <c r="E722" s="14">
        <v>1378</v>
      </c>
      <c r="F722" s="14">
        <v>7</v>
      </c>
      <c r="G722" s="14">
        <v>15605</v>
      </c>
      <c r="H722" s="14">
        <v>0.476531822479353</v>
      </c>
      <c r="I722" s="14">
        <v>0.911965910022374</v>
      </c>
      <c r="J722" s="14">
        <v>1.6177690234294</v>
      </c>
      <c r="K722" s="14" t="s">
        <v>345</v>
      </c>
    </row>
    <row r="723" spans="1:11">
      <c r="A723" s="14" t="s">
        <v>17980</v>
      </c>
      <c r="B723" s="14" t="s">
        <v>17981</v>
      </c>
      <c r="C723" s="14" t="s">
        <v>16096</v>
      </c>
      <c r="D723" s="14">
        <v>1</v>
      </c>
      <c r="E723" s="14">
        <v>1378</v>
      </c>
      <c r="F723" s="14">
        <v>7</v>
      </c>
      <c r="G723" s="14">
        <v>15605</v>
      </c>
      <c r="H723" s="14">
        <v>0.476531822479353</v>
      </c>
      <c r="I723" s="14">
        <v>0.911965910022374</v>
      </c>
      <c r="J723" s="14">
        <v>1.6177690234294</v>
      </c>
      <c r="K723" s="14" t="s">
        <v>12175</v>
      </c>
    </row>
    <row r="724" spans="1:11">
      <c r="A724" s="14" t="s">
        <v>17982</v>
      </c>
      <c r="B724" s="14" t="s">
        <v>17983</v>
      </c>
      <c r="C724" s="14" t="s">
        <v>16086</v>
      </c>
      <c r="D724" s="14">
        <v>1</v>
      </c>
      <c r="E724" s="14">
        <v>1378</v>
      </c>
      <c r="F724" s="14">
        <v>7</v>
      </c>
      <c r="G724" s="14">
        <v>15605</v>
      </c>
      <c r="H724" s="14">
        <v>0.476531822479353</v>
      </c>
      <c r="I724" s="14">
        <v>0.911965910022374</v>
      </c>
      <c r="J724" s="14">
        <v>1.6177690234294</v>
      </c>
      <c r="K724" s="14" t="s">
        <v>12407</v>
      </c>
    </row>
    <row r="725" spans="1:11">
      <c r="A725" s="14" t="s">
        <v>17984</v>
      </c>
      <c r="B725" s="14" t="s">
        <v>17985</v>
      </c>
      <c r="C725" s="14" t="s">
        <v>16090</v>
      </c>
      <c r="D725" s="14">
        <v>1</v>
      </c>
      <c r="E725" s="14">
        <v>1378</v>
      </c>
      <c r="F725" s="14">
        <v>7</v>
      </c>
      <c r="G725" s="14">
        <v>15605</v>
      </c>
      <c r="H725" s="14">
        <v>0.476531822479353</v>
      </c>
      <c r="I725" s="14">
        <v>0.911965910022374</v>
      </c>
      <c r="J725" s="14">
        <v>1.6177690234294</v>
      </c>
      <c r="K725" s="14" t="s">
        <v>3699</v>
      </c>
    </row>
    <row r="726" spans="1:11">
      <c r="A726" s="14" t="s">
        <v>17986</v>
      </c>
      <c r="B726" s="14" t="s">
        <v>17987</v>
      </c>
      <c r="C726" s="14" t="s">
        <v>16090</v>
      </c>
      <c r="D726" s="14">
        <v>1</v>
      </c>
      <c r="E726" s="14">
        <v>1378</v>
      </c>
      <c r="F726" s="14">
        <v>7</v>
      </c>
      <c r="G726" s="14">
        <v>15605</v>
      </c>
      <c r="H726" s="14">
        <v>0.476531822479353</v>
      </c>
      <c r="I726" s="14">
        <v>0.911965910022374</v>
      </c>
      <c r="J726" s="14">
        <v>1.6177690234294</v>
      </c>
      <c r="K726" s="14" t="s">
        <v>4401</v>
      </c>
    </row>
    <row r="727" spans="1:11">
      <c r="A727" s="14" t="s">
        <v>17988</v>
      </c>
      <c r="B727" s="14" t="s">
        <v>17989</v>
      </c>
      <c r="C727" s="14" t="s">
        <v>16090</v>
      </c>
      <c r="D727" s="14">
        <v>1</v>
      </c>
      <c r="E727" s="14">
        <v>1378</v>
      </c>
      <c r="F727" s="14">
        <v>7</v>
      </c>
      <c r="G727" s="14">
        <v>15605</v>
      </c>
      <c r="H727" s="14">
        <v>0.476531822479353</v>
      </c>
      <c r="I727" s="14">
        <v>0.911965910022374</v>
      </c>
      <c r="J727" s="14">
        <v>1.6177690234294</v>
      </c>
      <c r="K727" s="14" t="s">
        <v>434</v>
      </c>
    </row>
    <row r="728" spans="1:11">
      <c r="A728" s="14" t="s">
        <v>17990</v>
      </c>
      <c r="B728" s="14" t="s">
        <v>17991</v>
      </c>
      <c r="C728" s="14" t="s">
        <v>16090</v>
      </c>
      <c r="D728" s="14">
        <v>1</v>
      </c>
      <c r="E728" s="14">
        <v>1378</v>
      </c>
      <c r="F728" s="14">
        <v>7</v>
      </c>
      <c r="G728" s="14">
        <v>15605</v>
      </c>
      <c r="H728" s="14">
        <v>0.476531822479353</v>
      </c>
      <c r="I728" s="14">
        <v>0.911965910022374</v>
      </c>
      <c r="J728" s="14">
        <v>1.6177690234294</v>
      </c>
      <c r="K728" s="14" t="s">
        <v>11883</v>
      </c>
    </row>
    <row r="729" spans="1:11">
      <c r="A729" s="14" t="s">
        <v>17992</v>
      </c>
      <c r="B729" s="14" t="s">
        <v>17993</v>
      </c>
      <c r="C729" s="14" t="s">
        <v>16086</v>
      </c>
      <c r="D729" s="14">
        <v>1</v>
      </c>
      <c r="E729" s="14">
        <v>1378</v>
      </c>
      <c r="F729" s="14">
        <v>7</v>
      </c>
      <c r="G729" s="14">
        <v>15605</v>
      </c>
      <c r="H729" s="14">
        <v>0.476531822479353</v>
      </c>
      <c r="I729" s="14">
        <v>0.911965910022374</v>
      </c>
      <c r="J729" s="14">
        <v>1.6177690234294</v>
      </c>
      <c r="K729" s="14" t="s">
        <v>1052</v>
      </c>
    </row>
    <row r="730" spans="1:11">
      <c r="A730" s="14" t="s">
        <v>17994</v>
      </c>
      <c r="B730" s="14" t="s">
        <v>17995</v>
      </c>
      <c r="C730" s="14" t="s">
        <v>16090</v>
      </c>
      <c r="D730" s="14">
        <v>1</v>
      </c>
      <c r="E730" s="14">
        <v>1378</v>
      </c>
      <c r="F730" s="14">
        <v>7</v>
      </c>
      <c r="G730" s="14">
        <v>15605</v>
      </c>
      <c r="H730" s="14">
        <v>0.476531822479353</v>
      </c>
      <c r="I730" s="14">
        <v>0.911965910022374</v>
      </c>
      <c r="J730" s="14">
        <v>1.6177690234294</v>
      </c>
      <c r="K730" s="14" t="s">
        <v>3009</v>
      </c>
    </row>
    <row r="731" spans="1:11">
      <c r="A731" s="14" t="s">
        <v>17996</v>
      </c>
      <c r="B731" s="14" t="s">
        <v>17997</v>
      </c>
      <c r="C731" s="14" t="s">
        <v>16086</v>
      </c>
      <c r="D731" s="14">
        <v>1</v>
      </c>
      <c r="E731" s="14">
        <v>1378</v>
      </c>
      <c r="F731" s="14">
        <v>7</v>
      </c>
      <c r="G731" s="14">
        <v>15605</v>
      </c>
      <c r="H731" s="14">
        <v>0.476531822479353</v>
      </c>
      <c r="I731" s="14">
        <v>0.911965910022374</v>
      </c>
      <c r="J731" s="14">
        <v>1.6177690234294</v>
      </c>
      <c r="K731" s="14" t="s">
        <v>11883</v>
      </c>
    </row>
    <row r="732" spans="1:11">
      <c r="A732" s="14" t="s">
        <v>17998</v>
      </c>
      <c r="B732" s="14" t="s">
        <v>17999</v>
      </c>
      <c r="C732" s="14" t="s">
        <v>16090</v>
      </c>
      <c r="D732" s="14">
        <v>1</v>
      </c>
      <c r="E732" s="14">
        <v>1378</v>
      </c>
      <c r="F732" s="14">
        <v>7</v>
      </c>
      <c r="G732" s="14">
        <v>15605</v>
      </c>
      <c r="H732" s="14">
        <v>0.476531822479353</v>
      </c>
      <c r="I732" s="14">
        <v>0.911965910022374</v>
      </c>
      <c r="J732" s="14">
        <v>1.6177690234294</v>
      </c>
      <c r="K732" s="14" t="s">
        <v>13598</v>
      </c>
    </row>
    <row r="733" spans="1:11">
      <c r="A733" s="14" t="s">
        <v>18000</v>
      </c>
      <c r="B733" s="14" t="s">
        <v>18001</v>
      </c>
      <c r="C733" s="14" t="s">
        <v>16090</v>
      </c>
      <c r="D733" s="14">
        <v>1</v>
      </c>
      <c r="E733" s="14">
        <v>1378</v>
      </c>
      <c r="F733" s="14">
        <v>7</v>
      </c>
      <c r="G733" s="14">
        <v>15605</v>
      </c>
      <c r="H733" s="14">
        <v>0.476531822479353</v>
      </c>
      <c r="I733" s="14">
        <v>0.911965910022374</v>
      </c>
      <c r="J733" s="14">
        <v>1.6177690234294</v>
      </c>
      <c r="K733" s="14" t="s">
        <v>2435</v>
      </c>
    </row>
    <row r="734" spans="1:11">
      <c r="A734" s="14" t="s">
        <v>18002</v>
      </c>
      <c r="B734" s="14" t="s">
        <v>18003</v>
      </c>
      <c r="C734" s="14" t="s">
        <v>16096</v>
      </c>
      <c r="D734" s="14">
        <v>1</v>
      </c>
      <c r="E734" s="14">
        <v>1378</v>
      </c>
      <c r="F734" s="14">
        <v>7</v>
      </c>
      <c r="G734" s="14">
        <v>15605</v>
      </c>
      <c r="H734" s="14">
        <v>0.476531822479353</v>
      </c>
      <c r="I734" s="14">
        <v>0.911965910022374</v>
      </c>
      <c r="J734" s="14">
        <v>1.6177690234294</v>
      </c>
      <c r="K734" s="14" t="s">
        <v>4401</v>
      </c>
    </row>
    <row r="735" spans="1:11">
      <c r="A735" s="14" t="s">
        <v>18004</v>
      </c>
      <c r="B735" s="14" t="s">
        <v>18005</v>
      </c>
      <c r="C735" s="14" t="s">
        <v>16090</v>
      </c>
      <c r="D735" s="14">
        <v>1</v>
      </c>
      <c r="E735" s="14">
        <v>1378</v>
      </c>
      <c r="F735" s="14">
        <v>7</v>
      </c>
      <c r="G735" s="14">
        <v>15605</v>
      </c>
      <c r="H735" s="14">
        <v>0.476531822479353</v>
      </c>
      <c r="I735" s="14">
        <v>0.911965910022374</v>
      </c>
      <c r="J735" s="14">
        <v>1.6177690234294</v>
      </c>
      <c r="K735" s="14" t="s">
        <v>14138</v>
      </c>
    </row>
    <row r="736" spans="1:11">
      <c r="A736" s="14" t="s">
        <v>18006</v>
      </c>
      <c r="B736" s="14" t="s">
        <v>18007</v>
      </c>
      <c r="C736" s="14" t="s">
        <v>16096</v>
      </c>
      <c r="D736" s="14">
        <v>1</v>
      </c>
      <c r="E736" s="14">
        <v>1378</v>
      </c>
      <c r="F736" s="14">
        <v>7</v>
      </c>
      <c r="G736" s="14">
        <v>15605</v>
      </c>
      <c r="H736" s="14">
        <v>0.476531822479353</v>
      </c>
      <c r="I736" s="14">
        <v>0.911965910022374</v>
      </c>
      <c r="J736" s="14">
        <v>1.6177690234294</v>
      </c>
      <c r="K736" s="14" t="s">
        <v>352</v>
      </c>
    </row>
    <row r="737" spans="1:11">
      <c r="A737" s="14" t="s">
        <v>18008</v>
      </c>
      <c r="B737" s="14" t="s">
        <v>18009</v>
      </c>
      <c r="C737" s="14" t="s">
        <v>16090</v>
      </c>
      <c r="D737" s="14">
        <v>1</v>
      </c>
      <c r="E737" s="14">
        <v>1378</v>
      </c>
      <c r="F737" s="14">
        <v>7</v>
      </c>
      <c r="G737" s="14">
        <v>15605</v>
      </c>
      <c r="H737" s="14">
        <v>0.476531822479353</v>
      </c>
      <c r="I737" s="14">
        <v>0.911965910022374</v>
      </c>
      <c r="J737" s="14">
        <v>1.6177690234294</v>
      </c>
      <c r="K737" s="14" t="s">
        <v>8970</v>
      </c>
    </row>
    <row r="738" spans="1:11">
      <c r="A738" s="14" t="s">
        <v>18010</v>
      </c>
      <c r="B738" s="14" t="s">
        <v>18011</v>
      </c>
      <c r="C738" s="14" t="s">
        <v>16090</v>
      </c>
      <c r="D738" s="14">
        <v>3</v>
      </c>
      <c r="E738" s="14">
        <v>1378</v>
      </c>
      <c r="F738" s="14">
        <v>29</v>
      </c>
      <c r="G738" s="14">
        <v>15605</v>
      </c>
      <c r="H738" s="14">
        <v>0.478364026494846</v>
      </c>
      <c r="I738" s="14">
        <v>0.911965910022374</v>
      </c>
      <c r="J738" s="14">
        <v>1.17148791351784</v>
      </c>
      <c r="K738" s="14" t="s">
        <v>18012</v>
      </c>
    </row>
    <row r="739" spans="1:11">
      <c r="A739" s="14" t="s">
        <v>18013</v>
      </c>
      <c r="B739" s="14" t="s">
        <v>18014</v>
      </c>
      <c r="C739" s="14" t="s">
        <v>16086</v>
      </c>
      <c r="D739" s="14">
        <v>3</v>
      </c>
      <c r="E739" s="14">
        <v>1378</v>
      </c>
      <c r="F739" s="14">
        <v>29</v>
      </c>
      <c r="G739" s="14">
        <v>15605</v>
      </c>
      <c r="H739" s="14">
        <v>0.478364026494846</v>
      </c>
      <c r="I739" s="14">
        <v>0.911965910022374</v>
      </c>
      <c r="J739" s="14">
        <v>1.17148791351784</v>
      </c>
      <c r="K739" s="14" t="s">
        <v>18015</v>
      </c>
    </row>
    <row r="740" spans="1:11">
      <c r="A740" s="14" t="s">
        <v>18016</v>
      </c>
      <c r="B740" s="14" t="s">
        <v>18017</v>
      </c>
      <c r="C740" s="14" t="s">
        <v>16090</v>
      </c>
      <c r="D740" s="14">
        <v>3</v>
      </c>
      <c r="E740" s="14">
        <v>1378</v>
      </c>
      <c r="F740" s="14">
        <v>29</v>
      </c>
      <c r="G740" s="14">
        <v>15605</v>
      </c>
      <c r="H740" s="14">
        <v>0.478364026494846</v>
      </c>
      <c r="I740" s="14">
        <v>0.911965910022374</v>
      </c>
      <c r="J740" s="14">
        <v>1.17148791351784</v>
      </c>
      <c r="K740" s="14" t="s">
        <v>18018</v>
      </c>
    </row>
    <row r="741" spans="1:11">
      <c r="A741" s="14" t="s">
        <v>18019</v>
      </c>
      <c r="B741" s="14" t="s">
        <v>18020</v>
      </c>
      <c r="C741" s="14" t="s">
        <v>16090</v>
      </c>
      <c r="D741" s="14">
        <v>3</v>
      </c>
      <c r="E741" s="14">
        <v>1378</v>
      </c>
      <c r="F741" s="14">
        <v>29</v>
      </c>
      <c r="G741" s="14">
        <v>15605</v>
      </c>
      <c r="H741" s="14">
        <v>0.478364026494846</v>
      </c>
      <c r="I741" s="14">
        <v>0.911965910022374</v>
      </c>
      <c r="J741" s="14">
        <v>1.17148791351784</v>
      </c>
      <c r="K741" s="14" t="s">
        <v>18021</v>
      </c>
    </row>
    <row r="742" spans="1:11">
      <c r="A742" s="14" t="s">
        <v>18022</v>
      </c>
      <c r="B742" s="14" t="s">
        <v>18023</v>
      </c>
      <c r="C742" s="14" t="s">
        <v>16086</v>
      </c>
      <c r="D742" s="14">
        <v>2</v>
      </c>
      <c r="E742" s="14">
        <v>1378</v>
      </c>
      <c r="F742" s="14">
        <v>18</v>
      </c>
      <c r="G742" s="14">
        <v>15605</v>
      </c>
      <c r="H742" s="14">
        <v>0.480595505201093</v>
      </c>
      <c r="I742" s="14">
        <v>0.911965910022374</v>
      </c>
      <c r="J742" s="14">
        <v>1.25826479600065</v>
      </c>
      <c r="K742" s="14" t="s">
        <v>18024</v>
      </c>
    </row>
    <row r="743" spans="1:11">
      <c r="A743" s="14" t="s">
        <v>18025</v>
      </c>
      <c r="B743" s="14" t="s">
        <v>18026</v>
      </c>
      <c r="C743" s="14" t="s">
        <v>16090</v>
      </c>
      <c r="D743" s="14">
        <v>2</v>
      </c>
      <c r="E743" s="14">
        <v>1378</v>
      </c>
      <c r="F743" s="14">
        <v>18</v>
      </c>
      <c r="G743" s="14">
        <v>15605</v>
      </c>
      <c r="H743" s="14">
        <v>0.480595505201093</v>
      </c>
      <c r="I743" s="14">
        <v>0.911965910022374</v>
      </c>
      <c r="J743" s="14">
        <v>1.25826479600065</v>
      </c>
      <c r="K743" s="14" t="s">
        <v>18027</v>
      </c>
    </row>
    <row r="744" spans="1:11">
      <c r="A744" s="14" t="s">
        <v>18028</v>
      </c>
      <c r="B744" s="14" t="s">
        <v>18029</v>
      </c>
      <c r="C744" s="14" t="s">
        <v>16086</v>
      </c>
      <c r="D744" s="14">
        <v>2</v>
      </c>
      <c r="E744" s="14">
        <v>1378</v>
      </c>
      <c r="F744" s="14">
        <v>18</v>
      </c>
      <c r="G744" s="14">
        <v>15605</v>
      </c>
      <c r="H744" s="14">
        <v>0.480595505201093</v>
      </c>
      <c r="I744" s="14">
        <v>0.911965910022374</v>
      </c>
      <c r="J744" s="14">
        <v>1.25826479600065</v>
      </c>
      <c r="K744" s="14" t="s">
        <v>18030</v>
      </c>
    </row>
    <row r="745" spans="1:11">
      <c r="A745" s="14" t="s">
        <v>18031</v>
      </c>
      <c r="B745" s="14" t="s">
        <v>18032</v>
      </c>
      <c r="C745" s="14" t="s">
        <v>16090</v>
      </c>
      <c r="D745" s="14">
        <v>2</v>
      </c>
      <c r="E745" s="14">
        <v>1378</v>
      </c>
      <c r="F745" s="14">
        <v>18</v>
      </c>
      <c r="G745" s="14">
        <v>15605</v>
      </c>
      <c r="H745" s="14">
        <v>0.480595505201093</v>
      </c>
      <c r="I745" s="14">
        <v>0.911965910022374</v>
      </c>
      <c r="J745" s="14">
        <v>1.25826479600065</v>
      </c>
      <c r="K745" s="14" t="s">
        <v>18033</v>
      </c>
    </row>
    <row r="746" spans="1:11">
      <c r="A746" s="14" t="s">
        <v>18034</v>
      </c>
      <c r="B746" s="14" t="s">
        <v>18035</v>
      </c>
      <c r="C746" s="14" t="s">
        <v>16086</v>
      </c>
      <c r="D746" s="14">
        <v>2</v>
      </c>
      <c r="E746" s="14">
        <v>1378</v>
      </c>
      <c r="F746" s="14">
        <v>18</v>
      </c>
      <c r="G746" s="14">
        <v>15605</v>
      </c>
      <c r="H746" s="14">
        <v>0.480595505201093</v>
      </c>
      <c r="I746" s="14">
        <v>0.911965910022374</v>
      </c>
      <c r="J746" s="14">
        <v>1.25826479600065</v>
      </c>
      <c r="K746" s="14" t="s">
        <v>18036</v>
      </c>
    </row>
    <row r="747" spans="1:11">
      <c r="A747" s="14" t="s">
        <v>18037</v>
      </c>
      <c r="B747" s="14" t="s">
        <v>18038</v>
      </c>
      <c r="C747" s="14" t="s">
        <v>16090</v>
      </c>
      <c r="D747" s="14">
        <v>6</v>
      </c>
      <c r="E747" s="14">
        <v>1378</v>
      </c>
      <c r="F747" s="14">
        <v>63</v>
      </c>
      <c r="G747" s="14">
        <v>15605</v>
      </c>
      <c r="H747" s="14">
        <v>0.486477413622198</v>
      </c>
      <c r="I747" s="14">
        <v>0.911965910022374</v>
      </c>
      <c r="J747" s="14">
        <v>1.07851268228627</v>
      </c>
      <c r="K747" s="14" t="s">
        <v>18039</v>
      </c>
    </row>
    <row r="748" spans="1:11">
      <c r="A748" s="14" t="s">
        <v>18040</v>
      </c>
      <c r="B748" s="14" t="s">
        <v>18041</v>
      </c>
      <c r="C748" s="14" t="s">
        <v>16090</v>
      </c>
      <c r="D748" s="14">
        <v>4</v>
      </c>
      <c r="E748" s="14">
        <v>1378</v>
      </c>
      <c r="F748" s="14">
        <v>41</v>
      </c>
      <c r="G748" s="14">
        <v>15605</v>
      </c>
      <c r="H748" s="14">
        <v>0.495356894247437</v>
      </c>
      <c r="I748" s="14">
        <v>0.911965910022374</v>
      </c>
      <c r="J748" s="14">
        <v>1.1048178696591</v>
      </c>
      <c r="K748" s="14" t="s">
        <v>18042</v>
      </c>
    </row>
    <row r="749" spans="1:11">
      <c r="A749" s="14" t="s">
        <v>18043</v>
      </c>
      <c r="B749" s="14" t="s">
        <v>18044</v>
      </c>
      <c r="C749" s="14" t="s">
        <v>16090</v>
      </c>
      <c r="D749" s="14">
        <v>3</v>
      </c>
      <c r="E749" s="14">
        <v>1378</v>
      </c>
      <c r="F749" s="14">
        <v>30</v>
      </c>
      <c r="G749" s="14">
        <v>15605</v>
      </c>
      <c r="H749" s="14">
        <v>0.501424433327718</v>
      </c>
      <c r="I749" s="14">
        <v>0.911965910022374</v>
      </c>
      <c r="J749" s="14">
        <v>1.13243831640058</v>
      </c>
      <c r="K749" s="14" t="s">
        <v>18045</v>
      </c>
    </row>
    <row r="750" spans="1:11">
      <c r="A750" s="14" t="s">
        <v>18046</v>
      </c>
      <c r="B750" s="14" t="s">
        <v>18047</v>
      </c>
      <c r="C750" s="14" t="s">
        <v>16090</v>
      </c>
      <c r="D750" s="14">
        <v>3</v>
      </c>
      <c r="E750" s="14">
        <v>1378</v>
      </c>
      <c r="F750" s="14">
        <v>30</v>
      </c>
      <c r="G750" s="14">
        <v>15605</v>
      </c>
      <c r="H750" s="14">
        <v>0.501424433327718</v>
      </c>
      <c r="I750" s="14">
        <v>0.911965910022374</v>
      </c>
      <c r="J750" s="14">
        <v>1.13243831640058</v>
      </c>
      <c r="K750" s="14" t="s">
        <v>18048</v>
      </c>
    </row>
    <row r="751" spans="1:11">
      <c r="A751" s="14" t="s">
        <v>18049</v>
      </c>
      <c r="B751" s="14" t="s">
        <v>18050</v>
      </c>
      <c r="C751" s="14" t="s">
        <v>16090</v>
      </c>
      <c r="D751" s="14">
        <v>6</v>
      </c>
      <c r="E751" s="14">
        <v>1378</v>
      </c>
      <c r="F751" s="14">
        <v>64</v>
      </c>
      <c r="G751" s="14">
        <v>15605</v>
      </c>
      <c r="H751" s="14">
        <v>0.502144641847169</v>
      </c>
      <c r="I751" s="14">
        <v>0.911965910022374</v>
      </c>
      <c r="J751" s="14">
        <v>1.06166092162554</v>
      </c>
      <c r="K751" s="14" t="s">
        <v>18051</v>
      </c>
    </row>
    <row r="752" spans="1:11">
      <c r="A752" s="14" t="s">
        <v>18052</v>
      </c>
      <c r="B752" s="14" t="s">
        <v>18053</v>
      </c>
      <c r="C752" s="14" t="s">
        <v>16086</v>
      </c>
      <c r="D752" s="14">
        <v>13</v>
      </c>
      <c r="E752" s="14">
        <v>1378</v>
      </c>
      <c r="F752" s="14">
        <v>144</v>
      </c>
      <c r="G752" s="14">
        <v>15605</v>
      </c>
      <c r="H752" s="14">
        <v>0.509407158705243</v>
      </c>
      <c r="I752" s="14">
        <v>0.911965910022374</v>
      </c>
      <c r="J752" s="14">
        <v>1.02234014675052</v>
      </c>
      <c r="K752" s="14" t="s">
        <v>18054</v>
      </c>
    </row>
    <row r="753" spans="1:11">
      <c r="A753" s="14" t="s">
        <v>18055</v>
      </c>
      <c r="B753" s="14" t="s">
        <v>18056</v>
      </c>
      <c r="C753" s="14" t="s">
        <v>16086</v>
      </c>
      <c r="D753" s="14">
        <v>2</v>
      </c>
      <c r="E753" s="14">
        <v>1378</v>
      </c>
      <c r="F753" s="14">
        <v>19</v>
      </c>
      <c r="G753" s="14">
        <v>15605</v>
      </c>
      <c r="H753" s="14">
        <v>0.50976832111113</v>
      </c>
      <c r="I753" s="14">
        <v>0.911965910022374</v>
      </c>
      <c r="J753" s="14">
        <v>1.19204033305324</v>
      </c>
      <c r="K753" s="14" t="s">
        <v>18057</v>
      </c>
    </row>
    <row r="754" spans="1:11">
      <c r="A754" s="14" t="s">
        <v>18058</v>
      </c>
      <c r="B754" s="14" t="s">
        <v>18059</v>
      </c>
      <c r="C754" s="14" t="s">
        <v>16086</v>
      </c>
      <c r="D754" s="14">
        <v>2</v>
      </c>
      <c r="E754" s="14">
        <v>1378</v>
      </c>
      <c r="F754" s="14">
        <v>19</v>
      </c>
      <c r="G754" s="14">
        <v>15605</v>
      </c>
      <c r="H754" s="14">
        <v>0.50976832111113</v>
      </c>
      <c r="I754" s="14">
        <v>0.911965910022374</v>
      </c>
      <c r="J754" s="14">
        <v>1.19204033305324</v>
      </c>
      <c r="K754" s="14" t="s">
        <v>18060</v>
      </c>
    </row>
    <row r="755" spans="1:11">
      <c r="A755" s="14" t="s">
        <v>18061</v>
      </c>
      <c r="B755" s="14" t="s">
        <v>18062</v>
      </c>
      <c r="C755" s="14" t="s">
        <v>16086</v>
      </c>
      <c r="D755" s="14">
        <v>2</v>
      </c>
      <c r="E755" s="14">
        <v>1378</v>
      </c>
      <c r="F755" s="14">
        <v>19</v>
      </c>
      <c r="G755" s="14">
        <v>15605</v>
      </c>
      <c r="H755" s="14">
        <v>0.50976832111113</v>
      </c>
      <c r="I755" s="14">
        <v>0.911965910022374</v>
      </c>
      <c r="J755" s="14">
        <v>1.19204033305324</v>
      </c>
      <c r="K755" s="14" t="s">
        <v>18063</v>
      </c>
    </row>
    <row r="756" spans="1:11">
      <c r="A756" s="14" t="s">
        <v>18064</v>
      </c>
      <c r="B756" s="14" t="s">
        <v>18065</v>
      </c>
      <c r="C756" s="14" t="s">
        <v>16090</v>
      </c>
      <c r="D756" s="14">
        <v>2</v>
      </c>
      <c r="E756" s="14">
        <v>1378</v>
      </c>
      <c r="F756" s="14">
        <v>19</v>
      </c>
      <c r="G756" s="14">
        <v>15605</v>
      </c>
      <c r="H756" s="14">
        <v>0.50976832111113</v>
      </c>
      <c r="I756" s="14">
        <v>0.911965910022374</v>
      </c>
      <c r="J756" s="14">
        <v>1.19204033305324</v>
      </c>
      <c r="K756" s="14" t="s">
        <v>18066</v>
      </c>
    </row>
    <row r="757" spans="1:11">
      <c r="A757" s="14" t="s">
        <v>18067</v>
      </c>
      <c r="B757" s="14" t="s">
        <v>18068</v>
      </c>
      <c r="C757" s="14" t="s">
        <v>16086</v>
      </c>
      <c r="D757" s="14">
        <v>2</v>
      </c>
      <c r="E757" s="14">
        <v>1378</v>
      </c>
      <c r="F757" s="14">
        <v>19</v>
      </c>
      <c r="G757" s="14">
        <v>15605</v>
      </c>
      <c r="H757" s="14">
        <v>0.50976832111113</v>
      </c>
      <c r="I757" s="14">
        <v>0.911965910022374</v>
      </c>
      <c r="J757" s="14">
        <v>1.19204033305324</v>
      </c>
      <c r="K757" s="14" t="s">
        <v>18069</v>
      </c>
    </row>
    <row r="758" spans="1:11">
      <c r="A758" s="14" t="s">
        <v>18070</v>
      </c>
      <c r="B758" s="14" t="s">
        <v>18071</v>
      </c>
      <c r="C758" s="14" t="s">
        <v>16086</v>
      </c>
      <c r="D758" s="14">
        <v>2</v>
      </c>
      <c r="E758" s="14">
        <v>1378</v>
      </c>
      <c r="F758" s="14">
        <v>19</v>
      </c>
      <c r="G758" s="14">
        <v>15605</v>
      </c>
      <c r="H758" s="14">
        <v>0.50976832111113</v>
      </c>
      <c r="I758" s="14">
        <v>0.911965910022374</v>
      </c>
      <c r="J758" s="14">
        <v>1.19204033305324</v>
      </c>
      <c r="K758" s="14" t="s">
        <v>18072</v>
      </c>
    </row>
    <row r="759" spans="1:11">
      <c r="A759" s="14" t="s">
        <v>18073</v>
      </c>
      <c r="B759" s="14" t="s">
        <v>18074</v>
      </c>
      <c r="C759" s="14" t="s">
        <v>16090</v>
      </c>
      <c r="D759" s="14">
        <v>2</v>
      </c>
      <c r="E759" s="14">
        <v>1378</v>
      </c>
      <c r="F759" s="14">
        <v>19</v>
      </c>
      <c r="G759" s="14">
        <v>15605</v>
      </c>
      <c r="H759" s="14">
        <v>0.50976832111113</v>
      </c>
      <c r="I759" s="14">
        <v>0.911965910022374</v>
      </c>
      <c r="J759" s="14">
        <v>1.19204033305324</v>
      </c>
      <c r="K759" s="14" t="s">
        <v>17223</v>
      </c>
    </row>
    <row r="760" spans="1:11">
      <c r="A760" s="14" t="s">
        <v>18075</v>
      </c>
      <c r="B760" s="14" t="s">
        <v>18076</v>
      </c>
      <c r="C760" s="14" t="s">
        <v>16090</v>
      </c>
      <c r="D760" s="14">
        <v>2</v>
      </c>
      <c r="E760" s="14">
        <v>1378</v>
      </c>
      <c r="F760" s="14">
        <v>19</v>
      </c>
      <c r="G760" s="14">
        <v>15605</v>
      </c>
      <c r="H760" s="14">
        <v>0.50976832111113</v>
      </c>
      <c r="I760" s="14">
        <v>0.911965910022374</v>
      </c>
      <c r="J760" s="14">
        <v>1.19204033305324</v>
      </c>
      <c r="K760" s="14" t="s">
        <v>16884</v>
      </c>
    </row>
    <row r="761" spans="1:11">
      <c r="A761" s="14" t="s">
        <v>18077</v>
      </c>
      <c r="B761" s="14" t="s">
        <v>18078</v>
      </c>
      <c r="C761" s="14" t="s">
        <v>16090</v>
      </c>
      <c r="D761" s="14">
        <v>6</v>
      </c>
      <c r="E761" s="14">
        <v>1378</v>
      </c>
      <c r="F761" s="14">
        <v>65</v>
      </c>
      <c r="G761" s="14">
        <v>15605</v>
      </c>
      <c r="H761" s="14">
        <v>0.517639241948219</v>
      </c>
      <c r="I761" s="14">
        <v>0.911965910022374</v>
      </c>
      <c r="J761" s="14">
        <v>1.04532767667746</v>
      </c>
      <c r="K761" s="14" t="s">
        <v>18079</v>
      </c>
    </row>
    <row r="762" spans="1:11">
      <c r="A762" s="14" t="s">
        <v>18080</v>
      </c>
      <c r="B762" s="14" t="s">
        <v>18081</v>
      </c>
      <c r="C762" s="14" t="s">
        <v>16090</v>
      </c>
      <c r="D762" s="14">
        <v>6</v>
      </c>
      <c r="E762" s="14">
        <v>1378</v>
      </c>
      <c r="F762" s="14">
        <v>65</v>
      </c>
      <c r="G762" s="14">
        <v>15605</v>
      </c>
      <c r="H762" s="14">
        <v>0.517639241948219</v>
      </c>
      <c r="I762" s="14">
        <v>0.911965910022374</v>
      </c>
      <c r="J762" s="14">
        <v>1.04532767667746</v>
      </c>
      <c r="K762" s="14" t="s">
        <v>18082</v>
      </c>
    </row>
    <row r="763" spans="1:11">
      <c r="A763" s="14" t="s">
        <v>18083</v>
      </c>
      <c r="B763" s="14" t="s">
        <v>18084</v>
      </c>
      <c r="C763" s="14" t="s">
        <v>16086</v>
      </c>
      <c r="D763" s="14">
        <v>10</v>
      </c>
      <c r="E763" s="14">
        <v>1378</v>
      </c>
      <c r="F763" s="14">
        <v>111</v>
      </c>
      <c r="G763" s="14">
        <v>15605</v>
      </c>
      <c r="H763" s="14">
        <v>0.52212756318658</v>
      </c>
      <c r="I763" s="14">
        <v>0.911965910022374</v>
      </c>
      <c r="J763" s="14">
        <v>1.02021469945998</v>
      </c>
      <c r="K763" s="14" t="s">
        <v>18085</v>
      </c>
    </row>
    <row r="764" spans="1:11">
      <c r="A764" s="14" t="s">
        <v>18086</v>
      </c>
      <c r="B764" s="14" t="s">
        <v>18087</v>
      </c>
      <c r="C764" s="14" t="s">
        <v>16090</v>
      </c>
      <c r="D764" s="14">
        <v>1</v>
      </c>
      <c r="E764" s="14">
        <v>1378</v>
      </c>
      <c r="F764" s="14">
        <v>8</v>
      </c>
      <c r="G764" s="14">
        <v>15605</v>
      </c>
      <c r="H764" s="14">
        <v>0.522777440419054</v>
      </c>
      <c r="I764" s="14">
        <v>0.911965910022374</v>
      </c>
      <c r="J764" s="14">
        <v>1.41554789550073</v>
      </c>
      <c r="K764" s="14" t="s">
        <v>10358</v>
      </c>
    </row>
    <row r="765" spans="1:11">
      <c r="A765" s="14" t="s">
        <v>18088</v>
      </c>
      <c r="B765" s="14" t="s">
        <v>18089</v>
      </c>
      <c r="C765" s="14" t="s">
        <v>16090</v>
      </c>
      <c r="D765" s="14">
        <v>1</v>
      </c>
      <c r="E765" s="14">
        <v>1378</v>
      </c>
      <c r="F765" s="14">
        <v>8</v>
      </c>
      <c r="G765" s="14">
        <v>15605</v>
      </c>
      <c r="H765" s="14">
        <v>0.522777440419054</v>
      </c>
      <c r="I765" s="14">
        <v>0.911965910022374</v>
      </c>
      <c r="J765" s="14">
        <v>1.41554789550073</v>
      </c>
      <c r="K765" s="14" t="s">
        <v>13598</v>
      </c>
    </row>
    <row r="766" spans="1:11">
      <c r="A766" s="14" t="s">
        <v>18090</v>
      </c>
      <c r="B766" s="14" t="s">
        <v>18091</v>
      </c>
      <c r="C766" s="14" t="s">
        <v>16086</v>
      </c>
      <c r="D766" s="14">
        <v>1</v>
      </c>
      <c r="E766" s="14">
        <v>1378</v>
      </c>
      <c r="F766" s="14">
        <v>8</v>
      </c>
      <c r="G766" s="14">
        <v>15605</v>
      </c>
      <c r="H766" s="14">
        <v>0.522777440419054</v>
      </c>
      <c r="I766" s="14">
        <v>0.911965910022374</v>
      </c>
      <c r="J766" s="14">
        <v>1.41554789550073</v>
      </c>
      <c r="K766" s="14" t="s">
        <v>14165</v>
      </c>
    </row>
    <row r="767" spans="1:11">
      <c r="A767" s="14" t="s">
        <v>18092</v>
      </c>
      <c r="B767" s="14" t="s">
        <v>18093</v>
      </c>
      <c r="C767" s="14" t="s">
        <v>16086</v>
      </c>
      <c r="D767" s="14">
        <v>1</v>
      </c>
      <c r="E767" s="14">
        <v>1378</v>
      </c>
      <c r="F767" s="14">
        <v>8</v>
      </c>
      <c r="G767" s="14">
        <v>15605</v>
      </c>
      <c r="H767" s="14">
        <v>0.522777440419054</v>
      </c>
      <c r="I767" s="14">
        <v>0.911965910022374</v>
      </c>
      <c r="J767" s="14">
        <v>1.41554789550073</v>
      </c>
      <c r="K767" s="14" t="s">
        <v>345</v>
      </c>
    </row>
    <row r="768" spans="1:11">
      <c r="A768" s="14" t="s">
        <v>18094</v>
      </c>
      <c r="B768" s="14" t="s">
        <v>18095</v>
      </c>
      <c r="C768" s="14" t="s">
        <v>16096</v>
      </c>
      <c r="D768" s="14">
        <v>1</v>
      </c>
      <c r="E768" s="14">
        <v>1378</v>
      </c>
      <c r="F768" s="14">
        <v>8</v>
      </c>
      <c r="G768" s="14">
        <v>15605</v>
      </c>
      <c r="H768" s="14">
        <v>0.522777440419054</v>
      </c>
      <c r="I768" s="14">
        <v>0.911965910022374</v>
      </c>
      <c r="J768" s="14">
        <v>1.41554789550073</v>
      </c>
      <c r="K768" s="14" t="s">
        <v>7557</v>
      </c>
    </row>
    <row r="769" spans="1:11">
      <c r="A769" s="14" t="s">
        <v>18096</v>
      </c>
      <c r="B769" s="14" t="s">
        <v>18097</v>
      </c>
      <c r="C769" s="14" t="s">
        <v>16096</v>
      </c>
      <c r="D769" s="14">
        <v>1</v>
      </c>
      <c r="E769" s="14">
        <v>1378</v>
      </c>
      <c r="F769" s="14">
        <v>8</v>
      </c>
      <c r="G769" s="14">
        <v>15605</v>
      </c>
      <c r="H769" s="14">
        <v>0.522777440419054</v>
      </c>
      <c r="I769" s="14">
        <v>0.911965910022374</v>
      </c>
      <c r="J769" s="14">
        <v>1.41554789550073</v>
      </c>
      <c r="K769" s="14" t="s">
        <v>2952</v>
      </c>
    </row>
    <row r="770" spans="1:11">
      <c r="A770" s="14" t="s">
        <v>18098</v>
      </c>
      <c r="B770" s="14" t="s">
        <v>18099</v>
      </c>
      <c r="C770" s="14" t="s">
        <v>16090</v>
      </c>
      <c r="D770" s="14">
        <v>1</v>
      </c>
      <c r="E770" s="14">
        <v>1378</v>
      </c>
      <c r="F770" s="14">
        <v>8</v>
      </c>
      <c r="G770" s="14">
        <v>15605</v>
      </c>
      <c r="H770" s="14">
        <v>0.522777440419054</v>
      </c>
      <c r="I770" s="14">
        <v>0.911965910022374</v>
      </c>
      <c r="J770" s="14">
        <v>1.41554789550073</v>
      </c>
      <c r="K770" s="14" t="s">
        <v>2786</v>
      </c>
    </row>
    <row r="771" spans="1:11">
      <c r="A771" s="14" t="s">
        <v>18100</v>
      </c>
      <c r="B771" s="14" t="s">
        <v>18101</v>
      </c>
      <c r="C771" s="14" t="s">
        <v>16090</v>
      </c>
      <c r="D771" s="14">
        <v>1</v>
      </c>
      <c r="E771" s="14">
        <v>1378</v>
      </c>
      <c r="F771" s="14">
        <v>8</v>
      </c>
      <c r="G771" s="14">
        <v>15605</v>
      </c>
      <c r="H771" s="14">
        <v>0.522777440419054</v>
      </c>
      <c r="I771" s="14">
        <v>0.911965910022374</v>
      </c>
      <c r="J771" s="14">
        <v>1.41554789550073</v>
      </c>
      <c r="K771" s="14" t="s">
        <v>434</v>
      </c>
    </row>
    <row r="772" spans="1:11">
      <c r="A772" s="14" t="s">
        <v>18102</v>
      </c>
      <c r="B772" s="14" t="s">
        <v>18103</v>
      </c>
      <c r="C772" s="14" t="s">
        <v>16086</v>
      </c>
      <c r="D772" s="14">
        <v>1</v>
      </c>
      <c r="E772" s="14">
        <v>1378</v>
      </c>
      <c r="F772" s="14">
        <v>8</v>
      </c>
      <c r="G772" s="14">
        <v>15605</v>
      </c>
      <c r="H772" s="14">
        <v>0.522777440419054</v>
      </c>
      <c r="I772" s="14">
        <v>0.911965910022374</v>
      </c>
      <c r="J772" s="14">
        <v>1.41554789550073</v>
      </c>
      <c r="K772" s="14" t="s">
        <v>11927</v>
      </c>
    </row>
    <row r="773" spans="1:11">
      <c r="A773" s="14" t="s">
        <v>18104</v>
      </c>
      <c r="B773" s="14" t="s">
        <v>18105</v>
      </c>
      <c r="C773" s="14" t="s">
        <v>16086</v>
      </c>
      <c r="D773" s="14">
        <v>1</v>
      </c>
      <c r="E773" s="14">
        <v>1378</v>
      </c>
      <c r="F773" s="14">
        <v>8</v>
      </c>
      <c r="G773" s="14">
        <v>15605</v>
      </c>
      <c r="H773" s="14">
        <v>0.522777440419054</v>
      </c>
      <c r="I773" s="14">
        <v>0.911965910022374</v>
      </c>
      <c r="J773" s="14">
        <v>1.41554789550073</v>
      </c>
      <c r="K773" s="14" t="s">
        <v>15074</v>
      </c>
    </row>
    <row r="774" spans="1:11">
      <c r="A774" s="14" t="s">
        <v>18106</v>
      </c>
      <c r="B774" s="14" t="s">
        <v>18107</v>
      </c>
      <c r="C774" s="14" t="s">
        <v>16086</v>
      </c>
      <c r="D774" s="14">
        <v>1</v>
      </c>
      <c r="E774" s="14">
        <v>1378</v>
      </c>
      <c r="F774" s="14">
        <v>8</v>
      </c>
      <c r="G774" s="14">
        <v>15605</v>
      </c>
      <c r="H774" s="14">
        <v>0.522777440419054</v>
      </c>
      <c r="I774" s="14">
        <v>0.911965910022374</v>
      </c>
      <c r="J774" s="14">
        <v>1.41554789550073</v>
      </c>
      <c r="K774" s="14" t="s">
        <v>8158</v>
      </c>
    </row>
    <row r="775" spans="1:11">
      <c r="A775" s="14" t="s">
        <v>18108</v>
      </c>
      <c r="B775" s="14" t="s">
        <v>18109</v>
      </c>
      <c r="C775" s="14" t="s">
        <v>16090</v>
      </c>
      <c r="D775" s="14">
        <v>1</v>
      </c>
      <c r="E775" s="14">
        <v>1378</v>
      </c>
      <c r="F775" s="14">
        <v>8</v>
      </c>
      <c r="G775" s="14">
        <v>15605</v>
      </c>
      <c r="H775" s="14">
        <v>0.522777440419054</v>
      </c>
      <c r="I775" s="14">
        <v>0.911965910022374</v>
      </c>
      <c r="J775" s="14">
        <v>1.41554789550073</v>
      </c>
      <c r="K775" s="14" t="s">
        <v>12628</v>
      </c>
    </row>
    <row r="776" spans="1:11">
      <c r="A776" s="14" t="s">
        <v>18110</v>
      </c>
      <c r="B776" s="14" t="s">
        <v>18111</v>
      </c>
      <c r="C776" s="14" t="s">
        <v>16090</v>
      </c>
      <c r="D776" s="14">
        <v>1</v>
      </c>
      <c r="E776" s="14">
        <v>1378</v>
      </c>
      <c r="F776" s="14">
        <v>8</v>
      </c>
      <c r="G776" s="14">
        <v>15605</v>
      </c>
      <c r="H776" s="14">
        <v>0.522777440419054</v>
      </c>
      <c r="I776" s="14">
        <v>0.911965910022374</v>
      </c>
      <c r="J776" s="14">
        <v>1.41554789550073</v>
      </c>
      <c r="K776" s="14" t="s">
        <v>13090</v>
      </c>
    </row>
    <row r="777" spans="1:11">
      <c r="A777" s="14" t="s">
        <v>18112</v>
      </c>
      <c r="B777" s="14" t="s">
        <v>18113</v>
      </c>
      <c r="C777" s="14" t="s">
        <v>16090</v>
      </c>
      <c r="D777" s="14">
        <v>1</v>
      </c>
      <c r="E777" s="14">
        <v>1378</v>
      </c>
      <c r="F777" s="14">
        <v>8</v>
      </c>
      <c r="G777" s="14">
        <v>15605</v>
      </c>
      <c r="H777" s="14">
        <v>0.522777440419054</v>
      </c>
      <c r="I777" s="14">
        <v>0.911965910022374</v>
      </c>
      <c r="J777" s="14">
        <v>1.41554789550073</v>
      </c>
      <c r="K777" s="14" t="s">
        <v>12417</v>
      </c>
    </row>
    <row r="778" spans="1:11">
      <c r="A778" s="14" t="s">
        <v>18114</v>
      </c>
      <c r="B778" s="14" t="s">
        <v>18115</v>
      </c>
      <c r="C778" s="14" t="s">
        <v>16090</v>
      </c>
      <c r="D778" s="14">
        <v>1</v>
      </c>
      <c r="E778" s="14">
        <v>1378</v>
      </c>
      <c r="F778" s="14">
        <v>8</v>
      </c>
      <c r="G778" s="14">
        <v>15605</v>
      </c>
      <c r="H778" s="14">
        <v>0.522777440419054</v>
      </c>
      <c r="I778" s="14">
        <v>0.911965910022374</v>
      </c>
      <c r="J778" s="14">
        <v>1.41554789550073</v>
      </c>
      <c r="K778" s="14" t="s">
        <v>13265</v>
      </c>
    </row>
    <row r="779" spans="1:11">
      <c r="A779" s="14" t="s">
        <v>18116</v>
      </c>
      <c r="B779" s="14" t="s">
        <v>18117</v>
      </c>
      <c r="C779" s="14" t="s">
        <v>16090</v>
      </c>
      <c r="D779" s="14">
        <v>1</v>
      </c>
      <c r="E779" s="14">
        <v>1378</v>
      </c>
      <c r="F779" s="14">
        <v>8</v>
      </c>
      <c r="G779" s="14">
        <v>15605</v>
      </c>
      <c r="H779" s="14">
        <v>0.522777440419054</v>
      </c>
      <c r="I779" s="14">
        <v>0.911965910022374</v>
      </c>
      <c r="J779" s="14">
        <v>1.41554789550073</v>
      </c>
      <c r="K779" s="14" t="s">
        <v>867</v>
      </c>
    </row>
    <row r="780" spans="1:11">
      <c r="A780" s="14" t="s">
        <v>18118</v>
      </c>
      <c r="B780" s="14" t="s">
        <v>18119</v>
      </c>
      <c r="C780" s="14" t="s">
        <v>16090</v>
      </c>
      <c r="D780" s="14">
        <v>1</v>
      </c>
      <c r="E780" s="14">
        <v>1378</v>
      </c>
      <c r="F780" s="14">
        <v>8</v>
      </c>
      <c r="G780" s="14">
        <v>15605</v>
      </c>
      <c r="H780" s="14">
        <v>0.522777440419054</v>
      </c>
      <c r="I780" s="14">
        <v>0.911965910022374</v>
      </c>
      <c r="J780" s="14">
        <v>1.41554789550073</v>
      </c>
      <c r="K780" s="14" t="s">
        <v>7632</v>
      </c>
    </row>
    <row r="781" spans="1:11">
      <c r="A781" s="14" t="s">
        <v>18120</v>
      </c>
      <c r="B781" s="14" t="s">
        <v>18121</v>
      </c>
      <c r="C781" s="14" t="s">
        <v>16090</v>
      </c>
      <c r="D781" s="14">
        <v>1</v>
      </c>
      <c r="E781" s="14">
        <v>1378</v>
      </c>
      <c r="F781" s="14">
        <v>8</v>
      </c>
      <c r="G781" s="14">
        <v>15605</v>
      </c>
      <c r="H781" s="14">
        <v>0.522777440419054</v>
      </c>
      <c r="I781" s="14">
        <v>0.911965910022374</v>
      </c>
      <c r="J781" s="14">
        <v>1.41554789550073</v>
      </c>
      <c r="K781" s="14" t="s">
        <v>5156</v>
      </c>
    </row>
    <row r="782" spans="1:11">
      <c r="A782" s="14" t="s">
        <v>18122</v>
      </c>
      <c r="B782" s="14" t="s">
        <v>18123</v>
      </c>
      <c r="C782" s="14" t="s">
        <v>16096</v>
      </c>
      <c r="D782" s="14">
        <v>1</v>
      </c>
      <c r="E782" s="14">
        <v>1378</v>
      </c>
      <c r="F782" s="14">
        <v>8</v>
      </c>
      <c r="G782" s="14">
        <v>15605</v>
      </c>
      <c r="H782" s="14">
        <v>0.522777440419054</v>
      </c>
      <c r="I782" s="14">
        <v>0.911965910022374</v>
      </c>
      <c r="J782" s="14">
        <v>1.41554789550073</v>
      </c>
      <c r="K782" s="14" t="s">
        <v>7669</v>
      </c>
    </row>
    <row r="783" spans="1:11">
      <c r="A783" s="14" t="s">
        <v>18124</v>
      </c>
      <c r="B783" s="14" t="s">
        <v>18125</v>
      </c>
      <c r="C783" s="14" t="s">
        <v>16086</v>
      </c>
      <c r="D783" s="14">
        <v>1</v>
      </c>
      <c r="E783" s="14">
        <v>1378</v>
      </c>
      <c r="F783" s="14">
        <v>8</v>
      </c>
      <c r="G783" s="14">
        <v>15605</v>
      </c>
      <c r="H783" s="14">
        <v>0.522777440419054</v>
      </c>
      <c r="I783" s="14">
        <v>0.911965910022374</v>
      </c>
      <c r="J783" s="14">
        <v>1.41554789550073</v>
      </c>
      <c r="K783" s="14" t="s">
        <v>11902</v>
      </c>
    </row>
    <row r="784" spans="1:11">
      <c r="A784" s="14" t="s">
        <v>18126</v>
      </c>
      <c r="B784" s="14" t="s">
        <v>18127</v>
      </c>
      <c r="C784" s="14" t="s">
        <v>16090</v>
      </c>
      <c r="D784" s="14">
        <v>1</v>
      </c>
      <c r="E784" s="14">
        <v>1378</v>
      </c>
      <c r="F784" s="14">
        <v>8</v>
      </c>
      <c r="G784" s="14">
        <v>15605</v>
      </c>
      <c r="H784" s="14">
        <v>0.522777440419054</v>
      </c>
      <c r="I784" s="14">
        <v>0.911965910022374</v>
      </c>
      <c r="J784" s="14">
        <v>1.41554789550073</v>
      </c>
      <c r="K784" s="14" t="s">
        <v>9126</v>
      </c>
    </row>
    <row r="785" spans="1:11">
      <c r="A785" s="14" t="s">
        <v>18128</v>
      </c>
      <c r="B785" s="14" t="s">
        <v>18129</v>
      </c>
      <c r="C785" s="14" t="s">
        <v>16090</v>
      </c>
      <c r="D785" s="14">
        <v>1</v>
      </c>
      <c r="E785" s="14">
        <v>1378</v>
      </c>
      <c r="F785" s="14">
        <v>8</v>
      </c>
      <c r="G785" s="14">
        <v>15605</v>
      </c>
      <c r="H785" s="14">
        <v>0.522777440419054</v>
      </c>
      <c r="I785" s="14">
        <v>0.911965910022374</v>
      </c>
      <c r="J785" s="14">
        <v>1.41554789550073</v>
      </c>
      <c r="K785" s="14" t="s">
        <v>14050</v>
      </c>
    </row>
    <row r="786" spans="1:11">
      <c r="A786" s="14" t="s">
        <v>18130</v>
      </c>
      <c r="B786" s="14" t="s">
        <v>18131</v>
      </c>
      <c r="C786" s="14" t="s">
        <v>16090</v>
      </c>
      <c r="D786" s="14">
        <v>1</v>
      </c>
      <c r="E786" s="14">
        <v>1378</v>
      </c>
      <c r="F786" s="14">
        <v>8</v>
      </c>
      <c r="G786" s="14">
        <v>15605</v>
      </c>
      <c r="H786" s="14">
        <v>0.522777440419054</v>
      </c>
      <c r="I786" s="14">
        <v>0.911965910022374</v>
      </c>
      <c r="J786" s="14">
        <v>1.41554789550073</v>
      </c>
      <c r="K786" s="14" t="s">
        <v>14752</v>
      </c>
    </row>
    <row r="787" spans="1:11">
      <c r="A787" s="14" t="s">
        <v>18132</v>
      </c>
      <c r="B787" s="14" t="s">
        <v>18133</v>
      </c>
      <c r="C787" s="14" t="s">
        <v>16086</v>
      </c>
      <c r="D787" s="14">
        <v>1</v>
      </c>
      <c r="E787" s="14">
        <v>1378</v>
      </c>
      <c r="F787" s="14">
        <v>8</v>
      </c>
      <c r="G787" s="14">
        <v>15605</v>
      </c>
      <c r="H787" s="14">
        <v>0.522777440419054</v>
      </c>
      <c r="I787" s="14">
        <v>0.911965910022374</v>
      </c>
      <c r="J787" s="14">
        <v>1.41554789550073</v>
      </c>
      <c r="K787" s="14" t="s">
        <v>13281</v>
      </c>
    </row>
    <row r="788" spans="1:11">
      <c r="A788" s="14" t="s">
        <v>18134</v>
      </c>
      <c r="B788" s="14" t="s">
        <v>18135</v>
      </c>
      <c r="C788" s="14" t="s">
        <v>16090</v>
      </c>
      <c r="D788" s="14">
        <v>1</v>
      </c>
      <c r="E788" s="14">
        <v>1378</v>
      </c>
      <c r="F788" s="14">
        <v>8</v>
      </c>
      <c r="G788" s="14">
        <v>15605</v>
      </c>
      <c r="H788" s="14">
        <v>0.522777440419054</v>
      </c>
      <c r="I788" s="14">
        <v>0.911965910022374</v>
      </c>
      <c r="J788" s="14">
        <v>1.41554789550073</v>
      </c>
      <c r="K788" s="14" t="s">
        <v>10581</v>
      </c>
    </row>
    <row r="789" spans="1:11">
      <c r="A789" s="14" t="s">
        <v>18136</v>
      </c>
      <c r="B789" s="14" t="s">
        <v>18137</v>
      </c>
      <c r="C789" s="14" t="s">
        <v>16086</v>
      </c>
      <c r="D789" s="14">
        <v>1</v>
      </c>
      <c r="E789" s="14">
        <v>1378</v>
      </c>
      <c r="F789" s="14">
        <v>8</v>
      </c>
      <c r="G789" s="14">
        <v>15605</v>
      </c>
      <c r="H789" s="14">
        <v>0.522777440419054</v>
      </c>
      <c r="I789" s="14">
        <v>0.911965910022374</v>
      </c>
      <c r="J789" s="14">
        <v>1.41554789550073</v>
      </c>
      <c r="K789" s="14" t="s">
        <v>7122</v>
      </c>
    </row>
    <row r="790" spans="1:11">
      <c r="A790" s="14" t="s">
        <v>18138</v>
      </c>
      <c r="B790" s="14" t="s">
        <v>18139</v>
      </c>
      <c r="C790" s="14" t="s">
        <v>16090</v>
      </c>
      <c r="D790" s="14">
        <v>1</v>
      </c>
      <c r="E790" s="14">
        <v>1378</v>
      </c>
      <c r="F790" s="14">
        <v>8</v>
      </c>
      <c r="G790" s="14">
        <v>15605</v>
      </c>
      <c r="H790" s="14">
        <v>0.522777440419054</v>
      </c>
      <c r="I790" s="14">
        <v>0.911965910022374</v>
      </c>
      <c r="J790" s="14">
        <v>1.41554789550073</v>
      </c>
      <c r="K790" s="14" t="s">
        <v>9126</v>
      </c>
    </row>
    <row r="791" spans="1:11">
      <c r="A791" s="14" t="s">
        <v>18140</v>
      </c>
      <c r="B791" s="14" t="s">
        <v>18141</v>
      </c>
      <c r="C791" s="14" t="s">
        <v>16086</v>
      </c>
      <c r="D791" s="14">
        <v>1</v>
      </c>
      <c r="E791" s="14">
        <v>1378</v>
      </c>
      <c r="F791" s="14">
        <v>8</v>
      </c>
      <c r="G791" s="14">
        <v>15605</v>
      </c>
      <c r="H791" s="14">
        <v>0.522777440419054</v>
      </c>
      <c r="I791" s="14">
        <v>0.911965910022374</v>
      </c>
      <c r="J791" s="14">
        <v>1.41554789550073</v>
      </c>
      <c r="K791" s="14" t="s">
        <v>4225</v>
      </c>
    </row>
    <row r="792" spans="1:11">
      <c r="A792" s="14" t="s">
        <v>18142</v>
      </c>
      <c r="B792" s="14" t="s">
        <v>18143</v>
      </c>
      <c r="C792" s="14" t="s">
        <v>16086</v>
      </c>
      <c r="D792" s="14">
        <v>1</v>
      </c>
      <c r="E792" s="14">
        <v>1378</v>
      </c>
      <c r="F792" s="14">
        <v>8</v>
      </c>
      <c r="G792" s="14">
        <v>15605</v>
      </c>
      <c r="H792" s="14">
        <v>0.522777440419054</v>
      </c>
      <c r="I792" s="14">
        <v>0.911965910022374</v>
      </c>
      <c r="J792" s="14">
        <v>1.41554789550073</v>
      </c>
      <c r="K792" s="14" t="s">
        <v>1724</v>
      </c>
    </row>
    <row r="793" spans="1:11">
      <c r="A793" s="14" t="s">
        <v>18144</v>
      </c>
      <c r="B793" s="14" t="s">
        <v>18145</v>
      </c>
      <c r="C793" s="14" t="s">
        <v>16090</v>
      </c>
      <c r="D793" s="14">
        <v>1</v>
      </c>
      <c r="E793" s="14">
        <v>1378</v>
      </c>
      <c r="F793" s="14">
        <v>8</v>
      </c>
      <c r="G793" s="14">
        <v>15605</v>
      </c>
      <c r="H793" s="14">
        <v>0.522777440419054</v>
      </c>
      <c r="I793" s="14">
        <v>0.911965910022374</v>
      </c>
      <c r="J793" s="14">
        <v>1.41554789550073</v>
      </c>
      <c r="K793" s="14" t="s">
        <v>1676</v>
      </c>
    </row>
    <row r="794" spans="1:11">
      <c r="A794" s="14" t="s">
        <v>18146</v>
      </c>
      <c r="B794" s="14" t="s">
        <v>18147</v>
      </c>
      <c r="C794" s="14" t="s">
        <v>16096</v>
      </c>
      <c r="D794" s="14">
        <v>1</v>
      </c>
      <c r="E794" s="14">
        <v>1378</v>
      </c>
      <c r="F794" s="14">
        <v>8</v>
      </c>
      <c r="G794" s="14">
        <v>15605</v>
      </c>
      <c r="H794" s="14">
        <v>0.522777440419054</v>
      </c>
      <c r="I794" s="14">
        <v>0.911965910022374</v>
      </c>
      <c r="J794" s="14">
        <v>1.41554789550073</v>
      </c>
      <c r="K794" s="14" t="s">
        <v>4401</v>
      </c>
    </row>
    <row r="795" spans="1:11">
      <c r="A795" s="14" t="s">
        <v>18148</v>
      </c>
      <c r="B795" s="14" t="s">
        <v>18149</v>
      </c>
      <c r="C795" s="14" t="s">
        <v>16096</v>
      </c>
      <c r="D795" s="14">
        <v>1</v>
      </c>
      <c r="E795" s="14">
        <v>1378</v>
      </c>
      <c r="F795" s="14">
        <v>8</v>
      </c>
      <c r="G795" s="14">
        <v>15605</v>
      </c>
      <c r="H795" s="14">
        <v>0.522777440419054</v>
      </c>
      <c r="I795" s="14">
        <v>0.911965910022374</v>
      </c>
      <c r="J795" s="14">
        <v>1.41554789550073</v>
      </c>
      <c r="K795" s="14" t="s">
        <v>10227</v>
      </c>
    </row>
    <row r="796" spans="1:11">
      <c r="A796" s="14" t="s">
        <v>18150</v>
      </c>
      <c r="B796" s="14" t="s">
        <v>18151</v>
      </c>
      <c r="C796" s="14" t="s">
        <v>16090</v>
      </c>
      <c r="D796" s="14">
        <v>1</v>
      </c>
      <c r="E796" s="14">
        <v>1378</v>
      </c>
      <c r="F796" s="14">
        <v>8</v>
      </c>
      <c r="G796" s="14">
        <v>15605</v>
      </c>
      <c r="H796" s="14">
        <v>0.522777440419054</v>
      </c>
      <c r="I796" s="14">
        <v>0.911965910022374</v>
      </c>
      <c r="J796" s="14">
        <v>1.41554789550073</v>
      </c>
      <c r="K796" s="14" t="s">
        <v>9619</v>
      </c>
    </row>
    <row r="797" spans="1:11">
      <c r="A797" s="14" t="s">
        <v>18152</v>
      </c>
      <c r="B797" s="14" t="s">
        <v>18153</v>
      </c>
      <c r="C797" s="14" t="s">
        <v>16090</v>
      </c>
      <c r="D797" s="14">
        <v>1</v>
      </c>
      <c r="E797" s="14">
        <v>1378</v>
      </c>
      <c r="F797" s="14">
        <v>8</v>
      </c>
      <c r="G797" s="14">
        <v>15605</v>
      </c>
      <c r="H797" s="14">
        <v>0.522777440419054</v>
      </c>
      <c r="I797" s="14">
        <v>0.911965910022374</v>
      </c>
      <c r="J797" s="14">
        <v>1.41554789550073</v>
      </c>
      <c r="K797" s="14" t="s">
        <v>9619</v>
      </c>
    </row>
    <row r="798" spans="1:11">
      <c r="A798" s="14" t="s">
        <v>18154</v>
      </c>
      <c r="B798" s="14" t="s">
        <v>18155</v>
      </c>
      <c r="C798" s="14" t="s">
        <v>16086</v>
      </c>
      <c r="D798" s="14">
        <v>1</v>
      </c>
      <c r="E798" s="14">
        <v>1378</v>
      </c>
      <c r="F798" s="14">
        <v>8</v>
      </c>
      <c r="G798" s="14">
        <v>15605</v>
      </c>
      <c r="H798" s="14">
        <v>0.522777440419054</v>
      </c>
      <c r="I798" s="14">
        <v>0.911965910022374</v>
      </c>
      <c r="J798" s="14">
        <v>1.41554789550073</v>
      </c>
      <c r="K798" s="14" t="s">
        <v>5490</v>
      </c>
    </row>
    <row r="799" spans="1:11">
      <c r="A799" s="14" t="s">
        <v>18156</v>
      </c>
      <c r="B799" s="14" t="s">
        <v>18157</v>
      </c>
      <c r="C799" s="14" t="s">
        <v>16096</v>
      </c>
      <c r="D799" s="14">
        <v>1</v>
      </c>
      <c r="E799" s="14">
        <v>1378</v>
      </c>
      <c r="F799" s="14">
        <v>8</v>
      </c>
      <c r="G799" s="14">
        <v>15605</v>
      </c>
      <c r="H799" s="14">
        <v>0.522777440419054</v>
      </c>
      <c r="I799" s="14">
        <v>0.911965910022374</v>
      </c>
      <c r="J799" s="14">
        <v>1.41554789550073</v>
      </c>
      <c r="K799" s="14" t="s">
        <v>512</v>
      </c>
    </row>
    <row r="800" spans="1:11">
      <c r="A800" s="14" t="s">
        <v>18158</v>
      </c>
      <c r="B800" s="14" t="s">
        <v>18159</v>
      </c>
      <c r="C800" s="14" t="s">
        <v>16086</v>
      </c>
      <c r="D800" s="14">
        <v>1</v>
      </c>
      <c r="E800" s="14">
        <v>1378</v>
      </c>
      <c r="F800" s="14">
        <v>8</v>
      </c>
      <c r="G800" s="14">
        <v>15605</v>
      </c>
      <c r="H800" s="14">
        <v>0.522777440419054</v>
      </c>
      <c r="I800" s="14">
        <v>0.911965910022374</v>
      </c>
      <c r="J800" s="14">
        <v>1.41554789550073</v>
      </c>
      <c r="K800" s="14" t="s">
        <v>8663</v>
      </c>
    </row>
    <row r="801" spans="1:11">
      <c r="A801" s="14" t="s">
        <v>18160</v>
      </c>
      <c r="B801" s="14" t="s">
        <v>18161</v>
      </c>
      <c r="C801" s="14" t="s">
        <v>16090</v>
      </c>
      <c r="D801" s="14">
        <v>1</v>
      </c>
      <c r="E801" s="14">
        <v>1378</v>
      </c>
      <c r="F801" s="14">
        <v>8</v>
      </c>
      <c r="G801" s="14">
        <v>15605</v>
      </c>
      <c r="H801" s="14">
        <v>0.522777440419054</v>
      </c>
      <c r="I801" s="14">
        <v>0.911965910022374</v>
      </c>
      <c r="J801" s="14">
        <v>1.41554789550073</v>
      </c>
      <c r="K801" s="14" t="s">
        <v>15152</v>
      </c>
    </row>
    <row r="802" spans="1:11">
      <c r="A802" s="14" t="s">
        <v>18162</v>
      </c>
      <c r="B802" s="14" t="s">
        <v>18163</v>
      </c>
      <c r="C802" s="14" t="s">
        <v>16090</v>
      </c>
      <c r="D802" s="14">
        <v>1</v>
      </c>
      <c r="E802" s="14">
        <v>1378</v>
      </c>
      <c r="F802" s="14">
        <v>8</v>
      </c>
      <c r="G802" s="14">
        <v>15605</v>
      </c>
      <c r="H802" s="14">
        <v>0.522777440419054</v>
      </c>
      <c r="I802" s="14">
        <v>0.911965910022374</v>
      </c>
      <c r="J802" s="14">
        <v>1.41554789550073</v>
      </c>
      <c r="K802" s="14" t="s">
        <v>867</v>
      </c>
    </row>
    <row r="803" spans="1:11">
      <c r="A803" s="14" t="s">
        <v>18164</v>
      </c>
      <c r="B803" s="14" t="s">
        <v>18165</v>
      </c>
      <c r="C803" s="14" t="s">
        <v>16090</v>
      </c>
      <c r="D803" s="14">
        <v>1</v>
      </c>
      <c r="E803" s="14">
        <v>1378</v>
      </c>
      <c r="F803" s="14">
        <v>8</v>
      </c>
      <c r="G803" s="14">
        <v>15605</v>
      </c>
      <c r="H803" s="14">
        <v>0.522777440419054</v>
      </c>
      <c r="I803" s="14">
        <v>0.911965910022374</v>
      </c>
      <c r="J803" s="14">
        <v>1.41554789550073</v>
      </c>
      <c r="K803" s="14" t="s">
        <v>8303</v>
      </c>
    </row>
    <row r="804" spans="1:11">
      <c r="A804" s="14" t="s">
        <v>18166</v>
      </c>
      <c r="B804" s="14" t="s">
        <v>18167</v>
      </c>
      <c r="C804" s="14" t="s">
        <v>16090</v>
      </c>
      <c r="D804" s="14">
        <v>1</v>
      </c>
      <c r="E804" s="14">
        <v>1378</v>
      </c>
      <c r="F804" s="14">
        <v>8</v>
      </c>
      <c r="G804" s="14">
        <v>15605</v>
      </c>
      <c r="H804" s="14">
        <v>0.522777440419054</v>
      </c>
      <c r="I804" s="14">
        <v>0.911965910022374</v>
      </c>
      <c r="J804" s="14">
        <v>1.41554789550073</v>
      </c>
      <c r="K804" s="14" t="s">
        <v>10976</v>
      </c>
    </row>
    <row r="805" spans="1:11">
      <c r="A805" s="14" t="s">
        <v>18168</v>
      </c>
      <c r="B805" s="14" t="s">
        <v>18169</v>
      </c>
      <c r="C805" s="14" t="s">
        <v>16086</v>
      </c>
      <c r="D805" s="14">
        <v>1</v>
      </c>
      <c r="E805" s="14">
        <v>1378</v>
      </c>
      <c r="F805" s="14">
        <v>8</v>
      </c>
      <c r="G805" s="14">
        <v>15605</v>
      </c>
      <c r="H805" s="14">
        <v>0.522777440419054</v>
      </c>
      <c r="I805" s="14">
        <v>0.911965910022374</v>
      </c>
      <c r="J805" s="14">
        <v>1.41554789550073</v>
      </c>
      <c r="K805" s="14" t="s">
        <v>8663</v>
      </c>
    </row>
    <row r="806" spans="1:11">
      <c r="A806" s="14" t="s">
        <v>18170</v>
      </c>
      <c r="B806" s="14" t="s">
        <v>18171</v>
      </c>
      <c r="C806" s="14" t="s">
        <v>16090</v>
      </c>
      <c r="D806" s="14">
        <v>1</v>
      </c>
      <c r="E806" s="14">
        <v>1378</v>
      </c>
      <c r="F806" s="14">
        <v>8</v>
      </c>
      <c r="G806" s="14">
        <v>15605</v>
      </c>
      <c r="H806" s="14">
        <v>0.522777440419054</v>
      </c>
      <c r="I806" s="14">
        <v>0.911965910022374</v>
      </c>
      <c r="J806" s="14">
        <v>1.41554789550073</v>
      </c>
      <c r="K806" s="14" t="s">
        <v>9095</v>
      </c>
    </row>
    <row r="807" spans="1:11">
      <c r="A807" s="14" t="s">
        <v>18172</v>
      </c>
      <c r="B807" s="14" t="s">
        <v>18173</v>
      </c>
      <c r="C807" s="14" t="s">
        <v>16086</v>
      </c>
      <c r="D807" s="14">
        <v>1</v>
      </c>
      <c r="E807" s="14">
        <v>1378</v>
      </c>
      <c r="F807" s="14">
        <v>8</v>
      </c>
      <c r="G807" s="14">
        <v>15605</v>
      </c>
      <c r="H807" s="14">
        <v>0.522777440419054</v>
      </c>
      <c r="I807" s="14">
        <v>0.911965910022374</v>
      </c>
      <c r="J807" s="14">
        <v>1.41554789550073</v>
      </c>
      <c r="K807" s="14" t="s">
        <v>1379</v>
      </c>
    </row>
    <row r="808" spans="1:11">
      <c r="A808" s="14" t="s">
        <v>18174</v>
      </c>
      <c r="B808" s="14" t="s">
        <v>18175</v>
      </c>
      <c r="C808" s="14" t="s">
        <v>16086</v>
      </c>
      <c r="D808" s="14">
        <v>1</v>
      </c>
      <c r="E808" s="14">
        <v>1378</v>
      </c>
      <c r="F808" s="14">
        <v>8</v>
      </c>
      <c r="G808" s="14">
        <v>15605</v>
      </c>
      <c r="H808" s="14">
        <v>0.522777440419054</v>
      </c>
      <c r="I808" s="14">
        <v>0.911965910022374</v>
      </c>
      <c r="J808" s="14">
        <v>1.41554789550073</v>
      </c>
      <c r="K808" s="14" t="s">
        <v>1379</v>
      </c>
    </row>
    <row r="809" spans="1:11">
      <c r="A809" s="14" t="s">
        <v>18176</v>
      </c>
      <c r="B809" s="14" t="s">
        <v>18177</v>
      </c>
      <c r="C809" s="14" t="s">
        <v>16090</v>
      </c>
      <c r="D809" s="14">
        <v>1</v>
      </c>
      <c r="E809" s="14">
        <v>1378</v>
      </c>
      <c r="F809" s="14">
        <v>8</v>
      </c>
      <c r="G809" s="14">
        <v>15605</v>
      </c>
      <c r="H809" s="14">
        <v>0.522777440419054</v>
      </c>
      <c r="I809" s="14">
        <v>0.911965910022374</v>
      </c>
      <c r="J809" s="14">
        <v>1.41554789550073</v>
      </c>
      <c r="K809" s="14" t="s">
        <v>2814</v>
      </c>
    </row>
    <row r="810" spans="1:11">
      <c r="A810" s="14" t="s">
        <v>18178</v>
      </c>
      <c r="B810" s="14" t="s">
        <v>18179</v>
      </c>
      <c r="C810" s="14" t="s">
        <v>16090</v>
      </c>
      <c r="D810" s="14">
        <v>1</v>
      </c>
      <c r="E810" s="14">
        <v>1378</v>
      </c>
      <c r="F810" s="14">
        <v>8</v>
      </c>
      <c r="G810" s="14">
        <v>15605</v>
      </c>
      <c r="H810" s="14">
        <v>0.522777440419054</v>
      </c>
      <c r="I810" s="14">
        <v>0.911965910022374</v>
      </c>
      <c r="J810" s="14">
        <v>1.41554789550073</v>
      </c>
      <c r="K810" s="14" t="s">
        <v>8158</v>
      </c>
    </row>
    <row r="811" spans="1:11">
      <c r="A811" s="14" t="s">
        <v>18180</v>
      </c>
      <c r="B811" s="14" t="s">
        <v>18181</v>
      </c>
      <c r="C811" s="14" t="s">
        <v>16090</v>
      </c>
      <c r="D811" s="14">
        <v>1</v>
      </c>
      <c r="E811" s="14">
        <v>1378</v>
      </c>
      <c r="F811" s="14">
        <v>8</v>
      </c>
      <c r="G811" s="14">
        <v>15605</v>
      </c>
      <c r="H811" s="14">
        <v>0.522777440419054</v>
      </c>
      <c r="I811" s="14">
        <v>0.911965910022374</v>
      </c>
      <c r="J811" s="14">
        <v>1.41554789550073</v>
      </c>
      <c r="K811" s="14" t="s">
        <v>13598</v>
      </c>
    </row>
    <row r="812" spans="1:11">
      <c r="A812" s="14" t="s">
        <v>18182</v>
      </c>
      <c r="B812" s="14" t="s">
        <v>18183</v>
      </c>
      <c r="C812" s="14" t="s">
        <v>16090</v>
      </c>
      <c r="D812" s="14">
        <v>1</v>
      </c>
      <c r="E812" s="14">
        <v>1378</v>
      </c>
      <c r="F812" s="14">
        <v>8</v>
      </c>
      <c r="G812" s="14">
        <v>15605</v>
      </c>
      <c r="H812" s="14">
        <v>0.522777440419054</v>
      </c>
      <c r="I812" s="14">
        <v>0.911965910022374</v>
      </c>
      <c r="J812" s="14">
        <v>1.41554789550073</v>
      </c>
      <c r="K812" s="14" t="s">
        <v>13178</v>
      </c>
    </row>
    <row r="813" spans="1:11">
      <c r="A813" s="14" t="s">
        <v>18184</v>
      </c>
      <c r="B813" s="14" t="s">
        <v>18185</v>
      </c>
      <c r="C813" s="14" t="s">
        <v>16090</v>
      </c>
      <c r="D813" s="14">
        <v>1</v>
      </c>
      <c r="E813" s="14">
        <v>1378</v>
      </c>
      <c r="F813" s="14">
        <v>8</v>
      </c>
      <c r="G813" s="14">
        <v>15605</v>
      </c>
      <c r="H813" s="14">
        <v>0.522777440419054</v>
      </c>
      <c r="I813" s="14">
        <v>0.911965910022374</v>
      </c>
      <c r="J813" s="14">
        <v>1.41554789550073</v>
      </c>
      <c r="K813" s="14" t="s">
        <v>9174</v>
      </c>
    </row>
    <row r="814" spans="1:11">
      <c r="A814" s="14" t="s">
        <v>18186</v>
      </c>
      <c r="B814" s="14" t="s">
        <v>18187</v>
      </c>
      <c r="C814" s="14" t="s">
        <v>16086</v>
      </c>
      <c r="D814" s="14">
        <v>1</v>
      </c>
      <c r="E814" s="14">
        <v>1378</v>
      </c>
      <c r="F814" s="14">
        <v>8</v>
      </c>
      <c r="G814" s="14">
        <v>15605</v>
      </c>
      <c r="H814" s="14">
        <v>0.522777440419054</v>
      </c>
      <c r="I814" s="14">
        <v>0.911965910022374</v>
      </c>
      <c r="J814" s="14">
        <v>1.41554789550073</v>
      </c>
      <c r="K814" s="14" t="s">
        <v>6032</v>
      </c>
    </row>
    <row r="815" spans="1:11">
      <c r="A815" s="14" t="s">
        <v>18188</v>
      </c>
      <c r="B815" s="14" t="s">
        <v>18189</v>
      </c>
      <c r="C815" s="14" t="s">
        <v>16090</v>
      </c>
      <c r="D815" s="14">
        <v>1</v>
      </c>
      <c r="E815" s="14">
        <v>1378</v>
      </c>
      <c r="F815" s="14">
        <v>8</v>
      </c>
      <c r="G815" s="14">
        <v>15605</v>
      </c>
      <c r="H815" s="14">
        <v>0.522777440419054</v>
      </c>
      <c r="I815" s="14">
        <v>0.911965910022374</v>
      </c>
      <c r="J815" s="14">
        <v>1.41554789550073</v>
      </c>
      <c r="K815" s="14" t="s">
        <v>2523</v>
      </c>
    </row>
    <row r="816" spans="1:11">
      <c r="A816" s="14" t="s">
        <v>18190</v>
      </c>
      <c r="B816" s="14" t="s">
        <v>18191</v>
      </c>
      <c r="C816" s="14" t="s">
        <v>16090</v>
      </c>
      <c r="D816" s="14">
        <v>1</v>
      </c>
      <c r="E816" s="14">
        <v>1378</v>
      </c>
      <c r="F816" s="14">
        <v>8</v>
      </c>
      <c r="G816" s="14">
        <v>15605</v>
      </c>
      <c r="H816" s="14">
        <v>0.522777440419054</v>
      </c>
      <c r="I816" s="14">
        <v>0.911965910022374</v>
      </c>
      <c r="J816" s="14">
        <v>1.41554789550073</v>
      </c>
      <c r="K816" s="14" t="s">
        <v>6268</v>
      </c>
    </row>
    <row r="817" spans="1:11">
      <c r="A817" s="14" t="s">
        <v>18192</v>
      </c>
      <c r="B817" s="14" t="s">
        <v>18193</v>
      </c>
      <c r="C817" s="14" t="s">
        <v>16086</v>
      </c>
      <c r="D817" s="14">
        <v>1</v>
      </c>
      <c r="E817" s="14">
        <v>1378</v>
      </c>
      <c r="F817" s="14">
        <v>8</v>
      </c>
      <c r="G817" s="14">
        <v>15605</v>
      </c>
      <c r="H817" s="14">
        <v>0.522777440419054</v>
      </c>
      <c r="I817" s="14">
        <v>0.911965910022374</v>
      </c>
      <c r="J817" s="14">
        <v>1.41554789550073</v>
      </c>
      <c r="K817" s="14" t="s">
        <v>6699</v>
      </c>
    </row>
    <row r="818" spans="1:11">
      <c r="A818" s="14" t="s">
        <v>18194</v>
      </c>
      <c r="B818" s="14" t="s">
        <v>18195</v>
      </c>
      <c r="C818" s="14" t="s">
        <v>16086</v>
      </c>
      <c r="D818" s="14">
        <v>1</v>
      </c>
      <c r="E818" s="14">
        <v>1378</v>
      </c>
      <c r="F818" s="14">
        <v>8</v>
      </c>
      <c r="G818" s="14">
        <v>15605</v>
      </c>
      <c r="H818" s="14">
        <v>0.522777440419054</v>
      </c>
      <c r="I818" s="14">
        <v>0.911965910022374</v>
      </c>
      <c r="J818" s="14">
        <v>1.41554789550073</v>
      </c>
      <c r="K818" s="14" t="s">
        <v>12287</v>
      </c>
    </row>
    <row r="819" spans="1:11">
      <c r="A819" s="14" t="s">
        <v>18196</v>
      </c>
      <c r="B819" s="14" t="s">
        <v>18197</v>
      </c>
      <c r="C819" s="14" t="s">
        <v>16090</v>
      </c>
      <c r="D819" s="14">
        <v>1</v>
      </c>
      <c r="E819" s="14">
        <v>1378</v>
      </c>
      <c r="F819" s="14">
        <v>8</v>
      </c>
      <c r="G819" s="14">
        <v>15605</v>
      </c>
      <c r="H819" s="14">
        <v>0.522777440419054</v>
      </c>
      <c r="I819" s="14">
        <v>0.911965910022374</v>
      </c>
      <c r="J819" s="14">
        <v>1.41554789550073</v>
      </c>
      <c r="K819" s="14" t="s">
        <v>5490</v>
      </c>
    </row>
    <row r="820" spans="1:11">
      <c r="A820" s="14" t="s">
        <v>18198</v>
      </c>
      <c r="B820" s="14" t="s">
        <v>18199</v>
      </c>
      <c r="C820" s="14" t="s">
        <v>16086</v>
      </c>
      <c r="D820" s="14">
        <v>1</v>
      </c>
      <c r="E820" s="14">
        <v>1378</v>
      </c>
      <c r="F820" s="14">
        <v>8</v>
      </c>
      <c r="G820" s="14">
        <v>15605</v>
      </c>
      <c r="H820" s="14">
        <v>0.522777440419054</v>
      </c>
      <c r="I820" s="14">
        <v>0.911965910022374</v>
      </c>
      <c r="J820" s="14">
        <v>1.41554789550073</v>
      </c>
      <c r="K820" s="14" t="s">
        <v>9126</v>
      </c>
    </row>
    <row r="821" spans="1:11">
      <c r="A821" s="14" t="s">
        <v>18200</v>
      </c>
      <c r="B821" s="14" t="s">
        <v>18201</v>
      </c>
      <c r="C821" s="14" t="s">
        <v>16086</v>
      </c>
      <c r="D821" s="14">
        <v>3</v>
      </c>
      <c r="E821" s="14">
        <v>1378</v>
      </c>
      <c r="F821" s="14">
        <v>31</v>
      </c>
      <c r="G821" s="14">
        <v>15605</v>
      </c>
      <c r="H821" s="14">
        <v>0.523950765157124</v>
      </c>
      <c r="I821" s="14">
        <v>0.911965910022374</v>
      </c>
      <c r="J821" s="14">
        <v>1.09590804812959</v>
      </c>
      <c r="K821" s="14" t="s">
        <v>18202</v>
      </c>
    </row>
    <row r="822" spans="1:11">
      <c r="A822" s="14" t="s">
        <v>18203</v>
      </c>
      <c r="B822" s="14" t="s">
        <v>18204</v>
      </c>
      <c r="C822" s="14" t="s">
        <v>16090</v>
      </c>
      <c r="D822" s="14">
        <v>3</v>
      </c>
      <c r="E822" s="14">
        <v>1378</v>
      </c>
      <c r="F822" s="14">
        <v>31</v>
      </c>
      <c r="G822" s="14">
        <v>15605</v>
      </c>
      <c r="H822" s="14">
        <v>0.523950765157124</v>
      </c>
      <c r="I822" s="14">
        <v>0.911965910022374</v>
      </c>
      <c r="J822" s="14">
        <v>1.09590804812959</v>
      </c>
      <c r="K822" s="14" t="s">
        <v>18205</v>
      </c>
    </row>
    <row r="823" spans="1:11">
      <c r="A823" s="14" t="s">
        <v>18206</v>
      </c>
      <c r="B823" s="14" t="s">
        <v>18207</v>
      </c>
      <c r="C823" s="14" t="s">
        <v>16090</v>
      </c>
      <c r="D823" s="14">
        <v>3</v>
      </c>
      <c r="E823" s="14">
        <v>1378</v>
      </c>
      <c r="F823" s="14">
        <v>31</v>
      </c>
      <c r="G823" s="14">
        <v>15605</v>
      </c>
      <c r="H823" s="14">
        <v>0.523950765157124</v>
      </c>
      <c r="I823" s="14">
        <v>0.911965910022374</v>
      </c>
      <c r="J823" s="14">
        <v>1.09590804812959</v>
      </c>
      <c r="K823" s="14" t="s">
        <v>18208</v>
      </c>
    </row>
    <row r="824" spans="1:11">
      <c r="A824" s="14" t="s">
        <v>18209</v>
      </c>
      <c r="B824" s="14" t="s">
        <v>18210</v>
      </c>
      <c r="C824" s="14" t="s">
        <v>16090</v>
      </c>
      <c r="D824" s="14">
        <v>3</v>
      </c>
      <c r="E824" s="14">
        <v>1378</v>
      </c>
      <c r="F824" s="14">
        <v>31</v>
      </c>
      <c r="G824" s="14">
        <v>15605</v>
      </c>
      <c r="H824" s="14">
        <v>0.523950765157124</v>
      </c>
      <c r="I824" s="14">
        <v>0.911965910022374</v>
      </c>
      <c r="J824" s="14">
        <v>1.09590804812959</v>
      </c>
      <c r="K824" s="14" t="s">
        <v>17160</v>
      </c>
    </row>
    <row r="825" spans="1:11">
      <c r="A825" s="14" t="s">
        <v>18211</v>
      </c>
      <c r="B825" s="14" t="s">
        <v>18212</v>
      </c>
      <c r="C825" s="14" t="s">
        <v>16090</v>
      </c>
      <c r="D825" s="14">
        <v>3</v>
      </c>
      <c r="E825" s="14">
        <v>1378</v>
      </c>
      <c r="F825" s="14">
        <v>31</v>
      </c>
      <c r="G825" s="14">
        <v>15605</v>
      </c>
      <c r="H825" s="14">
        <v>0.523950765157124</v>
      </c>
      <c r="I825" s="14">
        <v>0.911965910022374</v>
      </c>
      <c r="J825" s="14">
        <v>1.09590804812959</v>
      </c>
      <c r="K825" s="14" t="s">
        <v>18213</v>
      </c>
    </row>
    <row r="826" spans="1:11">
      <c r="A826" s="14" t="s">
        <v>18214</v>
      </c>
      <c r="B826" s="14" t="s">
        <v>18215</v>
      </c>
      <c r="C826" s="14" t="s">
        <v>16090</v>
      </c>
      <c r="D826" s="14">
        <v>3</v>
      </c>
      <c r="E826" s="14">
        <v>1378</v>
      </c>
      <c r="F826" s="14">
        <v>31</v>
      </c>
      <c r="G826" s="14">
        <v>15605</v>
      </c>
      <c r="H826" s="14">
        <v>0.523950765157124</v>
      </c>
      <c r="I826" s="14">
        <v>0.911965910022374</v>
      </c>
      <c r="J826" s="14">
        <v>1.09590804812959</v>
      </c>
      <c r="K826" s="14" t="s">
        <v>18216</v>
      </c>
    </row>
    <row r="827" spans="1:11">
      <c r="A827" s="14" t="s">
        <v>18217</v>
      </c>
      <c r="B827" s="14" t="s">
        <v>18218</v>
      </c>
      <c r="C827" s="14" t="s">
        <v>16090</v>
      </c>
      <c r="D827" s="14">
        <v>13</v>
      </c>
      <c r="E827" s="14">
        <v>1378</v>
      </c>
      <c r="F827" s="14">
        <v>146</v>
      </c>
      <c r="G827" s="14">
        <v>15605</v>
      </c>
      <c r="H827" s="14">
        <v>0.53006854313252</v>
      </c>
      <c r="I827" s="14">
        <v>0.911965910022374</v>
      </c>
      <c r="J827" s="14">
        <v>1.008335487206</v>
      </c>
      <c r="K827" s="14" t="s">
        <v>18219</v>
      </c>
    </row>
    <row r="828" spans="1:11">
      <c r="A828" s="14" t="s">
        <v>18220</v>
      </c>
      <c r="B828" s="14" t="s">
        <v>18221</v>
      </c>
      <c r="C828" s="14" t="s">
        <v>16096</v>
      </c>
      <c r="D828" s="14">
        <v>2</v>
      </c>
      <c r="E828" s="14">
        <v>1378</v>
      </c>
      <c r="F828" s="14">
        <v>20</v>
      </c>
      <c r="G828" s="14">
        <v>15605</v>
      </c>
      <c r="H828" s="14">
        <v>0.537843262182001</v>
      </c>
      <c r="I828" s="14">
        <v>0.911965910022374</v>
      </c>
      <c r="J828" s="14">
        <v>1.13243831640058</v>
      </c>
      <c r="K828" s="14" t="s">
        <v>18222</v>
      </c>
    </row>
    <row r="829" spans="1:11">
      <c r="A829" s="14" t="s">
        <v>18223</v>
      </c>
      <c r="B829" s="14" t="s">
        <v>18224</v>
      </c>
      <c r="C829" s="14" t="s">
        <v>16090</v>
      </c>
      <c r="D829" s="14">
        <v>2</v>
      </c>
      <c r="E829" s="14">
        <v>1378</v>
      </c>
      <c r="F829" s="14">
        <v>20</v>
      </c>
      <c r="G829" s="14">
        <v>15605</v>
      </c>
      <c r="H829" s="14">
        <v>0.537843262182001</v>
      </c>
      <c r="I829" s="14">
        <v>0.911965910022374</v>
      </c>
      <c r="J829" s="14">
        <v>1.13243831640058</v>
      </c>
      <c r="K829" s="14" t="s">
        <v>18225</v>
      </c>
    </row>
    <row r="830" spans="1:11">
      <c r="A830" s="14" t="s">
        <v>18226</v>
      </c>
      <c r="B830" s="14" t="s">
        <v>18227</v>
      </c>
      <c r="C830" s="14" t="s">
        <v>16090</v>
      </c>
      <c r="D830" s="14">
        <v>2</v>
      </c>
      <c r="E830" s="14">
        <v>1378</v>
      </c>
      <c r="F830" s="14">
        <v>20</v>
      </c>
      <c r="G830" s="14">
        <v>15605</v>
      </c>
      <c r="H830" s="14">
        <v>0.537843262182001</v>
      </c>
      <c r="I830" s="14">
        <v>0.911965910022374</v>
      </c>
      <c r="J830" s="14">
        <v>1.13243831640058</v>
      </c>
      <c r="K830" s="14" t="s">
        <v>18228</v>
      </c>
    </row>
    <row r="831" spans="1:11">
      <c r="A831" s="14" t="s">
        <v>18229</v>
      </c>
      <c r="B831" s="14" t="s">
        <v>18230</v>
      </c>
      <c r="C831" s="14" t="s">
        <v>16086</v>
      </c>
      <c r="D831" s="14">
        <v>9</v>
      </c>
      <c r="E831" s="14">
        <v>1378</v>
      </c>
      <c r="F831" s="14">
        <v>101</v>
      </c>
      <c r="G831" s="14">
        <v>15605</v>
      </c>
      <c r="H831" s="14">
        <v>0.539653457692872</v>
      </c>
      <c r="I831" s="14">
        <v>0.911965910022374</v>
      </c>
      <c r="J831" s="14">
        <v>1.00910345025794</v>
      </c>
      <c r="K831" s="14" t="s">
        <v>18231</v>
      </c>
    </row>
    <row r="832" spans="1:11">
      <c r="A832" s="14" t="s">
        <v>18232</v>
      </c>
      <c r="B832" s="14" t="s">
        <v>18233</v>
      </c>
      <c r="C832" s="14" t="s">
        <v>16090</v>
      </c>
      <c r="D832" s="14">
        <v>5</v>
      </c>
      <c r="E832" s="14">
        <v>1378</v>
      </c>
      <c r="F832" s="14">
        <v>55</v>
      </c>
      <c r="G832" s="14">
        <v>15605</v>
      </c>
      <c r="H832" s="14">
        <v>0.541448841144563</v>
      </c>
      <c r="I832" s="14">
        <v>0.911965910022374</v>
      </c>
      <c r="J832" s="14">
        <v>1.02948937854598</v>
      </c>
      <c r="K832" s="14" t="s">
        <v>18234</v>
      </c>
    </row>
    <row r="833" spans="1:11">
      <c r="A833" s="14" t="s">
        <v>18235</v>
      </c>
      <c r="B833" s="14" t="s">
        <v>18236</v>
      </c>
      <c r="C833" s="14" t="s">
        <v>16090</v>
      </c>
      <c r="D833" s="14">
        <v>3</v>
      </c>
      <c r="E833" s="14">
        <v>1378</v>
      </c>
      <c r="F833" s="14">
        <v>32</v>
      </c>
      <c r="G833" s="14">
        <v>15605</v>
      </c>
      <c r="H833" s="14">
        <v>0.545904669221408</v>
      </c>
      <c r="I833" s="14">
        <v>0.911965910022374</v>
      </c>
      <c r="J833" s="14">
        <v>1.06166092162554</v>
      </c>
      <c r="K833" s="14" t="s">
        <v>18237</v>
      </c>
    </row>
    <row r="834" spans="1:11">
      <c r="A834" s="14" t="s">
        <v>18238</v>
      </c>
      <c r="B834" s="14" t="s">
        <v>18239</v>
      </c>
      <c r="C834" s="14" t="s">
        <v>16090</v>
      </c>
      <c r="D834" s="14">
        <v>3</v>
      </c>
      <c r="E834" s="14">
        <v>1378</v>
      </c>
      <c r="F834" s="14">
        <v>32</v>
      </c>
      <c r="G834" s="14">
        <v>15605</v>
      </c>
      <c r="H834" s="14">
        <v>0.545904669221408</v>
      </c>
      <c r="I834" s="14">
        <v>0.911965910022374</v>
      </c>
      <c r="J834" s="14">
        <v>1.06166092162554</v>
      </c>
      <c r="K834" s="14" t="s">
        <v>18240</v>
      </c>
    </row>
    <row r="835" spans="1:11">
      <c r="A835" s="14" t="s">
        <v>18241</v>
      </c>
      <c r="B835" s="14" t="s">
        <v>18242</v>
      </c>
      <c r="C835" s="14" t="s">
        <v>16096</v>
      </c>
      <c r="D835" s="14">
        <v>4</v>
      </c>
      <c r="E835" s="14">
        <v>1378</v>
      </c>
      <c r="F835" s="14">
        <v>44</v>
      </c>
      <c r="G835" s="14">
        <v>15605</v>
      </c>
      <c r="H835" s="14">
        <v>0.552314598457677</v>
      </c>
      <c r="I835" s="14">
        <v>0.911965910022374</v>
      </c>
      <c r="J835" s="14">
        <v>1.02948937854598</v>
      </c>
      <c r="K835" s="14" t="s">
        <v>18243</v>
      </c>
    </row>
    <row r="836" spans="1:11">
      <c r="A836" s="14" t="s">
        <v>18244</v>
      </c>
      <c r="B836" s="14" t="s">
        <v>18245</v>
      </c>
      <c r="C836" s="14" t="s">
        <v>16086</v>
      </c>
      <c r="D836" s="14">
        <v>4</v>
      </c>
      <c r="E836" s="14">
        <v>1378</v>
      </c>
      <c r="F836" s="14">
        <v>44</v>
      </c>
      <c r="G836" s="14">
        <v>15605</v>
      </c>
      <c r="H836" s="14">
        <v>0.552314598457677</v>
      </c>
      <c r="I836" s="14">
        <v>0.911965910022374</v>
      </c>
      <c r="J836" s="14">
        <v>1.02948937854598</v>
      </c>
      <c r="K836" s="14" t="s">
        <v>18246</v>
      </c>
    </row>
    <row r="837" spans="1:11">
      <c r="A837" s="14" t="s">
        <v>18247</v>
      </c>
      <c r="B837" s="14" t="s">
        <v>18248</v>
      </c>
      <c r="C837" s="14" t="s">
        <v>16086</v>
      </c>
      <c r="D837" s="14">
        <v>4</v>
      </c>
      <c r="E837" s="14">
        <v>1378</v>
      </c>
      <c r="F837" s="14">
        <v>44</v>
      </c>
      <c r="G837" s="14">
        <v>15605</v>
      </c>
      <c r="H837" s="14">
        <v>0.552314598457677</v>
      </c>
      <c r="I837" s="14">
        <v>0.911965910022374</v>
      </c>
      <c r="J837" s="14">
        <v>1.02948937854598</v>
      </c>
      <c r="K837" s="14" t="s">
        <v>18249</v>
      </c>
    </row>
    <row r="838" spans="1:11">
      <c r="A838" s="14" t="s">
        <v>14240</v>
      </c>
      <c r="B838" s="14" t="s">
        <v>14241</v>
      </c>
      <c r="C838" s="14" t="s">
        <v>16096</v>
      </c>
      <c r="D838" s="14">
        <v>10</v>
      </c>
      <c r="E838" s="14">
        <v>1378</v>
      </c>
      <c r="F838" s="14">
        <v>114</v>
      </c>
      <c r="G838" s="14">
        <v>15605</v>
      </c>
      <c r="H838" s="14">
        <v>0.557033030786644</v>
      </c>
      <c r="I838" s="14">
        <v>0.911965910022374</v>
      </c>
      <c r="J838" s="14">
        <v>0.993366944211036</v>
      </c>
      <c r="K838" s="14" t="s">
        <v>18250</v>
      </c>
    </row>
    <row r="839" spans="1:11">
      <c r="A839" s="14" t="s">
        <v>18251</v>
      </c>
      <c r="B839" s="14" t="s">
        <v>18252</v>
      </c>
      <c r="C839" s="14" t="s">
        <v>16090</v>
      </c>
      <c r="D839" s="14">
        <v>5</v>
      </c>
      <c r="E839" s="14">
        <v>1378</v>
      </c>
      <c r="F839" s="14">
        <v>56</v>
      </c>
      <c r="G839" s="14">
        <v>15605</v>
      </c>
      <c r="H839" s="14">
        <v>0.557887523624681</v>
      </c>
      <c r="I839" s="14">
        <v>0.911965910022374</v>
      </c>
      <c r="J839" s="14">
        <v>1.01110563964338</v>
      </c>
      <c r="K839" s="14" t="s">
        <v>18253</v>
      </c>
    </row>
    <row r="840" spans="1:11">
      <c r="A840" s="14" t="s">
        <v>18254</v>
      </c>
      <c r="B840" s="14" t="s">
        <v>18255</v>
      </c>
      <c r="C840" s="14" t="s">
        <v>16090</v>
      </c>
      <c r="D840" s="14">
        <v>5</v>
      </c>
      <c r="E840" s="14">
        <v>1378</v>
      </c>
      <c r="F840" s="14">
        <v>56</v>
      </c>
      <c r="G840" s="14">
        <v>15605</v>
      </c>
      <c r="H840" s="14">
        <v>0.557887523624681</v>
      </c>
      <c r="I840" s="14">
        <v>0.911965910022374</v>
      </c>
      <c r="J840" s="14">
        <v>1.01110563964338</v>
      </c>
      <c r="K840" s="14" t="s">
        <v>18256</v>
      </c>
    </row>
    <row r="841" spans="1:11">
      <c r="A841" s="14" t="s">
        <v>18257</v>
      </c>
      <c r="B841" s="14" t="s">
        <v>18258</v>
      </c>
      <c r="C841" s="14" t="s">
        <v>16090</v>
      </c>
      <c r="D841" s="14">
        <v>2</v>
      </c>
      <c r="E841" s="14">
        <v>1378</v>
      </c>
      <c r="F841" s="14">
        <v>21</v>
      </c>
      <c r="G841" s="14">
        <v>15605</v>
      </c>
      <c r="H841" s="14">
        <v>0.564786634701192</v>
      </c>
      <c r="I841" s="14">
        <v>0.911965910022374</v>
      </c>
      <c r="J841" s="14">
        <v>1.07851268228627</v>
      </c>
      <c r="K841" s="14" t="s">
        <v>18259</v>
      </c>
    </row>
    <row r="842" spans="1:11">
      <c r="A842" s="14" t="s">
        <v>18260</v>
      </c>
      <c r="B842" s="14" t="s">
        <v>18261</v>
      </c>
      <c r="C842" s="14" t="s">
        <v>16086</v>
      </c>
      <c r="D842" s="14">
        <v>2</v>
      </c>
      <c r="E842" s="14">
        <v>1378</v>
      </c>
      <c r="F842" s="14">
        <v>21</v>
      </c>
      <c r="G842" s="14">
        <v>15605</v>
      </c>
      <c r="H842" s="14">
        <v>0.564786634701192</v>
      </c>
      <c r="I842" s="14">
        <v>0.911965910022374</v>
      </c>
      <c r="J842" s="14">
        <v>1.07851268228627</v>
      </c>
      <c r="K842" s="14" t="s">
        <v>18262</v>
      </c>
    </row>
    <row r="843" spans="1:11">
      <c r="A843" s="14" t="s">
        <v>18263</v>
      </c>
      <c r="B843" s="14" t="s">
        <v>18264</v>
      </c>
      <c r="C843" s="14" t="s">
        <v>16086</v>
      </c>
      <c r="D843" s="14">
        <v>2</v>
      </c>
      <c r="E843" s="14">
        <v>1378</v>
      </c>
      <c r="F843" s="14">
        <v>21</v>
      </c>
      <c r="G843" s="14">
        <v>15605</v>
      </c>
      <c r="H843" s="14">
        <v>0.564786634701192</v>
      </c>
      <c r="I843" s="14">
        <v>0.911965910022374</v>
      </c>
      <c r="J843" s="14">
        <v>1.07851268228627</v>
      </c>
      <c r="K843" s="14" t="s">
        <v>18262</v>
      </c>
    </row>
    <row r="844" spans="1:11">
      <c r="A844" s="14" t="s">
        <v>18265</v>
      </c>
      <c r="B844" s="14" t="s">
        <v>18266</v>
      </c>
      <c r="C844" s="14" t="s">
        <v>16090</v>
      </c>
      <c r="D844" s="14">
        <v>2</v>
      </c>
      <c r="E844" s="14">
        <v>1378</v>
      </c>
      <c r="F844" s="14">
        <v>21</v>
      </c>
      <c r="G844" s="14">
        <v>15605</v>
      </c>
      <c r="H844" s="14">
        <v>0.564786634701192</v>
      </c>
      <c r="I844" s="14">
        <v>0.911965910022374</v>
      </c>
      <c r="J844" s="14">
        <v>1.07851268228627</v>
      </c>
      <c r="K844" s="14" t="s">
        <v>18267</v>
      </c>
    </row>
    <row r="845" spans="1:11">
      <c r="A845" s="14" t="s">
        <v>18268</v>
      </c>
      <c r="B845" s="14" t="s">
        <v>18269</v>
      </c>
      <c r="C845" s="14" t="s">
        <v>16096</v>
      </c>
      <c r="D845" s="14">
        <v>1</v>
      </c>
      <c r="E845" s="14">
        <v>1378</v>
      </c>
      <c r="F845" s="14">
        <v>9</v>
      </c>
      <c r="G845" s="14">
        <v>15605</v>
      </c>
      <c r="H845" s="14">
        <v>0.564940208073253</v>
      </c>
      <c r="I845" s="14">
        <v>0.911965910022374</v>
      </c>
      <c r="J845" s="14">
        <v>1.25826479600065</v>
      </c>
      <c r="K845" s="14" t="s">
        <v>13740</v>
      </c>
    </row>
    <row r="846" spans="1:11">
      <c r="A846" s="14" t="s">
        <v>18270</v>
      </c>
      <c r="B846" s="14" t="s">
        <v>18271</v>
      </c>
      <c r="C846" s="14" t="s">
        <v>16090</v>
      </c>
      <c r="D846" s="14">
        <v>1</v>
      </c>
      <c r="E846" s="14">
        <v>1378</v>
      </c>
      <c r="F846" s="14">
        <v>9</v>
      </c>
      <c r="G846" s="14">
        <v>15605</v>
      </c>
      <c r="H846" s="14">
        <v>0.564940208073253</v>
      </c>
      <c r="I846" s="14">
        <v>0.911965910022374</v>
      </c>
      <c r="J846" s="14">
        <v>1.25826479600065</v>
      </c>
      <c r="K846" s="14" t="s">
        <v>6661</v>
      </c>
    </row>
    <row r="847" spans="1:11">
      <c r="A847" s="14" t="s">
        <v>18272</v>
      </c>
      <c r="B847" s="14" t="s">
        <v>18273</v>
      </c>
      <c r="C847" s="14" t="s">
        <v>16090</v>
      </c>
      <c r="D847" s="14">
        <v>1</v>
      </c>
      <c r="E847" s="14">
        <v>1378</v>
      </c>
      <c r="F847" s="14">
        <v>9</v>
      </c>
      <c r="G847" s="14">
        <v>15605</v>
      </c>
      <c r="H847" s="14">
        <v>0.564940208073253</v>
      </c>
      <c r="I847" s="14">
        <v>0.911965910022374</v>
      </c>
      <c r="J847" s="14">
        <v>1.25826479600065</v>
      </c>
      <c r="K847" s="14" t="s">
        <v>7296</v>
      </c>
    </row>
    <row r="848" spans="1:11">
      <c r="A848" s="14" t="s">
        <v>18274</v>
      </c>
      <c r="B848" s="14" t="s">
        <v>18275</v>
      </c>
      <c r="C848" s="14" t="s">
        <v>16086</v>
      </c>
      <c r="D848" s="14">
        <v>1</v>
      </c>
      <c r="E848" s="14">
        <v>1378</v>
      </c>
      <c r="F848" s="14">
        <v>9</v>
      </c>
      <c r="G848" s="14">
        <v>15605</v>
      </c>
      <c r="H848" s="14">
        <v>0.564940208073253</v>
      </c>
      <c r="I848" s="14">
        <v>0.911965910022374</v>
      </c>
      <c r="J848" s="14">
        <v>1.25826479600065</v>
      </c>
      <c r="K848" s="14" t="s">
        <v>13740</v>
      </c>
    </row>
    <row r="849" spans="1:11">
      <c r="A849" s="14" t="s">
        <v>18276</v>
      </c>
      <c r="B849" s="14" t="s">
        <v>18277</v>
      </c>
      <c r="C849" s="14" t="s">
        <v>16086</v>
      </c>
      <c r="D849" s="14">
        <v>1</v>
      </c>
      <c r="E849" s="14">
        <v>1378</v>
      </c>
      <c r="F849" s="14">
        <v>9</v>
      </c>
      <c r="G849" s="14">
        <v>15605</v>
      </c>
      <c r="H849" s="14">
        <v>0.564940208073253</v>
      </c>
      <c r="I849" s="14">
        <v>0.911965910022374</v>
      </c>
      <c r="J849" s="14">
        <v>1.25826479600065</v>
      </c>
      <c r="K849" s="14" t="s">
        <v>6273</v>
      </c>
    </row>
    <row r="850" spans="1:11">
      <c r="A850" s="14" t="s">
        <v>18278</v>
      </c>
      <c r="B850" s="14" t="s">
        <v>18279</v>
      </c>
      <c r="C850" s="14" t="s">
        <v>16086</v>
      </c>
      <c r="D850" s="14">
        <v>1</v>
      </c>
      <c r="E850" s="14">
        <v>1378</v>
      </c>
      <c r="F850" s="14">
        <v>9</v>
      </c>
      <c r="G850" s="14">
        <v>15605</v>
      </c>
      <c r="H850" s="14">
        <v>0.564940208073253</v>
      </c>
      <c r="I850" s="14">
        <v>0.911965910022374</v>
      </c>
      <c r="J850" s="14">
        <v>1.25826479600065</v>
      </c>
      <c r="K850" s="14" t="s">
        <v>10483</v>
      </c>
    </row>
    <row r="851" spans="1:11">
      <c r="A851" s="14" t="s">
        <v>18280</v>
      </c>
      <c r="B851" s="14" t="s">
        <v>18281</v>
      </c>
      <c r="C851" s="14" t="s">
        <v>16086</v>
      </c>
      <c r="D851" s="14">
        <v>1</v>
      </c>
      <c r="E851" s="14">
        <v>1378</v>
      </c>
      <c r="F851" s="14">
        <v>9</v>
      </c>
      <c r="G851" s="14">
        <v>15605</v>
      </c>
      <c r="H851" s="14">
        <v>0.564940208073253</v>
      </c>
      <c r="I851" s="14">
        <v>0.911965910022374</v>
      </c>
      <c r="J851" s="14">
        <v>1.25826479600065</v>
      </c>
      <c r="K851" s="14" t="s">
        <v>1603</v>
      </c>
    </row>
    <row r="852" spans="1:11">
      <c r="A852" s="14" t="s">
        <v>18282</v>
      </c>
      <c r="B852" s="14" t="s">
        <v>18283</v>
      </c>
      <c r="C852" s="14" t="s">
        <v>16086</v>
      </c>
      <c r="D852" s="14">
        <v>1</v>
      </c>
      <c r="E852" s="14">
        <v>1378</v>
      </c>
      <c r="F852" s="14">
        <v>9</v>
      </c>
      <c r="G852" s="14">
        <v>15605</v>
      </c>
      <c r="H852" s="14">
        <v>0.564940208073253</v>
      </c>
      <c r="I852" s="14">
        <v>0.911965910022374</v>
      </c>
      <c r="J852" s="14">
        <v>1.25826479600065</v>
      </c>
      <c r="K852" s="14" t="s">
        <v>15717</v>
      </c>
    </row>
    <row r="853" spans="1:11">
      <c r="A853" s="14" t="s">
        <v>18284</v>
      </c>
      <c r="B853" s="14" t="s">
        <v>18285</v>
      </c>
      <c r="C853" s="14" t="s">
        <v>16086</v>
      </c>
      <c r="D853" s="14">
        <v>1</v>
      </c>
      <c r="E853" s="14">
        <v>1378</v>
      </c>
      <c r="F853" s="14">
        <v>9</v>
      </c>
      <c r="G853" s="14">
        <v>15605</v>
      </c>
      <c r="H853" s="14">
        <v>0.564940208073253</v>
      </c>
      <c r="I853" s="14">
        <v>0.911965910022374</v>
      </c>
      <c r="J853" s="14">
        <v>1.25826479600065</v>
      </c>
      <c r="K853" s="14" t="s">
        <v>6720</v>
      </c>
    </row>
    <row r="854" spans="1:11">
      <c r="A854" s="14" t="s">
        <v>18286</v>
      </c>
      <c r="B854" s="14" t="s">
        <v>18287</v>
      </c>
      <c r="C854" s="14" t="s">
        <v>16086</v>
      </c>
      <c r="D854" s="14">
        <v>1</v>
      </c>
      <c r="E854" s="14">
        <v>1378</v>
      </c>
      <c r="F854" s="14">
        <v>9</v>
      </c>
      <c r="G854" s="14">
        <v>15605</v>
      </c>
      <c r="H854" s="14">
        <v>0.564940208073253</v>
      </c>
      <c r="I854" s="14">
        <v>0.911965910022374</v>
      </c>
      <c r="J854" s="14">
        <v>1.25826479600065</v>
      </c>
      <c r="K854" s="14" t="s">
        <v>9147</v>
      </c>
    </row>
    <row r="855" spans="1:11">
      <c r="A855" s="14" t="s">
        <v>18288</v>
      </c>
      <c r="B855" s="14" t="s">
        <v>18289</v>
      </c>
      <c r="C855" s="14" t="s">
        <v>16096</v>
      </c>
      <c r="D855" s="14">
        <v>1</v>
      </c>
      <c r="E855" s="14">
        <v>1378</v>
      </c>
      <c r="F855" s="14">
        <v>9</v>
      </c>
      <c r="G855" s="14">
        <v>15605</v>
      </c>
      <c r="H855" s="14">
        <v>0.564940208073253</v>
      </c>
      <c r="I855" s="14">
        <v>0.911965910022374</v>
      </c>
      <c r="J855" s="14">
        <v>1.25826479600065</v>
      </c>
      <c r="K855" s="14" t="s">
        <v>5365</v>
      </c>
    </row>
    <row r="856" spans="1:11">
      <c r="A856" s="14" t="s">
        <v>18290</v>
      </c>
      <c r="B856" s="14" t="s">
        <v>18291</v>
      </c>
      <c r="C856" s="14" t="s">
        <v>16096</v>
      </c>
      <c r="D856" s="14">
        <v>1</v>
      </c>
      <c r="E856" s="14">
        <v>1378</v>
      </c>
      <c r="F856" s="14">
        <v>9</v>
      </c>
      <c r="G856" s="14">
        <v>15605</v>
      </c>
      <c r="H856" s="14">
        <v>0.564940208073253</v>
      </c>
      <c r="I856" s="14">
        <v>0.911965910022374</v>
      </c>
      <c r="J856" s="14">
        <v>1.25826479600065</v>
      </c>
      <c r="K856" s="14" t="s">
        <v>2181</v>
      </c>
    </row>
    <row r="857" spans="1:11">
      <c r="A857" s="14" t="s">
        <v>18292</v>
      </c>
      <c r="B857" s="14" t="s">
        <v>18293</v>
      </c>
      <c r="C857" s="14" t="s">
        <v>16090</v>
      </c>
      <c r="D857" s="14">
        <v>1</v>
      </c>
      <c r="E857" s="14">
        <v>1378</v>
      </c>
      <c r="F857" s="14">
        <v>9</v>
      </c>
      <c r="G857" s="14">
        <v>15605</v>
      </c>
      <c r="H857" s="14">
        <v>0.564940208073253</v>
      </c>
      <c r="I857" s="14">
        <v>0.911965910022374</v>
      </c>
      <c r="J857" s="14">
        <v>1.25826479600065</v>
      </c>
      <c r="K857" s="14" t="s">
        <v>13740</v>
      </c>
    </row>
    <row r="858" spans="1:11">
      <c r="A858" s="14" t="s">
        <v>18294</v>
      </c>
      <c r="B858" s="14" t="s">
        <v>18295</v>
      </c>
      <c r="C858" s="14" t="s">
        <v>16090</v>
      </c>
      <c r="D858" s="14">
        <v>1</v>
      </c>
      <c r="E858" s="14">
        <v>1378</v>
      </c>
      <c r="F858" s="14">
        <v>9</v>
      </c>
      <c r="G858" s="14">
        <v>15605</v>
      </c>
      <c r="H858" s="14">
        <v>0.564940208073253</v>
      </c>
      <c r="I858" s="14">
        <v>0.911965910022374</v>
      </c>
      <c r="J858" s="14">
        <v>1.25826479600065</v>
      </c>
      <c r="K858" s="14" t="s">
        <v>9088</v>
      </c>
    </row>
    <row r="859" spans="1:11">
      <c r="A859" s="14" t="s">
        <v>18296</v>
      </c>
      <c r="B859" s="14" t="s">
        <v>18297</v>
      </c>
      <c r="C859" s="14" t="s">
        <v>16090</v>
      </c>
      <c r="D859" s="14">
        <v>1</v>
      </c>
      <c r="E859" s="14">
        <v>1378</v>
      </c>
      <c r="F859" s="14">
        <v>9</v>
      </c>
      <c r="G859" s="14">
        <v>15605</v>
      </c>
      <c r="H859" s="14">
        <v>0.564940208073253</v>
      </c>
      <c r="I859" s="14">
        <v>0.911965910022374</v>
      </c>
      <c r="J859" s="14">
        <v>1.25826479600065</v>
      </c>
      <c r="K859" s="14" t="s">
        <v>4049</v>
      </c>
    </row>
    <row r="860" spans="1:11">
      <c r="A860" s="14" t="s">
        <v>18298</v>
      </c>
      <c r="B860" s="14" t="s">
        <v>18299</v>
      </c>
      <c r="C860" s="14" t="s">
        <v>16090</v>
      </c>
      <c r="D860" s="14">
        <v>1</v>
      </c>
      <c r="E860" s="14">
        <v>1378</v>
      </c>
      <c r="F860" s="14">
        <v>9</v>
      </c>
      <c r="G860" s="14">
        <v>15605</v>
      </c>
      <c r="H860" s="14">
        <v>0.564940208073253</v>
      </c>
      <c r="I860" s="14">
        <v>0.911965910022374</v>
      </c>
      <c r="J860" s="14">
        <v>1.25826479600065</v>
      </c>
      <c r="K860" s="14" t="s">
        <v>11002</v>
      </c>
    </row>
    <row r="861" spans="1:11">
      <c r="A861" s="14" t="s">
        <v>18300</v>
      </c>
      <c r="B861" s="14" t="s">
        <v>18301</v>
      </c>
      <c r="C861" s="14" t="s">
        <v>16090</v>
      </c>
      <c r="D861" s="14">
        <v>1</v>
      </c>
      <c r="E861" s="14">
        <v>1378</v>
      </c>
      <c r="F861" s="14">
        <v>9</v>
      </c>
      <c r="G861" s="14">
        <v>15605</v>
      </c>
      <c r="H861" s="14">
        <v>0.564940208073253</v>
      </c>
      <c r="I861" s="14">
        <v>0.911965910022374</v>
      </c>
      <c r="J861" s="14">
        <v>1.25826479600065</v>
      </c>
      <c r="K861" s="14" t="s">
        <v>3533</v>
      </c>
    </row>
    <row r="862" spans="1:11">
      <c r="A862" s="14" t="s">
        <v>18302</v>
      </c>
      <c r="B862" s="14" t="s">
        <v>18303</v>
      </c>
      <c r="C862" s="14" t="s">
        <v>16090</v>
      </c>
      <c r="D862" s="14">
        <v>1</v>
      </c>
      <c r="E862" s="14">
        <v>1378</v>
      </c>
      <c r="F862" s="14">
        <v>9</v>
      </c>
      <c r="G862" s="14">
        <v>15605</v>
      </c>
      <c r="H862" s="14">
        <v>0.564940208073253</v>
      </c>
      <c r="I862" s="14">
        <v>0.911965910022374</v>
      </c>
      <c r="J862" s="14">
        <v>1.25826479600065</v>
      </c>
      <c r="K862" s="14" t="s">
        <v>8595</v>
      </c>
    </row>
    <row r="863" spans="1:11">
      <c r="A863" s="14" t="s">
        <v>18304</v>
      </c>
      <c r="B863" s="14" t="s">
        <v>18305</v>
      </c>
      <c r="C863" s="14" t="s">
        <v>16086</v>
      </c>
      <c r="D863" s="14">
        <v>1</v>
      </c>
      <c r="E863" s="14">
        <v>1378</v>
      </c>
      <c r="F863" s="14">
        <v>9</v>
      </c>
      <c r="G863" s="14">
        <v>15605</v>
      </c>
      <c r="H863" s="14">
        <v>0.564940208073253</v>
      </c>
      <c r="I863" s="14">
        <v>0.911965910022374</v>
      </c>
      <c r="J863" s="14">
        <v>1.25826479600065</v>
      </c>
      <c r="K863" s="14" t="s">
        <v>4225</v>
      </c>
    </row>
    <row r="864" spans="1:11">
      <c r="A864" s="14" t="s">
        <v>18306</v>
      </c>
      <c r="B864" s="14" t="s">
        <v>18307</v>
      </c>
      <c r="C864" s="14" t="s">
        <v>16086</v>
      </c>
      <c r="D864" s="14">
        <v>1</v>
      </c>
      <c r="E864" s="14">
        <v>1378</v>
      </c>
      <c r="F864" s="14">
        <v>9</v>
      </c>
      <c r="G864" s="14">
        <v>15605</v>
      </c>
      <c r="H864" s="14">
        <v>0.564940208073253</v>
      </c>
      <c r="I864" s="14">
        <v>0.911965910022374</v>
      </c>
      <c r="J864" s="14">
        <v>1.25826479600065</v>
      </c>
      <c r="K864" s="14" t="s">
        <v>8082</v>
      </c>
    </row>
    <row r="865" spans="1:11">
      <c r="A865" s="14" t="s">
        <v>18308</v>
      </c>
      <c r="B865" s="14" t="s">
        <v>18309</v>
      </c>
      <c r="C865" s="14" t="s">
        <v>16090</v>
      </c>
      <c r="D865" s="14">
        <v>1</v>
      </c>
      <c r="E865" s="14">
        <v>1378</v>
      </c>
      <c r="F865" s="14">
        <v>9</v>
      </c>
      <c r="G865" s="14">
        <v>15605</v>
      </c>
      <c r="H865" s="14">
        <v>0.564940208073253</v>
      </c>
      <c r="I865" s="14">
        <v>0.911965910022374</v>
      </c>
      <c r="J865" s="14">
        <v>1.25826479600065</v>
      </c>
      <c r="K865" s="14" t="s">
        <v>6282</v>
      </c>
    </row>
    <row r="866" spans="1:11">
      <c r="A866" s="14" t="s">
        <v>18310</v>
      </c>
      <c r="B866" s="14" t="s">
        <v>18311</v>
      </c>
      <c r="C866" s="14" t="s">
        <v>16090</v>
      </c>
      <c r="D866" s="14">
        <v>1</v>
      </c>
      <c r="E866" s="14">
        <v>1378</v>
      </c>
      <c r="F866" s="14">
        <v>9</v>
      </c>
      <c r="G866" s="14">
        <v>15605</v>
      </c>
      <c r="H866" s="14">
        <v>0.564940208073253</v>
      </c>
      <c r="I866" s="14">
        <v>0.911965910022374</v>
      </c>
      <c r="J866" s="14">
        <v>1.25826479600065</v>
      </c>
      <c r="K866" s="14" t="s">
        <v>6188</v>
      </c>
    </row>
    <row r="867" spans="1:11">
      <c r="A867" s="14" t="s">
        <v>18312</v>
      </c>
      <c r="B867" s="14" t="s">
        <v>18313</v>
      </c>
      <c r="C867" s="14" t="s">
        <v>16090</v>
      </c>
      <c r="D867" s="14">
        <v>1</v>
      </c>
      <c r="E867" s="14">
        <v>1378</v>
      </c>
      <c r="F867" s="14">
        <v>9</v>
      </c>
      <c r="G867" s="14">
        <v>15605</v>
      </c>
      <c r="H867" s="14">
        <v>0.564940208073253</v>
      </c>
      <c r="I867" s="14">
        <v>0.911965910022374</v>
      </c>
      <c r="J867" s="14">
        <v>1.25826479600065</v>
      </c>
      <c r="K867" s="14" t="s">
        <v>11760</v>
      </c>
    </row>
    <row r="868" spans="1:11">
      <c r="A868" s="14" t="s">
        <v>18314</v>
      </c>
      <c r="B868" s="14" t="s">
        <v>18315</v>
      </c>
      <c r="C868" s="14" t="s">
        <v>16090</v>
      </c>
      <c r="D868" s="14">
        <v>1</v>
      </c>
      <c r="E868" s="14">
        <v>1378</v>
      </c>
      <c r="F868" s="14">
        <v>9</v>
      </c>
      <c r="G868" s="14">
        <v>15605</v>
      </c>
      <c r="H868" s="14">
        <v>0.564940208073253</v>
      </c>
      <c r="I868" s="14">
        <v>0.911965910022374</v>
      </c>
      <c r="J868" s="14">
        <v>1.25826479600065</v>
      </c>
      <c r="K868" s="14" t="s">
        <v>12457</v>
      </c>
    </row>
    <row r="869" spans="1:11">
      <c r="A869" s="14" t="s">
        <v>18316</v>
      </c>
      <c r="B869" s="14" t="s">
        <v>18317</v>
      </c>
      <c r="C869" s="14" t="s">
        <v>16090</v>
      </c>
      <c r="D869" s="14">
        <v>1</v>
      </c>
      <c r="E869" s="14">
        <v>1378</v>
      </c>
      <c r="F869" s="14">
        <v>9</v>
      </c>
      <c r="G869" s="14">
        <v>15605</v>
      </c>
      <c r="H869" s="14">
        <v>0.564940208073253</v>
      </c>
      <c r="I869" s="14">
        <v>0.911965910022374</v>
      </c>
      <c r="J869" s="14">
        <v>1.25826479600065</v>
      </c>
      <c r="K869" s="14" t="s">
        <v>14819</v>
      </c>
    </row>
    <row r="870" spans="1:11">
      <c r="A870" s="14" t="s">
        <v>18318</v>
      </c>
      <c r="B870" s="14" t="s">
        <v>18319</v>
      </c>
      <c r="C870" s="14" t="s">
        <v>16090</v>
      </c>
      <c r="D870" s="14">
        <v>1</v>
      </c>
      <c r="E870" s="14">
        <v>1378</v>
      </c>
      <c r="F870" s="14">
        <v>9</v>
      </c>
      <c r="G870" s="14">
        <v>15605</v>
      </c>
      <c r="H870" s="14">
        <v>0.564940208073253</v>
      </c>
      <c r="I870" s="14">
        <v>0.911965910022374</v>
      </c>
      <c r="J870" s="14">
        <v>1.25826479600065</v>
      </c>
      <c r="K870" s="14" t="s">
        <v>13542</v>
      </c>
    </row>
    <row r="871" spans="1:11">
      <c r="A871" s="14" t="s">
        <v>18320</v>
      </c>
      <c r="B871" s="14" t="s">
        <v>18321</v>
      </c>
      <c r="C871" s="14" t="s">
        <v>16090</v>
      </c>
      <c r="D871" s="14">
        <v>1</v>
      </c>
      <c r="E871" s="14">
        <v>1378</v>
      </c>
      <c r="F871" s="14">
        <v>9</v>
      </c>
      <c r="G871" s="14">
        <v>15605</v>
      </c>
      <c r="H871" s="14">
        <v>0.564940208073253</v>
      </c>
      <c r="I871" s="14">
        <v>0.911965910022374</v>
      </c>
      <c r="J871" s="14">
        <v>1.25826479600065</v>
      </c>
      <c r="K871" s="14" t="s">
        <v>9095</v>
      </c>
    </row>
    <row r="872" spans="1:11">
      <c r="A872" s="14" t="s">
        <v>18322</v>
      </c>
      <c r="B872" s="14" t="s">
        <v>18323</v>
      </c>
      <c r="C872" s="14" t="s">
        <v>16086</v>
      </c>
      <c r="D872" s="14">
        <v>1</v>
      </c>
      <c r="E872" s="14">
        <v>1378</v>
      </c>
      <c r="F872" s="14">
        <v>9</v>
      </c>
      <c r="G872" s="14">
        <v>15605</v>
      </c>
      <c r="H872" s="14">
        <v>0.564940208073253</v>
      </c>
      <c r="I872" s="14">
        <v>0.911965910022374</v>
      </c>
      <c r="J872" s="14">
        <v>1.25826479600065</v>
      </c>
      <c r="K872" s="14" t="s">
        <v>16003</v>
      </c>
    </row>
    <row r="873" spans="1:11">
      <c r="A873" s="14" t="s">
        <v>18324</v>
      </c>
      <c r="B873" s="14" t="s">
        <v>18325</v>
      </c>
      <c r="C873" s="14" t="s">
        <v>16086</v>
      </c>
      <c r="D873" s="14">
        <v>1</v>
      </c>
      <c r="E873" s="14">
        <v>1378</v>
      </c>
      <c r="F873" s="14">
        <v>9</v>
      </c>
      <c r="G873" s="14">
        <v>15605</v>
      </c>
      <c r="H873" s="14">
        <v>0.564940208073253</v>
      </c>
      <c r="I873" s="14">
        <v>0.911965910022374</v>
      </c>
      <c r="J873" s="14">
        <v>1.25826479600065</v>
      </c>
      <c r="K873" s="14" t="s">
        <v>5002</v>
      </c>
    </row>
    <row r="874" spans="1:11">
      <c r="A874" s="14" t="s">
        <v>18326</v>
      </c>
      <c r="B874" s="14" t="s">
        <v>18327</v>
      </c>
      <c r="C874" s="14" t="s">
        <v>16090</v>
      </c>
      <c r="D874" s="14">
        <v>1</v>
      </c>
      <c r="E874" s="14">
        <v>1378</v>
      </c>
      <c r="F874" s="14">
        <v>9</v>
      </c>
      <c r="G874" s="14">
        <v>15605</v>
      </c>
      <c r="H874" s="14">
        <v>0.564940208073253</v>
      </c>
      <c r="I874" s="14">
        <v>0.911965910022374</v>
      </c>
      <c r="J874" s="14">
        <v>1.25826479600065</v>
      </c>
      <c r="K874" s="14" t="s">
        <v>732</v>
      </c>
    </row>
    <row r="875" spans="1:11">
      <c r="A875" s="14" t="s">
        <v>18328</v>
      </c>
      <c r="B875" s="14" t="s">
        <v>18329</v>
      </c>
      <c r="C875" s="14" t="s">
        <v>16090</v>
      </c>
      <c r="D875" s="14">
        <v>1</v>
      </c>
      <c r="E875" s="14">
        <v>1378</v>
      </c>
      <c r="F875" s="14">
        <v>9</v>
      </c>
      <c r="G875" s="14">
        <v>15605</v>
      </c>
      <c r="H875" s="14">
        <v>0.564940208073253</v>
      </c>
      <c r="I875" s="14">
        <v>0.911965910022374</v>
      </c>
      <c r="J875" s="14">
        <v>1.25826479600065</v>
      </c>
      <c r="K875" s="14" t="s">
        <v>12407</v>
      </c>
    </row>
    <row r="876" spans="1:11">
      <c r="A876" s="14" t="s">
        <v>18330</v>
      </c>
      <c r="B876" s="14" t="s">
        <v>18331</v>
      </c>
      <c r="C876" s="14" t="s">
        <v>16090</v>
      </c>
      <c r="D876" s="14">
        <v>1</v>
      </c>
      <c r="E876" s="14">
        <v>1378</v>
      </c>
      <c r="F876" s="14">
        <v>9</v>
      </c>
      <c r="G876" s="14">
        <v>15605</v>
      </c>
      <c r="H876" s="14">
        <v>0.564940208073253</v>
      </c>
      <c r="I876" s="14">
        <v>0.911965910022374</v>
      </c>
      <c r="J876" s="14">
        <v>1.25826479600065</v>
      </c>
      <c r="K876" s="14" t="s">
        <v>1171</v>
      </c>
    </row>
    <row r="877" spans="1:11">
      <c r="A877" s="14" t="s">
        <v>18332</v>
      </c>
      <c r="B877" s="14" t="s">
        <v>18333</v>
      </c>
      <c r="C877" s="14" t="s">
        <v>16096</v>
      </c>
      <c r="D877" s="14">
        <v>1</v>
      </c>
      <c r="E877" s="14">
        <v>1378</v>
      </c>
      <c r="F877" s="14">
        <v>9</v>
      </c>
      <c r="G877" s="14">
        <v>15605</v>
      </c>
      <c r="H877" s="14">
        <v>0.564940208073253</v>
      </c>
      <c r="I877" s="14">
        <v>0.911965910022374</v>
      </c>
      <c r="J877" s="14">
        <v>1.25826479600065</v>
      </c>
      <c r="K877" s="14" t="s">
        <v>14059</v>
      </c>
    </row>
    <row r="878" spans="1:11">
      <c r="A878" s="14" t="s">
        <v>18334</v>
      </c>
      <c r="B878" s="14" t="s">
        <v>18335</v>
      </c>
      <c r="C878" s="14" t="s">
        <v>16090</v>
      </c>
      <c r="D878" s="14">
        <v>1</v>
      </c>
      <c r="E878" s="14">
        <v>1378</v>
      </c>
      <c r="F878" s="14">
        <v>9</v>
      </c>
      <c r="G878" s="14">
        <v>15605</v>
      </c>
      <c r="H878" s="14">
        <v>0.564940208073253</v>
      </c>
      <c r="I878" s="14">
        <v>0.911965910022374</v>
      </c>
      <c r="J878" s="14">
        <v>1.25826479600065</v>
      </c>
      <c r="K878" s="14" t="s">
        <v>14411</v>
      </c>
    </row>
    <row r="879" spans="1:11">
      <c r="A879" s="14" t="s">
        <v>18336</v>
      </c>
      <c r="B879" s="14" t="s">
        <v>18337</v>
      </c>
      <c r="C879" s="14" t="s">
        <v>16090</v>
      </c>
      <c r="D879" s="14">
        <v>1</v>
      </c>
      <c r="E879" s="14">
        <v>1378</v>
      </c>
      <c r="F879" s="14">
        <v>9</v>
      </c>
      <c r="G879" s="14">
        <v>15605</v>
      </c>
      <c r="H879" s="14">
        <v>0.564940208073253</v>
      </c>
      <c r="I879" s="14">
        <v>0.911965910022374</v>
      </c>
      <c r="J879" s="14">
        <v>1.25826479600065</v>
      </c>
      <c r="K879" s="14" t="s">
        <v>7475</v>
      </c>
    </row>
    <row r="880" spans="1:11">
      <c r="A880" s="14" t="s">
        <v>18338</v>
      </c>
      <c r="B880" s="14" t="s">
        <v>18339</v>
      </c>
      <c r="C880" s="14" t="s">
        <v>16086</v>
      </c>
      <c r="D880" s="14">
        <v>1</v>
      </c>
      <c r="E880" s="14">
        <v>1378</v>
      </c>
      <c r="F880" s="14">
        <v>9</v>
      </c>
      <c r="G880" s="14">
        <v>15605</v>
      </c>
      <c r="H880" s="14">
        <v>0.564940208073253</v>
      </c>
      <c r="I880" s="14">
        <v>0.911965910022374</v>
      </c>
      <c r="J880" s="14">
        <v>1.25826479600065</v>
      </c>
      <c r="K880" s="14" t="s">
        <v>9147</v>
      </c>
    </row>
    <row r="881" spans="1:11">
      <c r="A881" s="14" t="s">
        <v>18340</v>
      </c>
      <c r="B881" s="14" t="s">
        <v>18341</v>
      </c>
      <c r="C881" s="14" t="s">
        <v>16096</v>
      </c>
      <c r="D881" s="14">
        <v>1</v>
      </c>
      <c r="E881" s="14">
        <v>1378</v>
      </c>
      <c r="F881" s="14">
        <v>9</v>
      </c>
      <c r="G881" s="14">
        <v>15605</v>
      </c>
      <c r="H881" s="14">
        <v>0.564940208073253</v>
      </c>
      <c r="I881" s="14">
        <v>0.911965910022374</v>
      </c>
      <c r="J881" s="14">
        <v>1.25826479600065</v>
      </c>
      <c r="K881" s="14" t="s">
        <v>5423</v>
      </c>
    </row>
    <row r="882" spans="1:11">
      <c r="A882" s="14" t="s">
        <v>18342</v>
      </c>
      <c r="B882" s="14" t="s">
        <v>18343</v>
      </c>
      <c r="C882" s="14" t="s">
        <v>16090</v>
      </c>
      <c r="D882" s="14">
        <v>1</v>
      </c>
      <c r="E882" s="14">
        <v>1378</v>
      </c>
      <c r="F882" s="14">
        <v>9</v>
      </c>
      <c r="G882" s="14">
        <v>15605</v>
      </c>
      <c r="H882" s="14">
        <v>0.564940208073253</v>
      </c>
      <c r="I882" s="14">
        <v>0.911965910022374</v>
      </c>
      <c r="J882" s="14">
        <v>1.25826479600065</v>
      </c>
      <c r="K882" s="14" t="s">
        <v>9078</v>
      </c>
    </row>
    <row r="883" spans="1:11">
      <c r="A883" s="14" t="s">
        <v>18344</v>
      </c>
      <c r="B883" s="14" t="s">
        <v>18345</v>
      </c>
      <c r="C883" s="14" t="s">
        <v>16096</v>
      </c>
      <c r="D883" s="14">
        <v>1</v>
      </c>
      <c r="E883" s="14">
        <v>1378</v>
      </c>
      <c r="F883" s="14">
        <v>9</v>
      </c>
      <c r="G883" s="14">
        <v>15605</v>
      </c>
      <c r="H883" s="14">
        <v>0.564940208073253</v>
      </c>
      <c r="I883" s="14">
        <v>0.911965910022374</v>
      </c>
      <c r="J883" s="14">
        <v>1.25826479600065</v>
      </c>
      <c r="K883" s="14" t="s">
        <v>4385</v>
      </c>
    </row>
    <row r="884" spans="1:11">
      <c r="A884" s="14" t="s">
        <v>18346</v>
      </c>
      <c r="B884" s="14" t="s">
        <v>18347</v>
      </c>
      <c r="C884" s="14" t="s">
        <v>16090</v>
      </c>
      <c r="D884" s="14">
        <v>1</v>
      </c>
      <c r="E884" s="14">
        <v>1378</v>
      </c>
      <c r="F884" s="14">
        <v>9</v>
      </c>
      <c r="G884" s="14">
        <v>15605</v>
      </c>
      <c r="H884" s="14">
        <v>0.564940208073253</v>
      </c>
      <c r="I884" s="14">
        <v>0.911965910022374</v>
      </c>
      <c r="J884" s="14">
        <v>1.25826479600065</v>
      </c>
      <c r="K884" s="14" t="s">
        <v>10358</v>
      </c>
    </row>
    <row r="885" spans="1:11">
      <c r="A885" s="14" t="s">
        <v>18348</v>
      </c>
      <c r="B885" s="14" t="s">
        <v>18349</v>
      </c>
      <c r="C885" s="14" t="s">
        <v>16090</v>
      </c>
      <c r="D885" s="14">
        <v>1</v>
      </c>
      <c r="E885" s="14">
        <v>1378</v>
      </c>
      <c r="F885" s="14">
        <v>9</v>
      </c>
      <c r="G885" s="14">
        <v>15605</v>
      </c>
      <c r="H885" s="14">
        <v>0.564940208073253</v>
      </c>
      <c r="I885" s="14">
        <v>0.911965910022374</v>
      </c>
      <c r="J885" s="14">
        <v>1.25826479600065</v>
      </c>
      <c r="K885" s="14" t="s">
        <v>6699</v>
      </c>
    </row>
    <row r="886" spans="1:11">
      <c r="A886" s="14" t="s">
        <v>18350</v>
      </c>
      <c r="B886" s="14" t="s">
        <v>18351</v>
      </c>
      <c r="C886" s="14" t="s">
        <v>16096</v>
      </c>
      <c r="D886" s="14">
        <v>1</v>
      </c>
      <c r="E886" s="14">
        <v>1378</v>
      </c>
      <c r="F886" s="14">
        <v>9</v>
      </c>
      <c r="G886" s="14">
        <v>15605</v>
      </c>
      <c r="H886" s="14">
        <v>0.564940208073253</v>
      </c>
      <c r="I886" s="14">
        <v>0.911965910022374</v>
      </c>
      <c r="J886" s="14">
        <v>1.25826479600065</v>
      </c>
      <c r="K886" s="14" t="s">
        <v>15084</v>
      </c>
    </row>
    <row r="887" spans="1:11">
      <c r="A887" s="14" t="s">
        <v>18352</v>
      </c>
      <c r="B887" s="14" t="s">
        <v>18353</v>
      </c>
      <c r="C887" s="14" t="s">
        <v>16090</v>
      </c>
      <c r="D887" s="14">
        <v>1</v>
      </c>
      <c r="E887" s="14">
        <v>1378</v>
      </c>
      <c r="F887" s="14">
        <v>9</v>
      </c>
      <c r="G887" s="14">
        <v>15605</v>
      </c>
      <c r="H887" s="14">
        <v>0.564940208073253</v>
      </c>
      <c r="I887" s="14">
        <v>0.911965910022374</v>
      </c>
      <c r="J887" s="14">
        <v>1.25826479600065</v>
      </c>
      <c r="K887" s="14" t="s">
        <v>13350</v>
      </c>
    </row>
    <row r="888" spans="1:11">
      <c r="A888" s="14" t="s">
        <v>18354</v>
      </c>
      <c r="B888" s="14" t="s">
        <v>18355</v>
      </c>
      <c r="C888" s="14" t="s">
        <v>16090</v>
      </c>
      <c r="D888" s="14">
        <v>1</v>
      </c>
      <c r="E888" s="14">
        <v>1378</v>
      </c>
      <c r="F888" s="14">
        <v>9</v>
      </c>
      <c r="G888" s="14">
        <v>15605</v>
      </c>
      <c r="H888" s="14">
        <v>0.564940208073253</v>
      </c>
      <c r="I888" s="14">
        <v>0.911965910022374</v>
      </c>
      <c r="J888" s="14">
        <v>1.25826479600065</v>
      </c>
      <c r="K888" s="14" t="s">
        <v>11902</v>
      </c>
    </row>
    <row r="889" spans="1:11">
      <c r="A889" s="14" t="s">
        <v>18356</v>
      </c>
      <c r="B889" s="14" t="s">
        <v>18357</v>
      </c>
      <c r="C889" s="14" t="s">
        <v>16090</v>
      </c>
      <c r="D889" s="14">
        <v>1</v>
      </c>
      <c r="E889" s="14">
        <v>1378</v>
      </c>
      <c r="F889" s="14">
        <v>9</v>
      </c>
      <c r="G889" s="14">
        <v>15605</v>
      </c>
      <c r="H889" s="14">
        <v>0.564940208073253</v>
      </c>
      <c r="I889" s="14">
        <v>0.911965910022374</v>
      </c>
      <c r="J889" s="14">
        <v>1.25826479600065</v>
      </c>
      <c r="K889" s="14" t="s">
        <v>15253</v>
      </c>
    </row>
    <row r="890" spans="1:11">
      <c r="A890" s="14" t="s">
        <v>18358</v>
      </c>
      <c r="B890" s="14" t="s">
        <v>18359</v>
      </c>
      <c r="C890" s="14" t="s">
        <v>16086</v>
      </c>
      <c r="D890" s="14">
        <v>1</v>
      </c>
      <c r="E890" s="14">
        <v>1378</v>
      </c>
      <c r="F890" s="14">
        <v>9</v>
      </c>
      <c r="G890" s="14">
        <v>15605</v>
      </c>
      <c r="H890" s="14">
        <v>0.564940208073253</v>
      </c>
      <c r="I890" s="14">
        <v>0.911965910022374</v>
      </c>
      <c r="J890" s="14">
        <v>1.25826479600065</v>
      </c>
      <c r="K890" s="14" t="s">
        <v>8663</v>
      </c>
    </row>
    <row r="891" spans="1:11">
      <c r="A891" s="14" t="s">
        <v>18360</v>
      </c>
      <c r="B891" s="14" t="s">
        <v>18361</v>
      </c>
      <c r="C891" s="14" t="s">
        <v>16090</v>
      </c>
      <c r="D891" s="14">
        <v>1</v>
      </c>
      <c r="E891" s="14">
        <v>1378</v>
      </c>
      <c r="F891" s="14">
        <v>9</v>
      </c>
      <c r="G891" s="14">
        <v>15605</v>
      </c>
      <c r="H891" s="14">
        <v>0.564940208073253</v>
      </c>
      <c r="I891" s="14">
        <v>0.911965910022374</v>
      </c>
      <c r="J891" s="14">
        <v>1.25826479600065</v>
      </c>
      <c r="K891" s="14" t="s">
        <v>3327</v>
      </c>
    </row>
    <row r="892" spans="1:11">
      <c r="A892" s="14" t="s">
        <v>18362</v>
      </c>
      <c r="B892" s="14" t="s">
        <v>18363</v>
      </c>
      <c r="C892" s="14" t="s">
        <v>16090</v>
      </c>
      <c r="D892" s="14">
        <v>1</v>
      </c>
      <c r="E892" s="14">
        <v>1378</v>
      </c>
      <c r="F892" s="14">
        <v>9</v>
      </c>
      <c r="G892" s="14">
        <v>15605</v>
      </c>
      <c r="H892" s="14">
        <v>0.564940208073253</v>
      </c>
      <c r="I892" s="14">
        <v>0.911965910022374</v>
      </c>
      <c r="J892" s="14">
        <v>1.25826479600065</v>
      </c>
      <c r="K892" s="14" t="s">
        <v>15794</v>
      </c>
    </row>
    <row r="893" spans="1:11">
      <c r="A893" s="14" t="s">
        <v>18364</v>
      </c>
      <c r="B893" s="14" t="s">
        <v>18365</v>
      </c>
      <c r="C893" s="14" t="s">
        <v>16090</v>
      </c>
      <c r="D893" s="14">
        <v>1</v>
      </c>
      <c r="E893" s="14">
        <v>1378</v>
      </c>
      <c r="F893" s="14">
        <v>9</v>
      </c>
      <c r="G893" s="14">
        <v>15605</v>
      </c>
      <c r="H893" s="14">
        <v>0.564940208073253</v>
      </c>
      <c r="I893" s="14">
        <v>0.911965910022374</v>
      </c>
      <c r="J893" s="14">
        <v>1.25826479600065</v>
      </c>
      <c r="K893" s="14" t="s">
        <v>15666</v>
      </c>
    </row>
    <row r="894" spans="1:11">
      <c r="A894" s="14" t="s">
        <v>18366</v>
      </c>
      <c r="B894" s="14" t="s">
        <v>18367</v>
      </c>
      <c r="C894" s="14" t="s">
        <v>16090</v>
      </c>
      <c r="D894" s="14">
        <v>1</v>
      </c>
      <c r="E894" s="14">
        <v>1378</v>
      </c>
      <c r="F894" s="14">
        <v>9</v>
      </c>
      <c r="G894" s="14">
        <v>15605</v>
      </c>
      <c r="H894" s="14">
        <v>0.564940208073253</v>
      </c>
      <c r="I894" s="14">
        <v>0.911965910022374</v>
      </c>
      <c r="J894" s="14">
        <v>1.25826479600065</v>
      </c>
      <c r="K894" s="14" t="s">
        <v>6617</v>
      </c>
    </row>
    <row r="895" spans="1:11">
      <c r="A895" s="14" t="s">
        <v>18368</v>
      </c>
      <c r="B895" s="14" t="s">
        <v>18369</v>
      </c>
      <c r="C895" s="14" t="s">
        <v>16086</v>
      </c>
      <c r="D895" s="14">
        <v>1</v>
      </c>
      <c r="E895" s="14">
        <v>1378</v>
      </c>
      <c r="F895" s="14">
        <v>9</v>
      </c>
      <c r="G895" s="14">
        <v>15605</v>
      </c>
      <c r="H895" s="14">
        <v>0.564940208073253</v>
      </c>
      <c r="I895" s="14">
        <v>0.911965910022374</v>
      </c>
      <c r="J895" s="14">
        <v>1.25826479600065</v>
      </c>
      <c r="K895" s="14" t="s">
        <v>14833</v>
      </c>
    </row>
    <row r="896" spans="1:11">
      <c r="A896" s="14" t="s">
        <v>18370</v>
      </c>
      <c r="B896" s="14" t="s">
        <v>18371</v>
      </c>
      <c r="C896" s="14" t="s">
        <v>16096</v>
      </c>
      <c r="D896" s="14">
        <v>1</v>
      </c>
      <c r="E896" s="14">
        <v>1378</v>
      </c>
      <c r="F896" s="14">
        <v>9</v>
      </c>
      <c r="G896" s="14">
        <v>15605</v>
      </c>
      <c r="H896" s="14">
        <v>0.564940208073253</v>
      </c>
      <c r="I896" s="14">
        <v>0.911965910022374</v>
      </c>
      <c r="J896" s="14">
        <v>1.25826479600065</v>
      </c>
      <c r="K896" s="14" t="s">
        <v>10581</v>
      </c>
    </row>
    <row r="897" spans="1:11">
      <c r="A897" s="14" t="s">
        <v>18372</v>
      </c>
      <c r="B897" s="14" t="s">
        <v>18373</v>
      </c>
      <c r="C897" s="14" t="s">
        <v>16090</v>
      </c>
      <c r="D897" s="14">
        <v>1</v>
      </c>
      <c r="E897" s="14">
        <v>1378</v>
      </c>
      <c r="F897" s="14">
        <v>9</v>
      </c>
      <c r="G897" s="14">
        <v>15605</v>
      </c>
      <c r="H897" s="14">
        <v>0.564940208073253</v>
      </c>
      <c r="I897" s="14">
        <v>0.911965910022374</v>
      </c>
      <c r="J897" s="14">
        <v>1.25826479600065</v>
      </c>
      <c r="K897" s="14" t="s">
        <v>12407</v>
      </c>
    </row>
    <row r="898" spans="1:11">
      <c r="A898" s="14" t="s">
        <v>18374</v>
      </c>
      <c r="B898" s="14" t="s">
        <v>18375</v>
      </c>
      <c r="C898" s="14" t="s">
        <v>16086</v>
      </c>
      <c r="D898" s="14">
        <v>1</v>
      </c>
      <c r="E898" s="14">
        <v>1378</v>
      </c>
      <c r="F898" s="14">
        <v>9</v>
      </c>
      <c r="G898" s="14">
        <v>15605</v>
      </c>
      <c r="H898" s="14">
        <v>0.564940208073253</v>
      </c>
      <c r="I898" s="14">
        <v>0.911965910022374</v>
      </c>
      <c r="J898" s="14">
        <v>1.25826479600065</v>
      </c>
      <c r="K898" s="14" t="s">
        <v>6752</v>
      </c>
    </row>
    <row r="899" spans="1:11">
      <c r="A899" s="14" t="s">
        <v>18376</v>
      </c>
      <c r="B899" s="14" t="s">
        <v>18377</v>
      </c>
      <c r="C899" s="14" t="s">
        <v>16090</v>
      </c>
      <c r="D899" s="14">
        <v>1</v>
      </c>
      <c r="E899" s="14">
        <v>1378</v>
      </c>
      <c r="F899" s="14">
        <v>9</v>
      </c>
      <c r="G899" s="14">
        <v>15605</v>
      </c>
      <c r="H899" s="14">
        <v>0.564940208073253</v>
      </c>
      <c r="I899" s="14">
        <v>0.911965910022374</v>
      </c>
      <c r="J899" s="14">
        <v>1.25826479600065</v>
      </c>
      <c r="K899" s="14" t="s">
        <v>1873</v>
      </c>
    </row>
    <row r="900" spans="1:11">
      <c r="A900" s="14" t="s">
        <v>18378</v>
      </c>
      <c r="B900" s="14" t="s">
        <v>18379</v>
      </c>
      <c r="C900" s="14" t="s">
        <v>16096</v>
      </c>
      <c r="D900" s="14">
        <v>3</v>
      </c>
      <c r="E900" s="14">
        <v>1378</v>
      </c>
      <c r="F900" s="14">
        <v>33</v>
      </c>
      <c r="G900" s="14">
        <v>15605</v>
      </c>
      <c r="H900" s="14">
        <v>0.567254546052999</v>
      </c>
      <c r="I900" s="14">
        <v>0.914682163346038</v>
      </c>
      <c r="J900" s="14">
        <v>1.02948937854598</v>
      </c>
      <c r="K900" s="14" t="s">
        <v>17228</v>
      </c>
    </row>
    <row r="901" spans="1:11">
      <c r="A901" s="14" t="s">
        <v>18380</v>
      </c>
      <c r="B901" s="14" t="s">
        <v>18381</v>
      </c>
      <c r="C901" s="14" t="s">
        <v>16086</v>
      </c>
      <c r="D901" s="14">
        <v>4</v>
      </c>
      <c r="E901" s="14">
        <v>1378</v>
      </c>
      <c r="F901" s="14">
        <v>45</v>
      </c>
      <c r="G901" s="14">
        <v>15605</v>
      </c>
      <c r="H901" s="14">
        <v>0.570529360111375</v>
      </c>
      <c r="I901" s="14">
        <v>0.91748957416411</v>
      </c>
      <c r="J901" s="14">
        <v>1.00661183680052</v>
      </c>
      <c r="K901" s="14" t="s">
        <v>18382</v>
      </c>
    </row>
    <row r="902" spans="1:11">
      <c r="A902" s="14" t="s">
        <v>18383</v>
      </c>
      <c r="B902" s="14" t="s">
        <v>18384</v>
      </c>
      <c r="C902" s="14" t="s">
        <v>16086</v>
      </c>
      <c r="D902" s="14">
        <v>4</v>
      </c>
      <c r="E902" s="14">
        <v>1378</v>
      </c>
      <c r="F902" s="14">
        <v>45</v>
      </c>
      <c r="G902" s="14">
        <v>15605</v>
      </c>
      <c r="H902" s="14">
        <v>0.570529360111375</v>
      </c>
      <c r="I902" s="14">
        <v>0.91748957416411</v>
      </c>
      <c r="J902" s="14">
        <v>1.00661183680052</v>
      </c>
      <c r="K902" s="14" t="s">
        <v>18385</v>
      </c>
    </row>
    <row r="903" spans="1:11">
      <c r="A903" s="14" t="s">
        <v>18386</v>
      </c>
      <c r="B903" s="14" t="s">
        <v>18387</v>
      </c>
      <c r="C903" s="14" t="s">
        <v>16086</v>
      </c>
      <c r="D903" s="14">
        <v>17</v>
      </c>
      <c r="E903" s="14">
        <v>1378</v>
      </c>
      <c r="F903" s="14">
        <v>197</v>
      </c>
      <c r="G903" s="14">
        <v>15605</v>
      </c>
      <c r="H903" s="14">
        <v>0.57682470014688</v>
      </c>
      <c r="I903" s="14">
        <v>0.91748957416411</v>
      </c>
      <c r="J903" s="14">
        <v>0.977231034457354</v>
      </c>
      <c r="K903" s="14" t="s">
        <v>18388</v>
      </c>
    </row>
    <row r="904" spans="1:11">
      <c r="A904" s="14" t="s">
        <v>18389</v>
      </c>
      <c r="B904" s="14" t="s">
        <v>18390</v>
      </c>
      <c r="C904" s="14" t="s">
        <v>16090</v>
      </c>
      <c r="D904" s="14">
        <v>12</v>
      </c>
      <c r="E904" s="14">
        <v>1378</v>
      </c>
      <c r="F904" s="14">
        <v>140</v>
      </c>
      <c r="G904" s="14">
        <v>15605</v>
      </c>
      <c r="H904" s="14">
        <v>0.586877794882258</v>
      </c>
      <c r="I904" s="14">
        <v>0.91748957416411</v>
      </c>
      <c r="J904" s="14">
        <v>0.970661414057641</v>
      </c>
      <c r="K904" s="14" t="s">
        <v>18391</v>
      </c>
    </row>
    <row r="905" spans="1:11">
      <c r="A905" s="14" t="s">
        <v>18392</v>
      </c>
      <c r="B905" s="14" t="s">
        <v>18393</v>
      </c>
      <c r="C905" s="14" t="s">
        <v>16090</v>
      </c>
      <c r="D905" s="14">
        <v>3</v>
      </c>
      <c r="E905" s="14">
        <v>1378</v>
      </c>
      <c r="F905" s="14">
        <v>34</v>
      </c>
      <c r="G905" s="14">
        <v>15605</v>
      </c>
      <c r="H905" s="14">
        <v>0.587975025833657</v>
      </c>
      <c r="I905" s="14">
        <v>0.91748957416411</v>
      </c>
      <c r="J905" s="14">
        <v>0.999210279176983</v>
      </c>
      <c r="K905" s="14" t="s">
        <v>18394</v>
      </c>
    </row>
    <row r="906" spans="1:11">
      <c r="A906" s="14" t="s">
        <v>18395</v>
      </c>
      <c r="B906" s="14" t="s">
        <v>18396</v>
      </c>
      <c r="C906" s="14" t="s">
        <v>16086</v>
      </c>
      <c r="D906" s="14">
        <v>3</v>
      </c>
      <c r="E906" s="14">
        <v>1378</v>
      </c>
      <c r="F906" s="14">
        <v>34</v>
      </c>
      <c r="G906" s="14">
        <v>15605</v>
      </c>
      <c r="H906" s="14">
        <v>0.587975025833657</v>
      </c>
      <c r="I906" s="14">
        <v>0.91748957416411</v>
      </c>
      <c r="J906" s="14">
        <v>0.999210279176983</v>
      </c>
      <c r="K906" s="14" t="s">
        <v>18397</v>
      </c>
    </row>
    <row r="907" spans="1:11">
      <c r="A907" s="14" t="s">
        <v>18398</v>
      </c>
      <c r="B907" s="14" t="s">
        <v>18399</v>
      </c>
      <c r="C907" s="14" t="s">
        <v>16090</v>
      </c>
      <c r="D907" s="14">
        <v>2</v>
      </c>
      <c r="E907" s="14">
        <v>1378</v>
      </c>
      <c r="F907" s="14">
        <v>22</v>
      </c>
      <c r="G907" s="14">
        <v>15605</v>
      </c>
      <c r="H907" s="14">
        <v>0.590579243055292</v>
      </c>
      <c r="I907" s="14">
        <v>0.91748957416411</v>
      </c>
      <c r="J907" s="14">
        <v>1.02948937854598</v>
      </c>
      <c r="K907" s="14" t="s">
        <v>18400</v>
      </c>
    </row>
    <row r="908" spans="1:11">
      <c r="A908" s="14" t="s">
        <v>18401</v>
      </c>
      <c r="B908" s="14" t="s">
        <v>18402</v>
      </c>
      <c r="C908" s="14" t="s">
        <v>16090</v>
      </c>
      <c r="D908" s="14">
        <v>2</v>
      </c>
      <c r="E908" s="14">
        <v>1378</v>
      </c>
      <c r="F908" s="14">
        <v>22</v>
      </c>
      <c r="G908" s="14">
        <v>15605</v>
      </c>
      <c r="H908" s="14">
        <v>0.590579243055292</v>
      </c>
      <c r="I908" s="14">
        <v>0.91748957416411</v>
      </c>
      <c r="J908" s="14">
        <v>1.02948937854598</v>
      </c>
      <c r="K908" s="14" t="s">
        <v>18403</v>
      </c>
    </row>
    <row r="909" spans="1:11">
      <c r="A909" s="14" t="s">
        <v>18404</v>
      </c>
      <c r="B909" s="14" t="s">
        <v>18405</v>
      </c>
      <c r="C909" s="14" t="s">
        <v>16090</v>
      </c>
      <c r="D909" s="14">
        <v>2</v>
      </c>
      <c r="E909" s="14">
        <v>1378</v>
      </c>
      <c r="F909" s="14">
        <v>22</v>
      </c>
      <c r="G909" s="14">
        <v>15605</v>
      </c>
      <c r="H909" s="14">
        <v>0.590579243055292</v>
      </c>
      <c r="I909" s="14">
        <v>0.91748957416411</v>
      </c>
      <c r="J909" s="14">
        <v>1.02948937854598</v>
      </c>
      <c r="K909" s="14" t="s">
        <v>18406</v>
      </c>
    </row>
    <row r="910" spans="1:11">
      <c r="A910" s="14" t="s">
        <v>18407</v>
      </c>
      <c r="B910" s="14" t="s">
        <v>18408</v>
      </c>
      <c r="C910" s="14" t="s">
        <v>16086</v>
      </c>
      <c r="D910" s="14">
        <v>2</v>
      </c>
      <c r="E910" s="14">
        <v>1378</v>
      </c>
      <c r="F910" s="14">
        <v>22</v>
      </c>
      <c r="G910" s="14">
        <v>15605</v>
      </c>
      <c r="H910" s="14">
        <v>0.590579243055292</v>
      </c>
      <c r="I910" s="14">
        <v>0.91748957416411</v>
      </c>
      <c r="J910" s="14">
        <v>1.02948937854598</v>
      </c>
      <c r="K910" s="14" t="s">
        <v>18409</v>
      </c>
    </row>
    <row r="911" spans="1:11">
      <c r="A911" s="14" t="s">
        <v>18410</v>
      </c>
      <c r="B911" s="14" t="s">
        <v>18411</v>
      </c>
      <c r="C911" s="14" t="s">
        <v>16090</v>
      </c>
      <c r="D911" s="14">
        <v>2</v>
      </c>
      <c r="E911" s="14">
        <v>1378</v>
      </c>
      <c r="F911" s="14">
        <v>22</v>
      </c>
      <c r="G911" s="14">
        <v>15605</v>
      </c>
      <c r="H911" s="14">
        <v>0.590579243055292</v>
      </c>
      <c r="I911" s="14">
        <v>0.91748957416411</v>
      </c>
      <c r="J911" s="14">
        <v>1.02948937854598</v>
      </c>
      <c r="K911" s="14" t="s">
        <v>18412</v>
      </c>
    </row>
    <row r="912" spans="1:11">
      <c r="A912" s="14" t="s">
        <v>18413</v>
      </c>
      <c r="B912" s="14" t="s">
        <v>18414</v>
      </c>
      <c r="C912" s="14" t="s">
        <v>16086</v>
      </c>
      <c r="D912" s="14">
        <v>2</v>
      </c>
      <c r="E912" s="14">
        <v>1378</v>
      </c>
      <c r="F912" s="14">
        <v>22</v>
      </c>
      <c r="G912" s="14">
        <v>15605</v>
      </c>
      <c r="H912" s="14">
        <v>0.590579243055292</v>
      </c>
      <c r="I912" s="14">
        <v>0.91748957416411</v>
      </c>
      <c r="J912" s="14">
        <v>1.02948937854598</v>
      </c>
      <c r="K912" s="14" t="s">
        <v>18415</v>
      </c>
    </row>
    <row r="913" spans="1:11">
      <c r="A913" s="14" t="s">
        <v>18416</v>
      </c>
      <c r="B913" s="14" t="s">
        <v>18417</v>
      </c>
      <c r="C913" s="14" t="s">
        <v>16096</v>
      </c>
      <c r="D913" s="14">
        <v>2</v>
      </c>
      <c r="E913" s="14">
        <v>1378</v>
      </c>
      <c r="F913" s="14">
        <v>22</v>
      </c>
      <c r="G913" s="14">
        <v>15605</v>
      </c>
      <c r="H913" s="14">
        <v>0.590579243055292</v>
      </c>
      <c r="I913" s="14">
        <v>0.91748957416411</v>
      </c>
      <c r="J913" s="14">
        <v>1.02948937854598</v>
      </c>
      <c r="K913" s="14" t="s">
        <v>17287</v>
      </c>
    </row>
    <row r="914" spans="1:11">
      <c r="A914" s="14" t="s">
        <v>18418</v>
      </c>
      <c r="B914" s="14" t="s">
        <v>18419</v>
      </c>
      <c r="C914" s="14" t="s">
        <v>16090</v>
      </c>
      <c r="D914" s="14">
        <v>2</v>
      </c>
      <c r="E914" s="14">
        <v>1378</v>
      </c>
      <c r="F914" s="14">
        <v>22</v>
      </c>
      <c r="G914" s="14">
        <v>15605</v>
      </c>
      <c r="H914" s="14">
        <v>0.590579243055292</v>
      </c>
      <c r="I914" s="14">
        <v>0.91748957416411</v>
      </c>
      <c r="J914" s="14">
        <v>1.02948937854598</v>
      </c>
      <c r="K914" s="14" t="s">
        <v>18262</v>
      </c>
    </row>
    <row r="915" spans="1:11">
      <c r="A915" s="14" t="s">
        <v>18420</v>
      </c>
      <c r="B915" s="14" t="s">
        <v>18421</v>
      </c>
      <c r="C915" s="14" t="s">
        <v>16090</v>
      </c>
      <c r="D915" s="14">
        <v>6</v>
      </c>
      <c r="E915" s="14">
        <v>1378</v>
      </c>
      <c r="F915" s="14">
        <v>70</v>
      </c>
      <c r="G915" s="14">
        <v>15605</v>
      </c>
      <c r="H915" s="14">
        <v>0.591934413605891</v>
      </c>
      <c r="I915" s="14">
        <v>0.91748957416411</v>
      </c>
      <c r="J915" s="14">
        <v>0.970661414057641</v>
      </c>
      <c r="K915" s="14" t="s">
        <v>18422</v>
      </c>
    </row>
    <row r="916" spans="1:11">
      <c r="A916" s="14" t="s">
        <v>18423</v>
      </c>
      <c r="B916" s="14" t="s">
        <v>18424</v>
      </c>
      <c r="C916" s="14" t="s">
        <v>16086</v>
      </c>
      <c r="D916" s="14">
        <v>14</v>
      </c>
      <c r="E916" s="14">
        <v>1378</v>
      </c>
      <c r="F916" s="14">
        <v>165</v>
      </c>
      <c r="G916" s="14">
        <v>15605</v>
      </c>
      <c r="H916" s="14">
        <v>0.602790550536176</v>
      </c>
      <c r="I916" s="14">
        <v>0.91748957416411</v>
      </c>
      <c r="J916" s="14">
        <v>0.960856753309584</v>
      </c>
      <c r="K916" s="14" t="s">
        <v>18425</v>
      </c>
    </row>
    <row r="917" spans="1:11">
      <c r="A917" s="14" t="s">
        <v>18426</v>
      </c>
      <c r="B917" s="14" t="s">
        <v>18427</v>
      </c>
      <c r="C917" s="14" t="s">
        <v>16086</v>
      </c>
      <c r="D917" s="14">
        <v>1</v>
      </c>
      <c r="E917" s="14">
        <v>1378</v>
      </c>
      <c r="F917" s="14">
        <v>10</v>
      </c>
      <c r="G917" s="14">
        <v>15605</v>
      </c>
      <c r="H917" s="14">
        <v>0.603380346139107</v>
      </c>
      <c r="I917" s="14">
        <v>0.91748957416411</v>
      </c>
      <c r="J917" s="14">
        <v>1.13243831640058</v>
      </c>
      <c r="K917" s="14" t="s">
        <v>5528</v>
      </c>
    </row>
    <row r="918" spans="1:11">
      <c r="A918" s="14" t="s">
        <v>18428</v>
      </c>
      <c r="B918" s="14" t="s">
        <v>18429</v>
      </c>
      <c r="C918" s="14" t="s">
        <v>16086</v>
      </c>
      <c r="D918" s="14">
        <v>1</v>
      </c>
      <c r="E918" s="14">
        <v>1378</v>
      </c>
      <c r="F918" s="14">
        <v>10</v>
      </c>
      <c r="G918" s="14">
        <v>15605</v>
      </c>
      <c r="H918" s="14">
        <v>0.603380346139107</v>
      </c>
      <c r="I918" s="14">
        <v>0.91748957416411</v>
      </c>
      <c r="J918" s="14">
        <v>1.13243831640058</v>
      </c>
      <c r="K918" s="14" t="s">
        <v>6364</v>
      </c>
    </row>
    <row r="919" spans="1:11">
      <c r="A919" s="14" t="s">
        <v>18430</v>
      </c>
      <c r="B919" s="14" t="s">
        <v>18431</v>
      </c>
      <c r="C919" s="14" t="s">
        <v>16090</v>
      </c>
      <c r="D919" s="14">
        <v>1</v>
      </c>
      <c r="E919" s="14">
        <v>1378</v>
      </c>
      <c r="F919" s="14">
        <v>10</v>
      </c>
      <c r="G919" s="14">
        <v>15605</v>
      </c>
      <c r="H919" s="14">
        <v>0.603380346139107</v>
      </c>
      <c r="I919" s="14">
        <v>0.91748957416411</v>
      </c>
      <c r="J919" s="14">
        <v>1.13243831640058</v>
      </c>
      <c r="K919" s="14" t="s">
        <v>298</v>
      </c>
    </row>
    <row r="920" spans="1:11">
      <c r="A920" s="14" t="s">
        <v>18432</v>
      </c>
      <c r="B920" s="14" t="s">
        <v>18433</v>
      </c>
      <c r="C920" s="14" t="s">
        <v>16090</v>
      </c>
      <c r="D920" s="14">
        <v>1</v>
      </c>
      <c r="E920" s="14">
        <v>1378</v>
      </c>
      <c r="F920" s="14">
        <v>10</v>
      </c>
      <c r="G920" s="14">
        <v>15605</v>
      </c>
      <c r="H920" s="14">
        <v>0.603380346139107</v>
      </c>
      <c r="I920" s="14">
        <v>0.91748957416411</v>
      </c>
      <c r="J920" s="14">
        <v>1.13243831640058</v>
      </c>
      <c r="K920" s="14" t="s">
        <v>3277</v>
      </c>
    </row>
    <row r="921" spans="1:11">
      <c r="A921" s="14" t="s">
        <v>18434</v>
      </c>
      <c r="B921" s="14" t="s">
        <v>18435</v>
      </c>
      <c r="C921" s="14" t="s">
        <v>16090</v>
      </c>
      <c r="D921" s="14">
        <v>1</v>
      </c>
      <c r="E921" s="14">
        <v>1378</v>
      </c>
      <c r="F921" s="14">
        <v>10</v>
      </c>
      <c r="G921" s="14">
        <v>15605</v>
      </c>
      <c r="H921" s="14">
        <v>0.603380346139107</v>
      </c>
      <c r="I921" s="14">
        <v>0.91748957416411</v>
      </c>
      <c r="J921" s="14">
        <v>1.13243831640058</v>
      </c>
      <c r="K921" s="14" t="s">
        <v>14133</v>
      </c>
    </row>
    <row r="922" spans="1:11">
      <c r="A922" s="14" t="s">
        <v>18436</v>
      </c>
      <c r="B922" s="14" t="s">
        <v>18437</v>
      </c>
      <c r="C922" s="14" t="s">
        <v>16090</v>
      </c>
      <c r="D922" s="14">
        <v>1</v>
      </c>
      <c r="E922" s="14">
        <v>1378</v>
      </c>
      <c r="F922" s="14">
        <v>10</v>
      </c>
      <c r="G922" s="14">
        <v>15605</v>
      </c>
      <c r="H922" s="14">
        <v>0.603380346139107</v>
      </c>
      <c r="I922" s="14">
        <v>0.91748957416411</v>
      </c>
      <c r="J922" s="14">
        <v>1.13243831640058</v>
      </c>
      <c r="K922" s="14" t="s">
        <v>6344</v>
      </c>
    </row>
    <row r="923" spans="1:11">
      <c r="A923" s="14" t="s">
        <v>18438</v>
      </c>
      <c r="B923" s="14" t="s">
        <v>18439</v>
      </c>
      <c r="C923" s="14" t="s">
        <v>16086</v>
      </c>
      <c r="D923" s="14">
        <v>1</v>
      </c>
      <c r="E923" s="14">
        <v>1378</v>
      </c>
      <c r="F923" s="14">
        <v>10</v>
      </c>
      <c r="G923" s="14">
        <v>15605</v>
      </c>
      <c r="H923" s="14">
        <v>0.603380346139107</v>
      </c>
      <c r="I923" s="14">
        <v>0.91748957416411</v>
      </c>
      <c r="J923" s="14">
        <v>1.13243831640058</v>
      </c>
      <c r="K923" s="14" t="s">
        <v>298</v>
      </c>
    </row>
    <row r="924" spans="1:11">
      <c r="A924" s="14" t="s">
        <v>18440</v>
      </c>
      <c r="B924" s="14" t="s">
        <v>18441</v>
      </c>
      <c r="C924" s="14" t="s">
        <v>16086</v>
      </c>
      <c r="D924" s="14">
        <v>1</v>
      </c>
      <c r="E924" s="14">
        <v>1378</v>
      </c>
      <c r="F924" s="14">
        <v>10</v>
      </c>
      <c r="G924" s="14">
        <v>15605</v>
      </c>
      <c r="H924" s="14">
        <v>0.603380346139107</v>
      </c>
      <c r="I924" s="14">
        <v>0.91748957416411</v>
      </c>
      <c r="J924" s="14">
        <v>1.13243831640058</v>
      </c>
      <c r="K924" s="14" t="s">
        <v>3678</v>
      </c>
    </row>
    <row r="925" spans="1:11">
      <c r="A925" s="14" t="s">
        <v>18442</v>
      </c>
      <c r="B925" s="14" t="s">
        <v>18443</v>
      </c>
      <c r="C925" s="14" t="s">
        <v>16090</v>
      </c>
      <c r="D925" s="14">
        <v>1</v>
      </c>
      <c r="E925" s="14">
        <v>1378</v>
      </c>
      <c r="F925" s="14">
        <v>10</v>
      </c>
      <c r="G925" s="14">
        <v>15605</v>
      </c>
      <c r="H925" s="14">
        <v>0.603380346139107</v>
      </c>
      <c r="I925" s="14">
        <v>0.91748957416411</v>
      </c>
      <c r="J925" s="14">
        <v>1.13243831640058</v>
      </c>
      <c r="K925" s="14" t="s">
        <v>1632</v>
      </c>
    </row>
    <row r="926" spans="1:11">
      <c r="A926" s="14" t="s">
        <v>18444</v>
      </c>
      <c r="B926" s="14" t="s">
        <v>18445</v>
      </c>
      <c r="C926" s="14" t="s">
        <v>16090</v>
      </c>
      <c r="D926" s="14">
        <v>1</v>
      </c>
      <c r="E926" s="14">
        <v>1378</v>
      </c>
      <c r="F926" s="14">
        <v>10</v>
      </c>
      <c r="G926" s="14">
        <v>15605</v>
      </c>
      <c r="H926" s="14">
        <v>0.603380346139107</v>
      </c>
      <c r="I926" s="14">
        <v>0.91748957416411</v>
      </c>
      <c r="J926" s="14">
        <v>1.13243831640058</v>
      </c>
      <c r="K926" s="14" t="s">
        <v>10881</v>
      </c>
    </row>
    <row r="927" spans="1:11">
      <c r="A927" s="14" t="s">
        <v>18446</v>
      </c>
      <c r="B927" s="14" t="s">
        <v>18447</v>
      </c>
      <c r="C927" s="14" t="s">
        <v>16090</v>
      </c>
      <c r="D927" s="14">
        <v>1</v>
      </c>
      <c r="E927" s="14">
        <v>1378</v>
      </c>
      <c r="F927" s="14">
        <v>10</v>
      </c>
      <c r="G927" s="14">
        <v>15605</v>
      </c>
      <c r="H927" s="14">
        <v>0.603380346139107</v>
      </c>
      <c r="I927" s="14">
        <v>0.91748957416411</v>
      </c>
      <c r="J927" s="14">
        <v>1.13243831640058</v>
      </c>
      <c r="K927" s="14" t="s">
        <v>12946</v>
      </c>
    </row>
    <row r="928" spans="1:11">
      <c r="A928" s="14" t="s">
        <v>18448</v>
      </c>
      <c r="B928" s="14" t="s">
        <v>18449</v>
      </c>
      <c r="C928" s="14" t="s">
        <v>16090</v>
      </c>
      <c r="D928" s="14">
        <v>1</v>
      </c>
      <c r="E928" s="14">
        <v>1378</v>
      </c>
      <c r="F928" s="14">
        <v>10</v>
      </c>
      <c r="G928" s="14">
        <v>15605</v>
      </c>
      <c r="H928" s="14">
        <v>0.603380346139107</v>
      </c>
      <c r="I928" s="14">
        <v>0.91748957416411</v>
      </c>
      <c r="J928" s="14">
        <v>1.13243831640058</v>
      </c>
      <c r="K928" s="14" t="s">
        <v>13689</v>
      </c>
    </row>
    <row r="929" spans="1:11">
      <c r="A929" s="14" t="s">
        <v>18450</v>
      </c>
      <c r="B929" s="14" t="s">
        <v>18451</v>
      </c>
      <c r="C929" s="14" t="s">
        <v>16090</v>
      </c>
      <c r="D929" s="14">
        <v>1</v>
      </c>
      <c r="E929" s="14">
        <v>1378</v>
      </c>
      <c r="F929" s="14">
        <v>10</v>
      </c>
      <c r="G929" s="14">
        <v>15605</v>
      </c>
      <c r="H929" s="14">
        <v>0.603380346139107</v>
      </c>
      <c r="I929" s="14">
        <v>0.91748957416411</v>
      </c>
      <c r="J929" s="14">
        <v>1.13243831640058</v>
      </c>
      <c r="K929" s="14" t="s">
        <v>13696</v>
      </c>
    </row>
    <row r="930" spans="1:11">
      <c r="A930" s="14" t="s">
        <v>18452</v>
      </c>
      <c r="B930" s="14" t="s">
        <v>18453</v>
      </c>
      <c r="C930" s="14" t="s">
        <v>16086</v>
      </c>
      <c r="D930" s="14">
        <v>1</v>
      </c>
      <c r="E930" s="14">
        <v>1378</v>
      </c>
      <c r="F930" s="14">
        <v>10</v>
      </c>
      <c r="G930" s="14">
        <v>15605</v>
      </c>
      <c r="H930" s="14">
        <v>0.603380346139107</v>
      </c>
      <c r="I930" s="14">
        <v>0.91748957416411</v>
      </c>
      <c r="J930" s="14">
        <v>1.13243831640058</v>
      </c>
      <c r="K930" s="14" t="s">
        <v>6617</v>
      </c>
    </row>
    <row r="931" spans="1:11">
      <c r="A931" s="14" t="s">
        <v>18454</v>
      </c>
      <c r="B931" s="14" t="s">
        <v>18455</v>
      </c>
      <c r="C931" s="14" t="s">
        <v>16090</v>
      </c>
      <c r="D931" s="14">
        <v>1</v>
      </c>
      <c r="E931" s="14">
        <v>1378</v>
      </c>
      <c r="F931" s="14">
        <v>10</v>
      </c>
      <c r="G931" s="14">
        <v>15605</v>
      </c>
      <c r="H931" s="14">
        <v>0.603380346139107</v>
      </c>
      <c r="I931" s="14">
        <v>0.91748957416411</v>
      </c>
      <c r="J931" s="14">
        <v>1.13243831640058</v>
      </c>
      <c r="K931" s="14" t="s">
        <v>6720</v>
      </c>
    </row>
    <row r="932" spans="1:11">
      <c r="A932" s="14" t="s">
        <v>18456</v>
      </c>
      <c r="B932" s="14" t="s">
        <v>18457</v>
      </c>
      <c r="C932" s="14" t="s">
        <v>16090</v>
      </c>
      <c r="D932" s="14">
        <v>1</v>
      </c>
      <c r="E932" s="14">
        <v>1378</v>
      </c>
      <c r="F932" s="14">
        <v>10</v>
      </c>
      <c r="G932" s="14">
        <v>15605</v>
      </c>
      <c r="H932" s="14">
        <v>0.603380346139107</v>
      </c>
      <c r="I932" s="14">
        <v>0.91748957416411</v>
      </c>
      <c r="J932" s="14">
        <v>1.13243831640058</v>
      </c>
      <c r="K932" s="14" t="s">
        <v>6603</v>
      </c>
    </row>
    <row r="933" spans="1:11">
      <c r="A933" s="14" t="s">
        <v>18458</v>
      </c>
      <c r="B933" s="14" t="s">
        <v>18459</v>
      </c>
      <c r="C933" s="14" t="s">
        <v>16090</v>
      </c>
      <c r="D933" s="14">
        <v>1</v>
      </c>
      <c r="E933" s="14">
        <v>1378</v>
      </c>
      <c r="F933" s="14">
        <v>10</v>
      </c>
      <c r="G933" s="14">
        <v>15605</v>
      </c>
      <c r="H933" s="14">
        <v>0.603380346139107</v>
      </c>
      <c r="I933" s="14">
        <v>0.91748957416411</v>
      </c>
      <c r="J933" s="14">
        <v>1.13243831640058</v>
      </c>
      <c r="K933" s="14" t="s">
        <v>7669</v>
      </c>
    </row>
    <row r="934" spans="1:11">
      <c r="A934" s="14" t="s">
        <v>18460</v>
      </c>
      <c r="B934" s="14" t="s">
        <v>18461</v>
      </c>
      <c r="C934" s="14" t="s">
        <v>16086</v>
      </c>
      <c r="D934" s="14">
        <v>1</v>
      </c>
      <c r="E934" s="14">
        <v>1378</v>
      </c>
      <c r="F934" s="14">
        <v>10</v>
      </c>
      <c r="G934" s="14">
        <v>15605</v>
      </c>
      <c r="H934" s="14">
        <v>0.603380346139107</v>
      </c>
      <c r="I934" s="14">
        <v>0.91748957416411</v>
      </c>
      <c r="J934" s="14">
        <v>1.13243831640058</v>
      </c>
      <c r="K934" s="14" t="s">
        <v>6865</v>
      </c>
    </row>
    <row r="935" spans="1:11">
      <c r="A935" s="14" t="s">
        <v>5811</v>
      </c>
      <c r="B935" s="14" t="s">
        <v>5812</v>
      </c>
      <c r="C935" s="14" t="s">
        <v>16086</v>
      </c>
      <c r="D935" s="14">
        <v>1</v>
      </c>
      <c r="E935" s="14">
        <v>1378</v>
      </c>
      <c r="F935" s="14">
        <v>10</v>
      </c>
      <c r="G935" s="14">
        <v>15605</v>
      </c>
      <c r="H935" s="14">
        <v>0.603380346139107</v>
      </c>
      <c r="I935" s="14">
        <v>0.91748957416411</v>
      </c>
      <c r="J935" s="14">
        <v>1.13243831640058</v>
      </c>
      <c r="K935" s="14" t="s">
        <v>926</v>
      </c>
    </row>
    <row r="936" spans="1:11">
      <c r="A936" s="14" t="s">
        <v>18462</v>
      </c>
      <c r="B936" s="14" t="s">
        <v>18463</v>
      </c>
      <c r="C936" s="14" t="s">
        <v>16086</v>
      </c>
      <c r="D936" s="14">
        <v>1</v>
      </c>
      <c r="E936" s="14">
        <v>1378</v>
      </c>
      <c r="F936" s="14">
        <v>10</v>
      </c>
      <c r="G936" s="14">
        <v>15605</v>
      </c>
      <c r="H936" s="14">
        <v>0.603380346139107</v>
      </c>
      <c r="I936" s="14">
        <v>0.91748957416411</v>
      </c>
      <c r="J936" s="14">
        <v>1.13243831640058</v>
      </c>
      <c r="K936" s="14" t="s">
        <v>13594</v>
      </c>
    </row>
    <row r="937" spans="1:11">
      <c r="A937" s="14" t="s">
        <v>18464</v>
      </c>
      <c r="B937" s="14" t="s">
        <v>18465</v>
      </c>
      <c r="C937" s="14" t="s">
        <v>16090</v>
      </c>
      <c r="D937" s="14">
        <v>1</v>
      </c>
      <c r="E937" s="14">
        <v>1378</v>
      </c>
      <c r="F937" s="14">
        <v>10</v>
      </c>
      <c r="G937" s="14">
        <v>15605</v>
      </c>
      <c r="H937" s="14">
        <v>0.603380346139107</v>
      </c>
      <c r="I937" s="14">
        <v>0.91748957416411</v>
      </c>
      <c r="J937" s="14">
        <v>1.13243831640058</v>
      </c>
      <c r="K937" s="14" t="s">
        <v>11038</v>
      </c>
    </row>
    <row r="938" spans="1:11">
      <c r="A938" s="14" t="s">
        <v>18466</v>
      </c>
      <c r="B938" s="14" t="s">
        <v>18467</v>
      </c>
      <c r="C938" s="14" t="s">
        <v>16090</v>
      </c>
      <c r="D938" s="14">
        <v>1</v>
      </c>
      <c r="E938" s="14">
        <v>1378</v>
      </c>
      <c r="F938" s="14">
        <v>10</v>
      </c>
      <c r="G938" s="14">
        <v>15605</v>
      </c>
      <c r="H938" s="14">
        <v>0.603380346139107</v>
      </c>
      <c r="I938" s="14">
        <v>0.91748957416411</v>
      </c>
      <c r="J938" s="14">
        <v>1.13243831640058</v>
      </c>
      <c r="K938" s="14" t="s">
        <v>6389</v>
      </c>
    </row>
    <row r="939" spans="1:11">
      <c r="A939" s="14" t="s">
        <v>18468</v>
      </c>
      <c r="B939" s="14" t="s">
        <v>18469</v>
      </c>
      <c r="C939" s="14" t="s">
        <v>16090</v>
      </c>
      <c r="D939" s="14">
        <v>1</v>
      </c>
      <c r="E939" s="14">
        <v>1378</v>
      </c>
      <c r="F939" s="14">
        <v>10</v>
      </c>
      <c r="G939" s="14">
        <v>15605</v>
      </c>
      <c r="H939" s="14">
        <v>0.603380346139107</v>
      </c>
      <c r="I939" s="14">
        <v>0.91748957416411</v>
      </c>
      <c r="J939" s="14">
        <v>1.13243831640058</v>
      </c>
      <c r="K939" s="14" t="s">
        <v>14138</v>
      </c>
    </row>
    <row r="940" spans="1:11">
      <c r="A940" s="14" t="s">
        <v>18470</v>
      </c>
      <c r="B940" s="14" t="s">
        <v>18471</v>
      </c>
      <c r="C940" s="14" t="s">
        <v>16090</v>
      </c>
      <c r="D940" s="14">
        <v>1</v>
      </c>
      <c r="E940" s="14">
        <v>1378</v>
      </c>
      <c r="F940" s="14">
        <v>10</v>
      </c>
      <c r="G940" s="14">
        <v>15605</v>
      </c>
      <c r="H940" s="14">
        <v>0.603380346139107</v>
      </c>
      <c r="I940" s="14">
        <v>0.91748957416411</v>
      </c>
      <c r="J940" s="14">
        <v>1.13243831640058</v>
      </c>
      <c r="K940" s="14" t="s">
        <v>15989</v>
      </c>
    </row>
    <row r="941" spans="1:11">
      <c r="A941" s="14" t="s">
        <v>18472</v>
      </c>
      <c r="B941" s="14" t="s">
        <v>18473</v>
      </c>
      <c r="C941" s="14" t="s">
        <v>16090</v>
      </c>
      <c r="D941" s="14">
        <v>1</v>
      </c>
      <c r="E941" s="14">
        <v>1378</v>
      </c>
      <c r="F941" s="14">
        <v>10</v>
      </c>
      <c r="G941" s="14">
        <v>15605</v>
      </c>
      <c r="H941" s="14">
        <v>0.603380346139107</v>
      </c>
      <c r="I941" s="14">
        <v>0.91748957416411</v>
      </c>
      <c r="J941" s="14">
        <v>1.13243831640058</v>
      </c>
      <c r="K941" s="14" t="s">
        <v>7930</v>
      </c>
    </row>
    <row r="942" spans="1:11">
      <c r="A942" s="14" t="s">
        <v>18474</v>
      </c>
      <c r="B942" s="14" t="s">
        <v>18475</v>
      </c>
      <c r="C942" s="14" t="s">
        <v>16090</v>
      </c>
      <c r="D942" s="14">
        <v>1</v>
      </c>
      <c r="E942" s="14">
        <v>1378</v>
      </c>
      <c r="F942" s="14">
        <v>10</v>
      </c>
      <c r="G942" s="14">
        <v>15605</v>
      </c>
      <c r="H942" s="14">
        <v>0.603380346139107</v>
      </c>
      <c r="I942" s="14">
        <v>0.91748957416411</v>
      </c>
      <c r="J942" s="14">
        <v>1.13243831640058</v>
      </c>
      <c r="K942" s="14" t="s">
        <v>4169</v>
      </c>
    </row>
    <row r="943" spans="1:11">
      <c r="A943" s="14" t="s">
        <v>18476</v>
      </c>
      <c r="B943" s="14" t="s">
        <v>18477</v>
      </c>
      <c r="C943" s="14" t="s">
        <v>16090</v>
      </c>
      <c r="D943" s="14">
        <v>1</v>
      </c>
      <c r="E943" s="14">
        <v>1378</v>
      </c>
      <c r="F943" s="14">
        <v>10</v>
      </c>
      <c r="G943" s="14">
        <v>15605</v>
      </c>
      <c r="H943" s="14">
        <v>0.603380346139107</v>
      </c>
      <c r="I943" s="14">
        <v>0.91748957416411</v>
      </c>
      <c r="J943" s="14">
        <v>1.13243831640058</v>
      </c>
      <c r="K943" s="14" t="s">
        <v>4872</v>
      </c>
    </row>
    <row r="944" spans="1:11">
      <c r="A944" s="14" t="s">
        <v>18478</v>
      </c>
      <c r="B944" s="14" t="s">
        <v>18479</v>
      </c>
      <c r="C944" s="14" t="s">
        <v>16090</v>
      </c>
      <c r="D944" s="14">
        <v>1</v>
      </c>
      <c r="E944" s="14">
        <v>1378</v>
      </c>
      <c r="F944" s="14">
        <v>10</v>
      </c>
      <c r="G944" s="14">
        <v>15605</v>
      </c>
      <c r="H944" s="14">
        <v>0.603380346139107</v>
      </c>
      <c r="I944" s="14">
        <v>0.91748957416411</v>
      </c>
      <c r="J944" s="14">
        <v>1.13243831640058</v>
      </c>
      <c r="K944" s="14" t="s">
        <v>1213</v>
      </c>
    </row>
    <row r="945" spans="1:11">
      <c r="A945" s="14" t="s">
        <v>18480</v>
      </c>
      <c r="B945" s="14" t="s">
        <v>18481</v>
      </c>
      <c r="C945" s="14" t="s">
        <v>16090</v>
      </c>
      <c r="D945" s="14">
        <v>1</v>
      </c>
      <c r="E945" s="14">
        <v>1378</v>
      </c>
      <c r="F945" s="14">
        <v>10</v>
      </c>
      <c r="G945" s="14">
        <v>15605</v>
      </c>
      <c r="H945" s="14">
        <v>0.603380346139107</v>
      </c>
      <c r="I945" s="14">
        <v>0.91748957416411</v>
      </c>
      <c r="J945" s="14">
        <v>1.13243831640058</v>
      </c>
      <c r="K945" s="14" t="s">
        <v>11408</v>
      </c>
    </row>
    <row r="946" spans="1:11">
      <c r="A946" s="14" t="s">
        <v>18482</v>
      </c>
      <c r="B946" s="14" t="s">
        <v>18483</v>
      </c>
      <c r="C946" s="14" t="s">
        <v>16090</v>
      </c>
      <c r="D946" s="14">
        <v>1</v>
      </c>
      <c r="E946" s="14">
        <v>1378</v>
      </c>
      <c r="F946" s="14">
        <v>10</v>
      </c>
      <c r="G946" s="14">
        <v>15605</v>
      </c>
      <c r="H946" s="14">
        <v>0.603380346139107</v>
      </c>
      <c r="I946" s="14">
        <v>0.91748957416411</v>
      </c>
      <c r="J946" s="14">
        <v>1.13243831640058</v>
      </c>
      <c r="K946" s="14" t="s">
        <v>6624</v>
      </c>
    </row>
    <row r="947" spans="1:11">
      <c r="A947" s="14" t="s">
        <v>18484</v>
      </c>
      <c r="B947" s="14" t="s">
        <v>18485</v>
      </c>
      <c r="C947" s="14" t="s">
        <v>16090</v>
      </c>
      <c r="D947" s="14">
        <v>1</v>
      </c>
      <c r="E947" s="14">
        <v>1378</v>
      </c>
      <c r="F947" s="14">
        <v>10</v>
      </c>
      <c r="G947" s="14">
        <v>15605</v>
      </c>
      <c r="H947" s="14">
        <v>0.603380346139107</v>
      </c>
      <c r="I947" s="14">
        <v>0.91748957416411</v>
      </c>
      <c r="J947" s="14">
        <v>1.13243831640058</v>
      </c>
      <c r="K947" s="14" t="s">
        <v>5533</v>
      </c>
    </row>
    <row r="948" spans="1:11">
      <c r="A948" s="14" t="s">
        <v>18486</v>
      </c>
      <c r="B948" s="14" t="s">
        <v>18487</v>
      </c>
      <c r="C948" s="14" t="s">
        <v>16086</v>
      </c>
      <c r="D948" s="14">
        <v>1</v>
      </c>
      <c r="E948" s="14">
        <v>1378</v>
      </c>
      <c r="F948" s="14">
        <v>10</v>
      </c>
      <c r="G948" s="14">
        <v>15605</v>
      </c>
      <c r="H948" s="14">
        <v>0.603380346139107</v>
      </c>
      <c r="I948" s="14">
        <v>0.91748957416411</v>
      </c>
      <c r="J948" s="14">
        <v>1.13243831640058</v>
      </c>
      <c r="K948" s="14" t="s">
        <v>14375</v>
      </c>
    </row>
    <row r="949" spans="1:11">
      <c r="A949" s="14" t="s">
        <v>18488</v>
      </c>
      <c r="B949" s="14" t="s">
        <v>18489</v>
      </c>
      <c r="C949" s="14" t="s">
        <v>16090</v>
      </c>
      <c r="D949" s="14">
        <v>1</v>
      </c>
      <c r="E949" s="14">
        <v>1378</v>
      </c>
      <c r="F949" s="14">
        <v>10</v>
      </c>
      <c r="G949" s="14">
        <v>15605</v>
      </c>
      <c r="H949" s="14">
        <v>0.603380346139107</v>
      </c>
      <c r="I949" s="14">
        <v>0.91748957416411</v>
      </c>
      <c r="J949" s="14">
        <v>1.13243831640058</v>
      </c>
      <c r="K949" s="14" t="s">
        <v>13533</v>
      </c>
    </row>
    <row r="950" spans="1:11">
      <c r="A950" s="14" t="s">
        <v>18490</v>
      </c>
      <c r="B950" s="14" t="s">
        <v>18491</v>
      </c>
      <c r="C950" s="14" t="s">
        <v>16086</v>
      </c>
      <c r="D950" s="14">
        <v>1</v>
      </c>
      <c r="E950" s="14">
        <v>1378</v>
      </c>
      <c r="F950" s="14">
        <v>10</v>
      </c>
      <c r="G950" s="14">
        <v>15605</v>
      </c>
      <c r="H950" s="14">
        <v>0.603380346139107</v>
      </c>
      <c r="I950" s="14">
        <v>0.91748957416411</v>
      </c>
      <c r="J950" s="14">
        <v>1.13243831640058</v>
      </c>
      <c r="K950" s="14" t="s">
        <v>13450</v>
      </c>
    </row>
    <row r="951" spans="1:11">
      <c r="A951" s="14" t="s">
        <v>18492</v>
      </c>
      <c r="B951" s="14" t="s">
        <v>18493</v>
      </c>
      <c r="C951" s="14" t="s">
        <v>16090</v>
      </c>
      <c r="D951" s="14">
        <v>1</v>
      </c>
      <c r="E951" s="14">
        <v>1378</v>
      </c>
      <c r="F951" s="14">
        <v>10</v>
      </c>
      <c r="G951" s="14">
        <v>15605</v>
      </c>
      <c r="H951" s="14">
        <v>0.603380346139107</v>
      </c>
      <c r="I951" s="14">
        <v>0.91748957416411</v>
      </c>
      <c r="J951" s="14">
        <v>1.13243831640058</v>
      </c>
      <c r="K951" s="14" t="s">
        <v>13598</v>
      </c>
    </row>
    <row r="952" spans="1:11">
      <c r="A952" s="14" t="s">
        <v>18494</v>
      </c>
      <c r="B952" s="14" t="s">
        <v>18495</v>
      </c>
      <c r="C952" s="14" t="s">
        <v>16090</v>
      </c>
      <c r="D952" s="14">
        <v>1</v>
      </c>
      <c r="E952" s="14">
        <v>1378</v>
      </c>
      <c r="F952" s="14">
        <v>10</v>
      </c>
      <c r="G952" s="14">
        <v>15605</v>
      </c>
      <c r="H952" s="14">
        <v>0.603380346139107</v>
      </c>
      <c r="I952" s="14">
        <v>0.91748957416411</v>
      </c>
      <c r="J952" s="14">
        <v>1.13243831640058</v>
      </c>
      <c r="K952" s="14" t="s">
        <v>13421</v>
      </c>
    </row>
    <row r="953" spans="1:11">
      <c r="A953" s="14" t="s">
        <v>18496</v>
      </c>
      <c r="B953" s="14" t="s">
        <v>18497</v>
      </c>
      <c r="C953" s="14" t="s">
        <v>16090</v>
      </c>
      <c r="D953" s="14">
        <v>1</v>
      </c>
      <c r="E953" s="14">
        <v>1378</v>
      </c>
      <c r="F953" s="14">
        <v>10</v>
      </c>
      <c r="G953" s="14">
        <v>15605</v>
      </c>
      <c r="H953" s="14">
        <v>0.603380346139107</v>
      </c>
      <c r="I953" s="14">
        <v>0.91748957416411</v>
      </c>
      <c r="J953" s="14">
        <v>1.13243831640058</v>
      </c>
      <c r="K953" s="14" t="s">
        <v>13647</v>
      </c>
    </row>
    <row r="954" spans="1:11">
      <c r="A954" s="14" t="s">
        <v>18498</v>
      </c>
      <c r="B954" s="14" t="s">
        <v>18499</v>
      </c>
      <c r="C954" s="14" t="s">
        <v>16090</v>
      </c>
      <c r="D954" s="14">
        <v>5</v>
      </c>
      <c r="E954" s="14">
        <v>1378</v>
      </c>
      <c r="F954" s="14">
        <v>59</v>
      </c>
      <c r="G954" s="14">
        <v>15605</v>
      </c>
      <c r="H954" s="14">
        <v>0.605349135994152</v>
      </c>
      <c r="I954" s="14">
        <v>0.91748957416411</v>
      </c>
      <c r="J954" s="14">
        <v>0.959693488475068</v>
      </c>
      <c r="K954" s="14" t="s">
        <v>18500</v>
      </c>
    </row>
    <row r="955" spans="1:11">
      <c r="A955" s="14" t="s">
        <v>18501</v>
      </c>
      <c r="B955" s="14" t="s">
        <v>18502</v>
      </c>
      <c r="C955" s="14" t="s">
        <v>16090</v>
      </c>
      <c r="D955" s="14">
        <v>3</v>
      </c>
      <c r="E955" s="14">
        <v>1378</v>
      </c>
      <c r="F955" s="14">
        <v>35</v>
      </c>
      <c r="G955" s="14">
        <v>15605</v>
      </c>
      <c r="H955" s="14">
        <v>0.608046451988151</v>
      </c>
      <c r="I955" s="14">
        <v>0.91748957416411</v>
      </c>
      <c r="J955" s="14">
        <v>0.970661414057641</v>
      </c>
      <c r="K955" s="14" t="s">
        <v>18503</v>
      </c>
    </row>
    <row r="956" spans="1:11">
      <c r="A956" s="14" t="s">
        <v>18504</v>
      </c>
      <c r="B956" s="14" t="s">
        <v>18505</v>
      </c>
      <c r="C956" s="14" t="s">
        <v>16090</v>
      </c>
      <c r="D956" s="14">
        <v>3</v>
      </c>
      <c r="E956" s="14">
        <v>1378</v>
      </c>
      <c r="F956" s="14">
        <v>35</v>
      </c>
      <c r="G956" s="14">
        <v>15605</v>
      </c>
      <c r="H956" s="14">
        <v>0.608046451988151</v>
      </c>
      <c r="I956" s="14">
        <v>0.91748957416411</v>
      </c>
      <c r="J956" s="14">
        <v>0.970661414057641</v>
      </c>
      <c r="K956" s="14" t="s">
        <v>18506</v>
      </c>
    </row>
    <row r="957" spans="1:11">
      <c r="A957" s="14" t="s">
        <v>18507</v>
      </c>
      <c r="B957" s="14" t="s">
        <v>18508</v>
      </c>
      <c r="C957" s="14" t="s">
        <v>16090</v>
      </c>
      <c r="D957" s="14">
        <v>3</v>
      </c>
      <c r="E957" s="14">
        <v>1378</v>
      </c>
      <c r="F957" s="14">
        <v>35</v>
      </c>
      <c r="G957" s="14">
        <v>15605</v>
      </c>
      <c r="H957" s="14">
        <v>0.608046451988151</v>
      </c>
      <c r="I957" s="14">
        <v>0.91748957416411</v>
      </c>
      <c r="J957" s="14">
        <v>0.970661414057641</v>
      </c>
      <c r="K957" s="14" t="s">
        <v>18509</v>
      </c>
    </row>
    <row r="958" spans="1:11">
      <c r="A958" s="14" t="s">
        <v>18510</v>
      </c>
      <c r="B958" s="14" t="s">
        <v>18511</v>
      </c>
      <c r="C958" s="14" t="s">
        <v>16090</v>
      </c>
      <c r="D958" s="14">
        <v>10</v>
      </c>
      <c r="E958" s="14">
        <v>1378</v>
      </c>
      <c r="F958" s="14">
        <v>119</v>
      </c>
      <c r="G958" s="14">
        <v>15605</v>
      </c>
      <c r="H958" s="14">
        <v>0.612777648567712</v>
      </c>
      <c r="I958" s="14">
        <v>0.91748957416411</v>
      </c>
      <c r="J958" s="14">
        <v>0.951628837311412</v>
      </c>
      <c r="K958" s="14" t="s">
        <v>18512</v>
      </c>
    </row>
    <row r="959" spans="1:11">
      <c r="A959" s="14" t="s">
        <v>18513</v>
      </c>
      <c r="B959" s="14" t="s">
        <v>18514</v>
      </c>
      <c r="C959" s="14" t="s">
        <v>16086</v>
      </c>
      <c r="D959" s="14">
        <v>2</v>
      </c>
      <c r="E959" s="14">
        <v>1378</v>
      </c>
      <c r="F959" s="14">
        <v>23</v>
      </c>
      <c r="G959" s="14">
        <v>15605</v>
      </c>
      <c r="H959" s="14">
        <v>0.615214095172854</v>
      </c>
      <c r="I959" s="14">
        <v>0.91748957416411</v>
      </c>
      <c r="J959" s="14">
        <v>0.984728970783113</v>
      </c>
      <c r="K959" s="14" t="s">
        <v>18515</v>
      </c>
    </row>
    <row r="960" spans="1:11">
      <c r="A960" s="14" t="s">
        <v>18516</v>
      </c>
      <c r="B960" s="14" t="s">
        <v>18517</v>
      </c>
      <c r="C960" s="14" t="s">
        <v>16090</v>
      </c>
      <c r="D960" s="14">
        <v>2</v>
      </c>
      <c r="E960" s="14">
        <v>1378</v>
      </c>
      <c r="F960" s="14">
        <v>23</v>
      </c>
      <c r="G960" s="14">
        <v>15605</v>
      </c>
      <c r="H960" s="14">
        <v>0.615214095172854</v>
      </c>
      <c r="I960" s="14">
        <v>0.91748957416411</v>
      </c>
      <c r="J960" s="14">
        <v>0.984728970783113</v>
      </c>
      <c r="K960" s="14" t="s">
        <v>18518</v>
      </c>
    </row>
    <row r="961" spans="1:11">
      <c r="A961" s="14" t="s">
        <v>18519</v>
      </c>
      <c r="B961" s="14" t="s">
        <v>18520</v>
      </c>
      <c r="C961" s="14" t="s">
        <v>16090</v>
      </c>
      <c r="D961" s="14">
        <v>2</v>
      </c>
      <c r="E961" s="14">
        <v>1378</v>
      </c>
      <c r="F961" s="14">
        <v>23</v>
      </c>
      <c r="G961" s="14">
        <v>15605</v>
      </c>
      <c r="H961" s="14">
        <v>0.615214095172854</v>
      </c>
      <c r="I961" s="14">
        <v>0.91748957416411</v>
      </c>
      <c r="J961" s="14">
        <v>0.984728970783113</v>
      </c>
      <c r="K961" s="14" t="s">
        <v>18521</v>
      </c>
    </row>
    <row r="962" spans="1:11">
      <c r="A962" s="14" t="s">
        <v>18522</v>
      </c>
      <c r="B962" s="14" t="s">
        <v>18523</v>
      </c>
      <c r="C962" s="14" t="s">
        <v>16090</v>
      </c>
      <c r="D962" s="14">
        <v>2</v>
      </c>
      <c r="E962" s="14">
        <v>1378</v>
      </c>
      <c r="F962" s="14">
        <v>23</v>
      </c>
      <c r="G962" s="14">
        <v>15605</v>
      </c>
      <c r="H962" s="14">
        <v>0.615214095172854</v>
      </c>
      <c r="I962" s="14">
        <v>0.91748957416411</v>
      </c>
      <c r="J962" s="14">
        <v>0.984728970783113</v>
      </c>
      <c r="K962" s="14" t="s">
        <v>18524</v>
      </c>
    </row>
    <row r="963" spans="1:11">
      <c r="A963" s="14" t="s">
        <v>18525</v>
      </c>
      <c r="B963" s="14" t="s">
        <v>18526</v>
      </c>
      <c r="C963" s="14" t="s">
        <v>16090</v>
      </c>
      <c r="D963" s="14">
        <v>6</v>
      </c>
      <c r="E963" s="14">
        <v>1378</v>
      </c>
      <c r="F963" s="14">
        <v>72</v>
      </c>
      <c r="G963" s="14">
        <v>15605</v>
      </c>
      <c r="H963" s="14">
        <v>0.619911006488617</v>
      </c>
      <c r="I963" s="14">
        <v>0.91748957416411</v>
      </c>
      <c r="J963" s="14">
        <v>0.943698597000484</v>
      </c>
      <c r="K963" s="14" t="s">
        <v>18527</v>
      </c>
    </row>
    <row r="964" spans="1:11">
      <c r="A964" s="14" t="s">
        <v>18528</v>
      </c>
      <c r="B964" s="14" t="s">
        <v>18529</v>
      </c>
      <c r="C964" s="14" t="s">
        <v>16090</v>
      </c>
      <c r="D964" s="14">
        <v>5</v>
      </c>
      <c r="E964" s="14">
        <v>1378</v>
      </c>
      <c r="F964" s="14">
        <v>60</v>
      </c>
      <c r="G964" s="14">
        <v>15605</v>
      </c>
      <c r="H964" s="14">
        <v>0.620504381026634</v>
      </c>
      <c r="I964" s="14">
        <v>0.91748957416411</v>
      </c>
      <c r="J964" s="14">
        <v>0.943698597000484</v>
      </c>
      <c r="K964" s="14" t="s">
        <v>18530</v>
      </c>
    </row>
    <row r="965" spans="1:11">
      <c r="A965" s="14" t="s">
        <v>18531</v>
      </c>
      <c r="B965" s="14" t="s">
        <v>18532</v>
      </c>
      <c r="C965" s="14" t="s">
        <v>16090</v>
      </c>
      <c r="D965" s="14">
        <v>4</v>
      </c>
      <c r="E965" s="14">
        <v>1378</v>
      </c>
      <c r="F965" s="14">
        <v>48</v>
      </c>
      <c r="G965" s="14">
        <v>15605</v>
      </c>
      <c r="H965" s="14">
        <v>0.622573972595907</v>
      </c>
      <c r="I965" s="14">
        <v>0.91748957416411</v>
      </c>
      <c r="J965" s="14">
        <v>0.943698597000484</v>
      </c>
      <c r="K965" s="14" t="s">
        <v>18533</v>
      </c>
    </row>
    <row r="966" spans="1:11">
      <c r="A966" s="14" t="s">
        <v>18534</v>
      </c>
      <c r="B966" s="14" t="s">
        <v>18535</v>
      </c>
      <c r="C966" s="14" t="s">
        <v>16096</v>
      </c>
      <c r="D966" s="14">
        <v>33</v>
      </c>
      <c r="E966" s="14">
        <v>1378</v>
      </c>
      <c r="F966" s="14">
        <v>389</v>
      </c>
      <c r="G966" s="14">
        <v>15605</v>
      </c>
      <c r="H966" s="14">
        <v>0.623103679492857</v>
      </c>
      <c r="I966" s="14">
        <v>0.91748957416411</v>
      </c>
      <c r="J966" s="14">
        <v>0.960680319825685</v>
      </c>
      <c r="K966" s="14" t="s">
        <v>18536</v>
      </c>
    </row>
    <row r="967" spans="1:11">
      <c r="A967" s="14" t="s">
        <v>18537</v>
      </c>
      <c r="B967" s="14" t="s">
        <v>18538</v>
      </c>
      <c r="C967" s="14" t="s">
        <v>16086</v>
      </c>
      <c r="D967" s="14">
        <v>3</v>
      </c>
      <c r="E967" s="14">
        <v>1378</v>
      </c>
      <c r="F967" s="14">
        <v>36</v>
      </c>
      <c r="G967" s="14">
        <v>15605</v>
      </c>
      <c r="H967" s="14">
        <v>0.627454377678982</v>
      </c>
      <c r="I967" s="14">
        <v>0.91748957416411</v>
      </c>
      <c r="J967" s="14">
        <v>0.943698597000484</v>
      </c>
      <c r="K967" s="14" t="s">
        <v>18539</v>
      </c>
    </row>
    <row r="968" spans="1:11">
      <c r="A968" s="14" t="s">
        <v>18540</v>
      </c>
      <c r="B968" s="14" t="s">
        <v>18541</v>
      </c>
      <c r="C968" s="14" t="s">
        <v>16090</v>
      </c>
      <c r="D968" s="14">
        <v>3</v>
      </c>
      <c r="E968" s="14">
        <v>1378</v>
      </c>
      <c r="F968" s="14">
        <v>36</v>
      </c>
      <c r="G968" s="14">
        <v>15605</v>
      </c>
      <c r="H968" s="14">
        <v>0.627454377678982</v>
      </c>
      <c r="I968" s="14">
        <v>0.91748957416411</v>
      </c>
      <c r="J968" s="14">
        <v>0.943698597000484</v>
      </c>
      <c r="K968" s="14" t="s">
        <v>18542</v>
      </c>
    </row>
    <row r="969" spans="1:11">
      <c r="A969" s="14" t="s">
        <v>18543</v>
      </c>
      <c r="B969" s="14" t="s">
        <v>18544</v>
      </c>
      <c r="C969" s="14" t="s">
        <v>16090</v>
      </c>
      <c r="D969" s="14">
        <v>3</v>
      </c>
      <c r="E969" s="14">
        <v>1378</v>
      </c>
      <c r="F969" s="14">
        <v>36</v>
      </c>
      <c r="G969" s="14">
        <v>15605</v>
      </c>
      <c r="H969" s="14">
        <v>0.627454377678982</v>
      </c>
      <c r="I969" s="14">
        <v>0.91748957416411</v>
      </c>
      <c r="J969" s="14">
        <v>0.943698597000484</v>
      </c>
      <c r="K969" s="14" t="s">
        <v>18545</v>
      </c>
    </row>
    <row r="970" spans="1:11">
      <c r="A970" s="14" t="s">
        <v>18546</v>
      </c>
      <c r="B970" s="14" t="s">
        <v>18547</v>
      </c>
      <c r="C970" s="14" t="s">
        <v>16090</v>
      </c>
      <c r="D970" s="14">
        <v>3</v>
      </c>
      <c r="E970" s="14">
        <v>1378</v>
      </c>
      <c r="F970" s="14">
        <v>36</v>
      </c>
      <c r="G970" s="14">
        <v>15605</v>
      </c>
      <c r="H970" s="14">
        <v>0.627454377678982</v>
      </c>
      <c r="I970" s="14">
        <v>0.91748957416411</v>
      </c>
      <c r="J970" s="14">
        <v>0.943698597000484</v>
      </c>
      <c r="K970" s="14" t="s">
        <v>18548</v>
      </c>
    </row>
    <row r="971" spans="1:11">
      <c r="A971" s="14" t="s">
        <v>18549</v>
      </c>
      <c r="B971" s="14" t="s">
        <v>18550</v>
      </c>
      <c r="C971" s="14" t="s">
        <v>16090</v>
      </c>
      <c r="D971" s="14">
        <v>3</v>
      </c>
      <c r="E971" s="14">
        <v>1378</v>
      </c>
      <c r="F971" s="14">
        <v>36</v>
      </c>
      <c r="G971" s="14">
        <v>15605</v>
      </c>
      <c r="H971" s="14">
        <v>0.627454377678982</v>
      </c>
      <c r="I971" s="14">
        <v>0.91748957416411</v>
      </c>
      <c r="J971" s="14">
        <v>0.943698597000484</v>
      </c>
      <c r="K971" s="14" t="s">
        <v>18551</v>
      </c>
    </row>
    <row r="972" spans="1:11">
      <c r="A972" s="14" t="s">
        <v>18552</v>
      </c>
      <c r="B972" s="14" t="s">
        <v>18553</v>
      </c>
      <c r="C972" s="14" t="s">
        <v>16096</v>
      </c>
      <c r="D972" s="14">
        <v>1</v>
      </c>
      <c r="E972" s="14">
        <v>1378</v>
      </c>
      <c r="F972" s="14">
        <v>11</v>
      </c>
      <c r="G972" s="14">
        <v>15605</v>
      </c>
      <c r="H972" s="14">
        <v>0.638426314912451</v>
      </c>
      <c r="I972" s="14">
        <v>0.91748957416411</v>
      </c>
      <c r="J972" s="14">
        <v>1.02948937854598</v>
      </c>
      <c r="K972" s="14" t="s">
        <v>8195</v>
      </c>
    </row>
    <row r="973" spans="1:11">
      <c r="A973" s="14" t="s">
        <v>18554</v>
      </c>
      <c r="B973" s="14" t="s">
        <v>18555</v>
      </c>
      <c r="C973" s="14" t="s">
        <v>16086</v>
      </c>
      <c r="D973" s="14">
        <v>1</v>
      </c>
      <c r="E973" s="14">
        <v>1378</v>
      </c>
      <c r="F973" s="14">
        <v>11</v>
      </c>
      <c r="G973" s="14">
        <v>15605</v>
      </c>
      <c r="H973" s="14">
        <v>0.638426314912451</v>
      </c>
      <c r="I973" s="14">
        <v>0.91748957416411</v>
      </c>
      <c r="J973" s="14">
        <v>1.02948937854598</v>
      </c>
      <c r="K973" s="14" t="s">
        <v>6193</v>
      </c>
    </row>
    <row r="974" spans="1:11">
      <c r="A974" s="14" t="s">
        <v>18556</v>
      </c>
      <c r="B974" s="14" t="s">
        <v>18557</v>
      </c>
      <c r="C974" s="14" t="s">
        <v>16086</v>
      </c>
      <c r="D974" s="14">
        <v>1</v>
      </c>
      <c r="E974" s="14">
        <v>1378</v>
      </c>
      <c r="F974" s="14">
        <v>11</v>
      </c>
      <c r="G974" s="14">
        <v>15605</v>
      </c>
      <c r="H974" s="14">
        <v>0.638426314912451</v>
      </c>
      <c r="I974" s="14">
        <v>0.91748957416411</v>
      </c>
      <c r="J974" s="14">
        <v>1.02948937854598</v>
      </c>
      <c r="K974" s="14" t="s">
        <v>11209</v>
      </c>
    </row>
    <row r="975" spans="1:11">
      <c r="A975" s="14" t="s">
        <v>18558</v>
      </c>
      <c r="B975" s="14" t="s">
        <v>18559</v>
      </c>
      <c r="C975" s="14" t="s">
        <v>16086</v>
      </c>
      <c r="D975" s="14">
        <v>1</v>
      </c>
      <c r="E975" s="14">
        <v>1378</v>
      </c>
      <c r="F975" s="14">
        <v>11</v>
      </c>
      <c r="G975" s="14">
        <v>15605</v>
      </c>
      <c r="H975" s="14">
        <v>0.638426314912451</v>
      </c>
      <c r="I975" s="14">
        <v>0.91748957416411</v>
      </c>
      <c r="J975" s="14">
        <v>1.02948937854598</v>
      </c>
      <c r="K975" s="14" t="s">
        <v>1632</v>
      </c>
    </row>
    <row r="976" spans="1:11">
      <c r="A976" s="14" t="s">
        <v>18560</v>
      </c>
      <c r="B976" s="14" t="s">
        <v>18561</v>
      </c>
      <c r="C976" s="14" t="s">
        <v>16086</v>
      </c>
      <c r="D976" s="14">
        <v>1</v>
      </c>
      <c r="E976" s="14">
        <v>1378</v>
      </c>
      <c r="F976" s="14">
        <v>11</v>
      </c>
      <c r="G976" s="14">
        <v>15605</v>
      </c>
      <c r="H976" s="14">
        <v>0.638426314912451</v>
      </c>
      <c r="I976" s="14">
        <v>0.91748957416411</v>
      </c>
      <c r="J976" s="14">
        <v>1.02948937854598</v>
      </c>
      <c r="K976" s="14" t="s">
        <v>13551</v>
      </c>
    </row>
    <row r="977" spans="1:11">
      <c r="A977" s="14" t="s">
        <v>18562</v>
      </c>
      <c r="B977" s="14" t="s">
        <v>18563</v>
      </c>
      <c r="C977" s="14" t="s">
        <v>16086</v>
      </c>
      <c r="D977" s="14">
        <v>1</v>
      </c>
      <c r="E977" s="14">
        <v>1378</v>
      </c>
      <c r="F977" s="14">
        <v>11</v>
      </c>
      <c r="G977" s="14">
        <v>15605</v>
      </c>
      <c r="H977" s="14">
        <v>0.638426314912451</v>
      </c>
      <c r="I977" s="14">
        <v>0.91748957416411</v>
      </c>
      <c r="J977" s="14">
        <v>1.02948937854598</v>
      </c>
      <c r="K977" s="14" t="s">
        <v>6193</v>
      </c>
    </row>
    <row r="978" spans="1:11">
      <c r="A978" s="14" t="s">
        <v>18564</v>
      </c>
      <c r="B978" s="14" t="s">
        <v>18565</v>
      </c>
      <c r="C978" s="14" t="s">
        <v>16086</v>
      </c>
      <c r="D978" s="14">
        <v>1</v>
      </c>
      <c r="E978" s="14">
        <v>1378</v>
      </c>
      <c r="F978" s="14">
        <v>11</v>
      </c>
      <c r="G978" s="14">
        <v>15605</v>
      </c>
      <c r="H978" s="14">
        <v>0.638426314912451</v>
      </c>
      <c r="I978" s="14">
        <v>0.91748957416411</v>
      </c>
      <c r="J978" s="14">
        <v>1.02948937854598</v>
      </c>
      <c r="K978" s="14" t="s">
        <v>8303</v>
      </c>
    </row>
    <row r="979" spans="1:11">
      <c r="A979" s="14" t="s">
        <v>18566</v>
      </c>
      <c r="B979" s="14" t="s">
        <v>18567</v>
      </c>
      <c r="C979" s="14" t="s">
        <v>16086</v>
      </c>
      <c r="D979" s="14">
        <v>1</v>
      </c>
      <c r="E979" s="14">
        <v>1378</v>
      </c>
      <c r="F979" s="14">
        <v>11</v>
      </c>
      <c r="G979" s="14">
        <v>15605</v>
      </c>
      <c r="H979" s="14">
        <v>0.638426314912451</v>
      </c>
      <c r="I979" s="14">
        <v>0.91748957416411</v>
      </c>
      <c r="J979" s="14">
        <v>1.02948937854598</v>
      </c>
      <c r="K979" s="14" t="s">
        <v>5280</v>
      </c>
    </row>
    <row r="980" spans="1:11">
      <c r="A980" s="14" t="s">
        <v>18568</v>
      </c>
      <c r="B980" s="14" t="s">
        <v>18569</v>
      </c>
      <c r="C980" s="14" t="s">
        <v>16086</v>
      </c>
      <c r="D980" s="14">
        <v>1</v>
      </c>
      <c r="E980" s="14">
        <v>1378</v>
      </c>
      <c r="F980" s="14">
        <v>11</v>
      </c>
      <c r="G980" s="14">
        <v>15605</v>
      </c>
      <c r="H980" s="14">
        <v>0.638426314912451</v>
      </c>
      <c r="I980" s="14">
        <v>0.91748957416411</v>
      </c>
      <c r="J980" s="14">
        <v>1.02948937854598</v>
      </c>
      <c r="K980" s="14" t="s">
        <v>1213</v>
      </c>
    </row>
    <row r="981" spans="1:11">
      <c r="A981" s="14" t="s">
        <v>18570</v>
      </c>
      <c r="B981" s="14" t="s">
        <v>18571</v>
      </c>
      <c r="C981" s="14" t="s">
        <v>16090</v>
      </c>
      <c r="D981" s="14">
        <v>1</v>
      </c>
      <c r="E981" s="14">
        <v>1378</v>
      </c>
      <c r="F981" s="14">
        <v>11</v>
      </c>
      <c r="G981" s="14">
        <v>15605</v>
      </c>
      <c r="H981" s="14">
        <v>0.638426314912451</v>
      </c>
      <c r="I981" s="14">
        <v>0.91748957416411</v>
      </c>
      <c r="J981" s="14">
        <v>1.02948937854598</v>
      </c>
      <c r="K981" s="14" t="s">
        <v>2952</v>
      </c>
    </row>
    <row r="982" spans="1:11">
      <c r="A982" s="14" t="s">
        <v>18572</v>
      </c>
      <c r="B982" s="14" t="s">
        <v>18573</v>
      </c>
      <c r="C982" s="14" t="s">
        <v>16090</v>
      </c>
      <c r="D982" s="14">
        <v>1</v>
      </c>
      <c r="E982" s="14">
        <v>1378</v>
      </c>
      <c r="F982" s="14">
        <v>11</v>
      </c>
      <c r="G982" s="14">
        <v>15605</v>
      </c>
      <c r="H982" s="14">
        <v>0.638426314912451</v>
      </c>
      <c r="I982" s="14">
        <v>0.91748957416411</v>
      </c>
      <c r="J982" s="14">
        <v>1.02948937854598</v>
      </c>
      <c r="K982" s="14" t="s">
        <v>10881</v>
      </c>
    </row>
    <row r="983" spans="1:11">
      <c r="A983" s="14" t="s">
        <v>18574</v>
      </c>
      <c r="B983" s="14" t="s">
        <v>18575</v>
      </c>
      <c r="C983" s="14" t="s">
        <v>16086</v>
      </c>
      <c r="D983" s="14">
        <v>1</v>
      </c>
      <c r="E983" s="14">
        <v>1378</v>
      </c>
      <c r="F983" s="14">
        <v>11</v>
      </c>
      <c r="G983" s="14">
        <v>15605</v>
      </c>
      <c r="H983" s="14">
        <v>0.638426314912451</v>
      </c>
      <c r="I983" s="14">
        <v>0.91748957416411</v>
      </c>
      <c r="J983" s="14">
        <v>1.02948937854598</v>
      </c>
      <c r="K983" s="14" t="s">
        <v>15748</v>
      </c>
    </row>
    <row r="984" spans="1:11">
      <c r="A984" s="14" t="s">
        <v>18576</v>
      </c>
      <c r="B984" s="14" t="s">
        <v>18577</v>
      </c>
      <c r="C984" s="14" t="s">
        <v>16090</v>
      </c>
      <c r="D984" s="14">
        <v>1</v>
      </c>
      <c r="E984" s="14">
        <v>1378</v>
      </c>
      <c r="F984" s="14">
        <v>11</v>
      </c>
      <c r="G984" s="14">
        <v>15605</v>
      </c>
      <c r="H984" s="14">
        <v>0.638426314912451</v>
      </c>
      <c r="I984" s="14">
        <v>0.91748957416411</v>
      </c>
      <c r="J984" s="14">
        <v>1.02948937854598</v>
      </c>
      <c r="K984" s="14" t="s">
        <v>15989</v>
      </c>
    </row>
    <row r="985" spans="1:11">
      <c r="A985" s="14" t="s">
        <v>18578</v>
      </c>
      <c r="B985" s="14" t="s">
        <v>18579</v>
      </c>
      <c r="C985" s="14" t="s">
        <v>16090</v>
      </c>
      <c r="D985" s="14">
        <v>1</v>
      </c>
      <c r="E985" s="14">
        <v>1378</v>
      </c>
      <c r="F985" s="14">
        <v>11</v>
      </c>
      <c r="G985" s="14">
        <v>15605</v>
      </c>
      <c r="H985" s="14">
        <v>0.638426314912451</v>
      </c>
      <c r="I985" s="14">
        <v>0.91748957416411</v>
      </c>
      <c r="J985" s="14">
        <v>1.02948937854598</v>
      </c>
      <c r="K985" s="14" t="s">
        <v>512</v>
      </c>
    </row>
    <row r="986" spans="1:11">
      <c r="A986" s="14" t="s">
        <v>18580</v>
      </c>
      <c r="B986" s="14" t="s">
        <v>18581</v>
      </c>
      <c r="C986" s="14" t="s">
        <v>16086</v>
      </c>
      <c r="D986" s="14">
        <v>1</v>
      </c>
      <c r="E986" s="14">
        <v>1378</v>
      </c>
      <c r="F986" s="14">
        <v>11</v>
      </c>
      <c r="G986" s="14">
        <v>15605</v>
      </c>
      <c r="H986" s="14">
        <v>0.638426314912451</v>
      </c>
      <c r="I986" s="14">
        <v>0.91748957416411</v>
      </c>
      <c r="J986" s="14">
        <v>1.02948937854598</v>
      </c>
      <c r="K986" s="14" t="s">
        <v>2142</v>
      </c>
    </row>
    <row r="987" spans="1:11">
      <c r="A987" s="14" t="s">
        <v>18582</v>
      </c>
      <c r="B987" s="14" t="s">
        <v>18583</v>
      </c>
      <c r="C987" s="14" t="s">
        <v>16090</v>
      </c>
      <c r="D987" s="14">
        <v>1</v>
      </c>
      <c r="E987" s="14">
        <v>1378</v>
      </c>
      <c r="F987" s="14">
        <v>11</v>
      </c>
      <c r="G987" s="14">
        <v>15605</v>
      </c>
      <c r="H987" s="14">
        <v>0.638426314912451</v>
      </c>
      <c r="I987" s="14">
        <v>0.91748957416411</v>
      </c>
      <c r="J987" s="14">
        <v>1.02948937854598</v>
      </c>
      <c r="K987" s="14" t="s">
        <v>12369</v>
      </c>
    </row>
    <row r="988" spans="1:11">
      <c r="A988" s="14" t="s">
        <v>18584</v>
      </c>
      <c r="B988" s="14" t="s">
        <v>18585</v>
      </c>
      <c r="C988" s="14" t="s">
        <v>16096</v>
      </c>
      <c r="D988" s="14">
        <v>1</v>
      </c>
      <c r="E988" s="14">
        <v>1378</v>
      </c>
      <c r="F988" s="14">
        <v>11</v>
      </c>
      <c r="G988" s="14">
        <v>15605</v>
      </c>
      <c r="H988" s="14">
        <v>0.638426314912451</v>
      </c>
      <c r="I988" s="14">
        <v>0.91748957416411</v>
      </c>
      <c r="J988" s="14">
        <v>1.02948937854598</v>
      </c>
      <c r="K988" s="14" t="s">
        <v>5423</v>
      </c>
    </row>
    <row r="989" spans="1:11">
      <c r="A989" s="14" t="s">
        <v>18586</v>
      </c>
      <c r="B989" s="14" t="s">
        <v>18587</v>
      </c>
      <c r="C989" s="14" t="s">
        <v>16086</v>
      </c>
      <c r="D989" s="14">
        <v>1</v>
      </c>
      <c r="E989" s="14">
        <v>1378</v>
      </c>
      <c r="F989" s="14">
        <v>11</v>
      </c>
      <c r="G989" s="14">
        <v>15605</v>
      </c>
      <c r="H989" s="14">
        <v>0.638426314912451</v>
      </c>
      <c r="I989" s="14">
        <v>0.91748957416411</v>
      </c>
      <c r="J989" s="14">
        <v>1.02948937854598</v>
      </c>
      <c r="K989" s="14" t="s">
        <v>5280</v>
      </c>
    </row>
    <row r="990" spans="1:11">
      <c r="A990" s="14" t="s">
        <v>18588</v>
      </c>
      <c r="B990" s="14" t="s">
        <v>18589</v>
      </c>
      <c r="C990" s="14" t="s">
        <v>16090</v>
      </c>
      <c r="D990" s="14">
        <v>1</v>
      </c>
      <c r="E990" s="14">
        <v>1378</v>
      </c>
      <c r="F990" s="14">
        <v>11</v>
      </c>
      <c r="G990" s="14">
        <v>15605</v>
      </c>
      <c r="H990" s="14">
        <v>0.638426314912451</v>
      </c>
      <c r="I990" s="14">
        <v>0.91748957416411</v>
      </c>
      <c r="J990" s="14">
        <v>1.02948937854598</v>
      </c>
      <c r="K990" s="14" t="s">
        <v>11618</v>
      </c>
    </row>
    <row r="991" spans="1:11">
      <c r="A991" s="14" t="s">
        <v>18590</v>
      </c>
      <c r="B991" s="14" t="s">
        <v>18591</v>
      </c>
      <c r="C991" s="14" t="s">
        <v>16086</v>
      </c>
      <c r="D991" s="14">
        <v>1</v>
      </c>
      <c r="E991" s="14">
        <v>1378</v>
      </c>
      <c r="F991" s="14">
        <v>11</v>
      </c>
      <c r="G991" s="14">
        <v>15605</v>
      </c>
      <c r="H991" s="14">
        <v>0.638426314912451</v>
      </c>
      <c r="I991" s="14">
        <v>0.91748957416411</v>
      </c>
      <c r="J991" s="14">
        <v>1.02948937854598</v>
      </c>
      <c r="K991" s="14" t="s">
        <v>11209</v>
      </c>
    </row>
    <row r="992" spans="1:11">
      <c r="A992" s="14" t="s">
        <v>18592</v>
      </c>
      <c r="B992" s="14" t="s">
        <v>18593</v>
      </c>
      <c r="C992" s="14" t="s">
        <v>16090</v>
      </c>
      <c r="D992" s="14">
        <v>1</v>
      </c>
      <c r="E992" s="14">
        <v>1378</v>
      </c>
      <c r="F992" s="14">
        <v>11</v>
      </c>
      <c r="G992" s="14">
        <v>15605</v>
      </c>
      <c r="H992" s="14">
        <v>0.638426314912451</v>
      </c>
      <c r="I992" s="14">
        <v>0.91748957416411</v>
      </c>
      <c r="J992" s="14">
        <v>1.02948937854598</v>
      </c>
      <c r="K992" s="14" t="s">
        <v>4872</v>
      </c>
    </row>
    <row r="993" spans="1:11">
      <c r="A993" s="14" t="s">
        <v>18594</v>
      </c>
      <c r="B993" s="14" t="s">
        <v>18595</v>
      </c>
      <c r="C993" s="14" t="s">
        <v>16090</v>
      </c>
      <c r="D993" s="14">
        <v>1</v>
      </c>
      <c r="E993" s="14">
        <v>1378</v>
      </c>
      <c r="F993" s="14">
        <v>11</v>
      </c>
      <c r="G993" s="14">
        <v>15605</v>
      </c>
      <c r="H993" s="14">
        <v>0.638426314912451</v>
      </c>
      <c r="I993" s="14">
        <v>0.91748957416411</v>
      </c>
      <c r="J993" s="14">
        <v>1.02948937854598</v>
      </c>
      <c r="K993" s="14" t="s">
        <v>4872</v>
      </c>
    </row>
    <row r="994" spans="1:11">
      <c r="A994" s="14" t="s">
        <v>18596</v>
      </c>
      <c r="B994" s="14" t="s">
        <v>18597</v>
      </c>
      <c r="C994" s="14" t="s">
        <v>16090</v>
      </c>
      <c r="D994" s="14">
        <v>1</v>
      </c>
      <c r="E994" s="14">
        <v>1378</v>
      </c>
      <c r="F994" s="14">
        <v>11</v>
      </c>
      <c r="G994" s="14">
        <v>15605</v>
      </c>
      <c r="H994" s="14">
        <v>0.638426314912451</v>
      </c>
      <c r="I994" s="14">
        <v>0.91748957416411</v>
      </c>
      <c r="J994" s="14">
        <v>1.02948937854598</v>
      </c>
      <c r="K994" s="14" t="s">
        <v>8303</v>
      </c>
    </row>
    <row r="995" spans="1:11">
      <c r="A995" s="14" t="s">
        <v>18598</v>
      </c>
      <c r="B995" s="14" t="s">
        <v>18599</v>
      </c>
      <c r="C995" s="14" t="s">
        <v>16090</v>
      </c>
      <c r="D995" s="14">
        <v>1</v>
      </c>
      <c r="E995" s="14">
        <v>1378</v>
      </c>
      <c r="F995" s="14">
        <v>11</v>
      </c>
      <c r="G995" s="14">
        <v>15605</v>
      </c>
      <c r="H995" s="14">
        <v>0.638426314912451</v>
      </c>
      <c r="I995" s="14">
        <v>0.91748957416411</v>
      </c>
      <c r="J995" s="14">
        <v>1.02948937854598</v>
      </c>
      <c r="K995" s="14" t="s">
        <v>11038</v>
      </c>
    </row>
    <row r="996" spans="1:11">
      <c r="A996" s="14" t="s">
        <v>18600</v>
      </c>
      <c r="B996" s="14" t="s">
        <v>18601</v>
      </c>
      <c r="C996" s="14" t="s">
        <v>16090</v>
      </c>
      <c r="D996" s="14">
        <v>1</v>
      </c>
      <c r="E996" s="14">
        <v>1378</v>
      </c>
      <c r="F996" s="14">
        <v>11</v>
      </c>
      <c r="G996" s="14">
        <v>15605</v>
      </c>
      <c r="H996" s="14">
        <v>0.638426314912451</v>
      </c>
      <c r="I996" s="14">
        <v>0.91748957416411</v>
      </c>
      <c r="J996" s="14">
        <v>1.02948937854598</v>
      </c>
      <c r="K996" s="14" t="s">
        <v>7966</v>
      </c>
    </row>
    <row r="997" spans="1:11">
      <c r="A997" s="14" t="s">
        <v>18602</v>
      </c>
      <c r="B997" s="14" t="s">
        <v>18603</v>
      </c>
      <c r="C997" s="14" t="s">
        <v>16086</v>
      </c>
      <c r="D997" s="14">
        <v>1</v>
      </c>
      <c r="E997" s="14">
        <v>1378</v>
      </c>
      <c r="F997" s="14">
        <v>11</v>
      </c>
      <c r="G997" s="14">
        <v>15605</v>
      </c>
      <c r="H997" s="14">
        <v>0.638426314912451</v>
      </c>
      <c r="I997" s="14">
        <v>0.91748957416411</v>
      </c>
      <c r="J997" s="14">
        <v>1.02948937854598</v>
      </c>
      <c r="K997" s="14" t="s">
        <v>6193</v>
      </c>
    </row>
    <row r="998" spans="1:11">
      <c r="A998" s="14" t="s">
        <v>18604</v>
      </c>
      <c r="B998" s="14" t="s">
        <v>18605</v>
      </c>
      <c r="C998" s="14" t="s">
        <v>16090</v>
      </c>
      <c r="D998" s="14">
        <v>1</v>
      </c>
      <c r="E998" s="14">
        <v>1378</v>
      </c>
      <c r="F998" s="14">
        <v>11</v>
      </c>
      <c r="G998" s="14">
        <v>15605</v>
      </c>
      <c r="H998" s="14">
        <v>0.638426314912451</v>
      </c>
      <c r="I998" s="14">
        <v>0.91748957416411</v>
      </c>
      <c r="J998" s="14">
        <v>1.02948937854598</v>
      </c>
      <c r="K998" s="14" t="s">
        <v>8385</v>
      </c>
    </row>
    <row r="999" spans="1:11">
      <c r="A999" s="14" t="s">
        <v>18606</v>
      </c>
      <c r="B999" s="14" t="s">
        <v>18607</v>
      </c>
      <c r="C999" s="14" t="s">
        <v>16086</v>
      </c>
      <c r="D999" s="14">
        <v>2</v>
      </c>
      <c r="E999" s="14">
        <v>1378</v>
      </c>
      <c r="F999" s="14">
        <v>24</v>
      </c>
      <c r="G999" s="14">
        <v>15605</v>
      </c>
      <c r="H999" s="14">
        <v>0.638694399694353</v>
      </c>
      <c r="I999" s="14">
        <v>0.91748957416411</v>
      </c>
      <c r="J999" s="14">
        <v>0.943698597000484</v>
      </c>
      <c r="K999" s="14" t="s">
        <v>18222</v>
      </c>
    </row>
    <row r="1000" spans="1:11">
      <c r="A1000" s="14" t="s">
        <v>18608</v>
      </c>
      <c r="B1000" s="14" t="s">
        <v>18609</v>
      </c>
      <c r="C1000" s="14" t="s">
        <v>16090</v>
      </c>
      <c r="D1000" s="14">
        <v>2</v>
      </c>
      <c r="E1000" s="14">
        <v>1378</v>
      </c>
      <c r="F1000" s="14">
        <v>24</v>
      </c>
      <c r="G1000" s="14">
        <v>15605</v>
      </c>
      <c r="H1000" s="14">
        <v>0.638694399694353</v>
      </c>
      <c r="I1000" s="14">
        <v>0.91748957416411</v>
      </c>
      <c r="J1000" s="14">
        <v>0.943698597000484</v>
      </c>
      <c r="K1000" s="14" t="s">
        <v>18610</v>
      </c>
    </row>
    <row r="1001" spans="1:11">
      <c r="A1001" s="14" t="s">
        <v>18611</v>
      </c>
      <c r="B1001" s="14" t="s">
        <v>18612</v>
      </c>
      <c r="C1001" s="14" t="s">
        <v>16090</v>
      </c>
      <c r="D1001" s="14">
        <v>2</v>
      </c>
      <c r="E1001" s="14">
        <v>1378</v>
      </c>
      <c r="F1001" s="14">
        <v>24</v>
      </c>
      <c r="G1001" s="14">
        <v>15605</v>
      </c>
      <c r="H1001" s="14">
        <v>0.638694399694353</v>
      </c>
      <c r="I1001" s="14">
        <v>0.91748957416411</v>
      </c>
      <c r="J1001" s="14">
        <v>0.943698597000484</v>
      </c>
      <c r="K1001" s="14" t="s">
        <v>18613</v>
      </c>
    </row>
    <row r="1002" spans="1:11">
      <c r="A1002" s="14" t="s">
        <v>18614</v>
      </c>
      <c r="B1002" s="14" t="s">
        <v>18615</v>
      </c>
      <c r="C1002" s="14" t="s">
        <v>16090</v>
      </c>
      <c r="D1002" s="14">
        <v>2</v>
      </c>
      <c r="E1002" s="14">
        <v>1378</v>
      </c>
      <c r="F1002" s="14">
        <v>24</v>
      </c>
      <c r="G1002" s="14">
        <v>15605</v>
      </c>
      <c r="H1002" s="14">
        <v>0.638694399694353</v>
      </c>
      <c r="I1002" s="14">
        <v>0.91748957416411</v>
      </c>
      <c r="J1002" s="14">
        <v>0.943698597000484</v>
      </c>
      <c r="K1002" s="14" t="s">
        <v>18616</v>
      </c>
    </row>
    <row r="1003" spans="1:11">
      <c r="A1003" s="14" t="s">
        <v>18617</v>
      </c>
      <c r="B1003" s="14" t="s">
        <v>18618</v>
      </c>
      <c r="C1003" s="14" t="s">
        <v>16090</v>
      </c>
      <c r="D1003" s="14">
        <v>2</v>
      </c>
      <c r="E1003" s="14">
        <v>1378</v>
      </c>
      <c r="F1003" s="14">
        <v>24</v>
      </c>
      <c r="G1003" s="14">
        <v>15605</v>
      </c>
      <c r="H1003" s="14">
        <v>0.638694399694353</v>
      </c>
      <c r="I1003" s="14">
        <v>0.91748957416411</v>
      </c>
      <c r="J1003" s="14">
        <v>0.943698597000484</v>
      </c>
      <c r="K1003" s="14" t="s">
        <v>18619</v>
      </c>
    </row>
    <row r="1004" spans="1:11">
      <c r="A1004" s="14" t="s">
        <v>18620</v>
      </c>
      <c r="B1004" s="14" t="s">
        <v>18621</v>
      </c>
      <c r="C1004" s="14" t="s">
        <v>16086</v>
      </c>
      <c r="D1004" s="14">
        <v>2</v>
      </c>
      <c r="E1004" s="14">
        <v>1378</v>
      </c>
      <c r="F1004" s="14">
        <v>24</v>
      </c>
      <c r="G1004" s="14">
        <v>15605</v>
      </c>
      <c r="H1004" s="14">
        <v>0.638694399694353</v>
      </c>
      <c r="I1004" s="14">
        <v>0.91748957416411</v>
      </c>
      <c r="J1004" s="14">
        <v>0.943698597000484</v>
      </c>
      <c r="K1004" s="14" t="s">
        <v>18622</v>
      </c>
    </row>
    <row r="1005" spans="1:11">
      <c r="A1005" s="14" t="s">
        <v>18623</v>
      </c>
      <c r="B1005" s="14" t="s">
        <v>18624</v>
      </c>
      <c r="C1005" s="14" t="s">
        <v>16090</v>
      </c>
      <c r="D1005" s="14">
        <v>2</v>
      </c>
      <c r="E1005" s="14">
        <v>1378</v>
      </c>
      <c r="F1005" s="14">
        <v>24</v>
      </c>
      <c r="G1005" s="14">
        <v>15605</v>
      </c>
      <c r="H1005" s="14">
        <v>0.638694399694353</v>
      </c>
      <c r="I1005" s="14">
        <v>0.91748957416411</v>
      </c>
      <c r="J1005" s="14">
        <v>0.943698597000484</v>
      </c>
      <c r="K1005" s="14" t="s">
        <v>18625</v>
      </c>
    </row>
    <row r="1006" spans="1:11">
      <c r="A1006" s="14" t="s">
        <v>18626</v>
      </c>
      <c r="B1006" s="14" t="s">
        <v>18627</v>
      </c>
      <c r="C1006" s="14" t="s">
        <v>16096</v>
      </c>
      <c r="D1006" s="14">
        <v>2</v>
      </c>
      <c r="E1006" s="14">
        <v>1378</v>
      </c>
      <c r="F1006" s="14">
        <v>24</v>
      </c>
      <c r="G1006" s="14">
        <v>15605</v>
      </c>
      <c r="H1006" s="14">
        <v>0.638694399694353</v>
      </c>
      <c r="I1006" s="14">
        <v>0.91748957416411</v>
      </c>
      <c r="J1006" s="14">
        <v>0.943698597000484</v>
      </c>
      <c r="K1006" s="14" t="s">
        <v>18628</v>
      </c>
    </row>
    <row r="1007" spans="1:11">
      <c r="A1007" s="14" t="s">
        <v>18629</v>
      </c>
      <c r="B1007" s="14" t="s">
        <v>18630</v>
      </c>
      <c r="C1007" s="14" t="s">
        <v>16090</v>
      </c>
      <c r="D1007" s="14">
        <v>2</v>
      </c>
      <c r="E1007" s="14">
        <v>1378</v>
      </c>
      <c r="F1007" s="14">
        <v>24</v>
      </c>
      <c r="G1007" s="14">
        <v>15605</v>
      </c>
      <c r="H1007" s="14">
        <v>0.638694399694353</v>
      </c>
      <c r="I1007" s="14">
        <v>0.91748957416411</v>
      </c>
      <c r="J1007" s="14">
        <v>0.943698597000484</v>
      </c>
      <c r="K1007" s="14" t="s">
        <v>18631</v>
      </c>
    </row>
    <row r="1008" spans="1:11">
      <c r="A1008" s="14" t="s">
        <v>18632</v>
      </c>
      <c r="B1008" s="14" t="s">
        <v>18633</v>
      </c>
      <c r="C1008" s="14" t="s">
        <v>16090</v>
      </c>
      <c r="D1008" s="14">
        <v>2</v>
      </c>
      <c r="E1008" s="14">
        <v>1378</v>
      </c>
      <c r="F1008" s="14">
        <v>24</v>
      </c>
      <c r="G1008" s="14">
        <v>15605</v>
      </c>
      <c r="H1008" s="14">
        <v>0.638694399694353</v>
      </c>
      <c r="I1008" s="14">
        <v>0.91748957416411</v>
      </c>
      <c r="J1008" s="14">
        <v>0.943698597000484</v>
      </c>
      <c r="K1008" s="14" t="s">
        <v>18634</v>
      </c>
    </row>
    <row r="1009" spans="1:11">
      <c r="A1009" s="14" t="s">
        <v>18635</v>
      </c>
      <c r="B1009" s="14" t="s">
        <v>18636</v>
      </c>
      <c r="C1009" s="14" t="s">
        <v>16086</v>
      </c>
      <c r="D1009" s="14">
        <v>2</v>
      </c>
      <c r="E1009" s="14">
        <v>1378</v>
      </c>
      <c r="F1009" s="14">
        <v>24</v>
      </c>
      <c r="G1009" s="14">
        <v>15605</v>
      </c>
      <c r="H1009" s="14">
        <v>0.638694399694353</v>
      </c>
      <c r="I1009" s="14">
        <v>0.91748957416411</v>
      </c>
      <c r="J1009" s="14">
        <v>0.943698597000484</v>
      </c>
      <c r="K1009" s="14" t="s">
        <v>18631</v>
      </c>
    </row>
    <row r="1010" spans="1:11">
      <c r="A1010" s="14" t="s">
        <v>18637</v>
      </c>
      <c r="B1010" s="14" t="s">
        <v>18638</v>
      </c>
      <c r="C1010" s="14" t="s">
        <v>16090</v>
      </c>
      <c r="D1010" s="14">
        <v>2</v>
      </c>
      <c r="E1010" s="14">
        <v>1378</v>
      </c>
      <c r="F1010" s="14">
        <v>24</v>
      </c>
      <c r="G1010" s="14">
        <v>15605</v>
      </c>
      <c r="H1010" s="14">
        <v>0.638694399694353</v>
      </c>
      <c r="I1010" s="14">
        <v>0.91748957416411</v>
      </c>
      <c r="J1010" s="14">
        <v>0.943698597000484</v>
      </c>
      <c r="K1010" s="14" t="s">
        <v>18639</v>
      </c>
    </row>
    <row r="1011" spans="1:11">
      <c r="A1011" s="14" t="s">
        <v>18640</v>
      </c>
      <c r="B1011" s="14" t="s">
        <v>18641</v>
      </c>
      <c r="C1011" s="14" t="s">
        <v>16090</v>
      </c>
      <c r="D1011" s="14">
        <v>20</v>
      </c>
      <c r="E1011" s="14">
        <v>1378</v>
      </c>
      <c r="F1011" s="14">
        <v>240</v>
      </c>
      <c r="G1011" s="14">
        <v>15605</v>
      </c>
      <c r="H1011" s="14">
        <v>0.641223309004021</v>
      </c>
      <c r="I1011" s="14">
        <v>0.920209466241648</v>
      </c>
      <c r="J1011" s="14">
        <v>0.943698597000484</v>
      </c>
      <c r="K1011" s="14" t="s">
        <v>18642</v>
      </c>
    </row>
    <row r="1012" spans="1:11">
      <c r="A1012" s="14" t="s">
        <v>18643</v>
      </c>
      <c r="B1012" s="14" t="s">
        <v>18644</v>
      </c>
      <c r="C1012" s="14" t="s">
        <v>16086</v>
      </c>
      <c r="D1012" s="14">
        <v>3</v>
      </c>
      <c r="E1012" s="14">
        <v>1378</v>
      </c>
      <c r="F1012" s="14">
        <v>37</v>
      </c>
      <c r="G1012" s="14">
        <v>15605</v>
      </c>
      <c r="H1012" s="14">
        <v>0.646189079558667</v>
      </c>
      <c r="I1012" s="14">
        <v>0.926417611090049</v>
      </c>
      <c r="J1012" s="14">
        <v>0.918193229513984</v>
      </c>
      <c r="K1012" s="14" t="s">
        <v>18018</v>
      </c>
    </row>
    <row r="1013" spans="1:11">
      <c r="A1013" s="14" t="s">
        <v>12750</v>
      </c>
      <c r="B1013" s="14" t="s">
        <v>12751</v>
      </c>
      <c r="C1013" s="14" t="s">
        <v>16086</v>
      </c>
      <c r="D1013" s="14">
        <v>4</v>
      </c>
      <c r="E1013" s="14">
        <v>1378</v>
      </c>
      <c r="F1013" s="14">
        <v>50</v>
      </c>
      <c r="G1013" s="14">
        <v>15605</v>
      </c>
      <c r="H1013" s="14">
        <v>0.654966937687258</v>
      </c>
      <c r="I1013" s="14">
        <v>0.928017957191443</v>
      </c>
      <c r="J1013" s="14">
        <v>0.905950653120464</v>
      </c>
      <c r="K1013" s="14" t="s">
        <v>18645</v>
      </c>
    </row>
    <row r="1014" spans="1:11">
      <c r="A1014" s="14" t="s">
        <v>18646</v>
      </c>
      <c r="B1014" s="14" t="s">
        <v>18647</v>
      </c>
      <c r="C1014" s="14" t="s">
        <v>16090</v>
      </c>
      <c r="D1014" s="14">
        <v>4</v>
      </c>
      <c r="E1014" s="14">
        <v>1378</v>
      </c>
      <c r="F1014" s="14">
        <v>50</v>
      </c>
      <c r="G1014" s="14">
        <v>15605</v>
      </c>
      <c r="H1014" s="14">
        <v>0.654966937687258</v>
      </c>
      <c r="I1014" s="14">
        <v>0.928017957191443</v>
      </c>
      <c r="J1014" s="14">
        <v>0.905950653120464</v>
      </c>
      <c r="K1014" s="14" t="s">
        <v>18648</v>
      </c>
    </row>
    <row r="1015" spans="1:11">
      <c r="A1015" s="14" t="s">
        <v>18649</v>
      </c>
      <c r="B1015" s="14" t="s">
        <v>18650</v>
      </c>
      <c r="C1015" s="14" t="s">
        <v>16090</v>
      </c>
      <c r="D1015" s="14">
        <v>16</v>
      </c>
      <c r="E1015" s="14">
        <v>1378</v>
      </c>
      <c r="F1015" s="14">
        <v>195</v>
      </c>
      <c r="G1015" s="14">
        <v>15605</v>
      </c>
      <c r="H1015" s="14">
        <v>0.658538185848213</v>
      </c>
      <c r="I1015" s="14">
        <v>0.928017957191443</v>
      </c>
      <c r="J1015" s="14">
        <v>0.92918015704663</v>
      </c>
      <c r="K1015" s="14" t="s">
        <v>18651</v>
      </c>
    </row>
    <row r="1016" spans="1:11">
      <c r="A1016" s="14" t="s">
        <v>18652</v>
      </c>
      <c r="B1016" s="14" t="s">
        <v>18653</v>
      </c>
      <c r="C1016" s="14" t="s">
        <v>16090</v>
      </c>
      <c r="D1016" s="14">
        <v>2</v>
      </c>
      <c r="E1016" s="14">
        <v>1378</v>
      </c>
      <c r="F1016" s="14">
        <v>25</v>
      </c>
      <c r="G1016" s="14">
        <v>15605</v>
      </c>
      <c r="H1016" s="14">
        <v>0.661031821296107</v>
      </c>
      <c r="I1016" s="14">
        <v>0.928017957191443</v>
      </c>
      <c r="J1016" s="14">
        <v>0.905950653120464</v>
      </c>
      <c r="K1016" s="14" t="s">
        <v>18228</v>
      </c>
    </row>
    <row r="1017" spans="1:11">
      <c r="A1017" s="14" t="s">
        <v>18654</v>
      </c>
      <c r="B1017" s="14" t="s">
        <v>18655</v>
      </c>
      <c r="C1017" s="14" t="s">
        <v>16086</v>
      </c>
      <c r="D1017" s="14">
        <v>2</v>
      </c>
      <c r="E1017" s="14">
        <v>1378</v>
      </c>
      <c r="F1017" s="14">
        <v>25</v>
      </c>
      <c r="G1017" s="14">
        <v>15605</v>
      </c>
      <c r="H1017" s="14">
        <v>0.661031821296107</v>
      </c>
      <c r="I1017" s="14">
        <v>0.928017957191443</v>
      </c>
      <c r="J1017" s="14">
        <v>0.905950653120464</v>
      </c>
      <c r="K1017" s="14" t="s">
        <v>18656</v>
      </c>
    </row>
    <row r="1018" spans="1:11">
      <c r="A1018" s="14" t="s">
        <v>18657</v>
      </c>
      <c r="B1018" s="14" t="s">
        <v>18658</v>
      </c>
      <c r="C1018" s="14" t="s">
        <v>16090</v>
      </c>
      <c r="D1018" s="14">
        <v>2</v>
      </c>
      <c r="E1018" s="14">
        <v>1378</v>
      </c>
      <c r="F1018" s="14">
        <v>25</v>
      </c>
      <c r="G1018" s="14">
        <v>15605</v>
      </c>
      <c r="H1018" s="14">
        <v>0.661031821296107</v>
      </c>
      <c r="I1018" s="14">
        <v>0.928017957191443</v>
      </c>
      <c r="J1018" s="14">
        <v>0.905950653120464</v>
      </c>
      <c r="K1018" s="14" t="s">
        <v>18659</v>
      </c>
    </row>
    <row r="1019" spans="1:11">
      <c r="A1019" s="14" t="s">
        <v>18660</v>
      </c>
      <c r="B1019" s="14" t="s">
        <v>18661</v>
      </c>
      <c r="C1019" s="14" t="s">
        <v>16090</v>
      </c>
      <c r="D1019" s="14">
        <v>2</v>
      </c>
      <c r="E1019" s="14">
        <v>1378</v>
      </c>
      <c r="F1019" s="14">
        <v>25</v>
      </c>
      <c r="G1019" s="14">
        <v>15605</v>
      </c>
      <c r="H1019" s="14">
        <v>0.661031821296107</v>
      </c>
      <c r="I1019" s="14">
        <v>0.928017957191443</v>
      </c>
      <c r="J1019" s="14">
        <v>0.905950653120464</v>
      </c>
      <c r="K1019" s="14" t="s">
        <v>18662</v>
      </c>
    </row>
    <row r="1020" spans="1:11">
      <c r="A1020" s="14" t="s">
        <v>18663</v>
      </c>
      <c r="B1020" s="14" t="s">
        <v>18664</v>
      </c>
      <c r="C1020" s="14" t="s">
        <v>16090</v>
      </c>
      <c r="D1020" s="14">
        <v>2</v>
      </c>
      <c r="E1020" s="14">
        <v>1378</v>
      </c>
      <c r="F1020" s="14">
        <v>25</v>
      </c>
      <c r="G1020" s="14">
        <v>15605</v>
      </c>
      <c r="H1020" s="14">
        <v>0.661031821296107</v>
      </c>
      <c r="I1020" s="14">
        <v>0.928017957191443</v>
      </c>
      <c r="J1020" s="14">
        <v>0.905950653120464</v>
      </c>
      <c r="K1020" s="14" t="s">
        <v>18665</v>
      </c>
    </row>
    <row r="1021" spans="1:11">
      <c r="A1021" s="14" t="s">
        <v>18666</v>
      </c>
      <c r="B1021" s="14" t="s">
        <v>18667</v>
      </c>
      <c r="C1021" s="14" t="s">
        <v>16086</v>
      </c>
      <c r="D1021" s="14">
        <v>5</v>
      </c>
      <c r="E1021" s="14">
        <v>1378</v>
      </c>
      <c r="F1021" s="14">
        <v>63</v>
      </c>
      <c r="G1021" s="14">
        <v>15605</v>
      </c>
      <c r="H1021" s="14">
        <v>0.663826329188472</v>
      </c>
      <c r="I1021" s="14">
        <v>0.928017957191443</v>
      </c>
      <c r="J1021" s="14">
        <v>0.898760568571889</v>
      </c>
      <c r="K1021" s="14" t="s">
        <v>18668</v>
      </c>
    </row>
    <row r="1022" spans="1:11">
      <c r="A1022" s="14" t="s">
        <v>18669</v>
      </c>
      <c r="B1022" s="14" t="s">
        <v>18670</v>
      </c>
      <c r="C1022" s="14" t="s">
        <v>16090</v>
      </c>
      <c r="D1022" s="14">
        <v>3</v>
      </c>
      <c r="E1022" s="14">
        <v>1378</v>
      </c>
      <c r="F1022" s="14">
        <v>38</v>
      </c>
      <c r="G1022" s="14">
        <v>15605</v>
      </c>
      <c r="H1022" s="14">
        <v>0.664245092038112</v>
      </c>
      <c r="I1022" s="14">
        <v>0.928017957191443</v>
      </c>
      <c r="J1022" s="14">
        <v>0.894030249789932</v>
      </c>
      <c r="K1022" s="14" t="s">
        <v>18671</v>
      </c>
    </row>
    <row r="1023" spans="1:11">
      <c r="A1023" s="14" t="s">
        <v>18672</v>
      </c>
      <c r="B1023" s="14" t="s">
        <v>18673</v>
      </c>
      <c r="C1023" s="14" t="s">
        <v>16090</v>
      </c>
      <c r="D1023" s="14">
        <v>3</v>
      </c>
      <c r="E1023" s="14">
        <v>1378</v>
      </c>
      <c r="F1023" s="14">
        <v>38</v>
      </c>
      <c r="G1023" s="14">
        <v>15605</v>
      </c>
      <c r="H1023" s="14">
        <v>0.664245092038112</v>
      </c>
      <c r="I1023" s="14">
        <v>0.928017957191443</v>
      </c>
      <c r="J1023" s="14">
        <v>0.894030249789932</v>
      </c>
      <c r="K1023" s="14" t="s">
        <v>18674</v>
      </c>
    </row>
    <row r="1024" spans="1:11">
      <c r="A1024" s="14" t="s">
        <v>18675</v>
      </c>
      <c r="B1024" s="14" t="s">
        <v>18676</v>
      </c>
      <c r="C1024" s="14" t="s">
        <v>16090</v>
      </c>
      <c r="D1024" s="14">
        <v>3</v>
      </c>
      <c r="E1024" s="14">
        <v>1378</v>
      </c>
      <c r="F1024" s="14">
        <v>38</v>
      </c>
      <c r="G1024" s="14">
        <v>15605</v>
      </c>
      <c r="H1024" s="14">
        <v>0.664245092038112</v>
      </c>
      <c r="I1024" s="14">
        <v>0.928017957191443</v>
      </c>
      <c r="J1024" s="14">
        <v>0.894030249789932</v>
      </c>
      <c r="K1024" s="14" t="s">
        <v>18677</v>
      </c>
    </row>
    <row r="1025" spans="1:11">
      <c r="A1025" s="14" t="s">
        <v>18678</v>
      </c>
      <c r="B1025" s="14" t="s">
        <v>18679</v>
      </c>
      <c r="C1025" s="14" t="s">
        <v>16096</v>
      </c>
      <c r="D1025" s="14">
        <v>1</v>
      </c>
      <c r="E1025" s="14">
        <v>1378</v>
      </c>
      <c r="F1025" s="14">
        <v>12</v>
      </c>
      <c r="G1025" s="14">
        <v>15605</v>
      </c>
      <c r="H1025" s="14">
        <v>0.670377612722548</v>
      </c>
      <c r="I1025" s="14">
        <v>0.928017957191443</v>
      </c>
      <c r="J1025" s="14">
        <v>0.943698597000484</v>
      </c>
      <c r="K1025" s="14" t="s">
        <v>13598</v>
      </c>
    </row>
    <row r="1026" spans="1:11">
      <c r="A1026" s="14" t="s">
        <v>18680</v>
      </c>
      <c r="B1026" s="14" t="s">
        <v>18681</v>
      </c>
      <c r="C1026" s="14" t="s">
        <v>16096</v>
      </c>
      <c r="D1026" s="14">
        <v>1</v>
      </c>
      <c r="E1026" s="14">
        <v>1378</v>
      </c>
      <c r="F1026" s="14">
        <v>12</v>
      </c>
      <c r="G1026" s="14">
        <v>15605</v>
      </c>
      <c r="H1026" s="14">
        <v>0.670377612722548</v>
      </c>
      <c r="I1026" s="14">
        <v>0.928017957191443</v>
      </c>
      <c r="J1026" s="14">
        <v>0.943698597000484</v>
      </c>
      <c r="K1026" s="14" t="s">
        <v>8595</v>
      </c>
    </row>
    <row r="1027" spans="1:11">
      <c r="A1027" s="14" t="s">
        <v>18682</v>
      </c>
      <c r="B1027" s="14" t="s">
        <v>18683</v>
      </c>
      <c r="C1027" s="14" t="s">
        <v>16086</v>
      </c>
      <c r="D1027" s="14">
        <v>1</v>
      </c>
      <c r="E1027" s="14">
        <v>1378</v>
      </c>
      <c r="F1027" s="14">
        <v>12</v>
      </c>
      <c r="G1027" s="14">
        <v>15605</v>
      </c>
      <c r="H1027" s="14">
        <v>0.670377612722548</v>
      </c>
      <c r="I1027" s="14">
        <v>0.928017957191443</v>
      </c>
      <c r="J1027" s="14">
        <v>0.943698597000484</v>
      </c>
      <c r="K1027" s="14" t="s">
        <v>4758</v>
      </c>
    </row>
    <row r="1028" spans="1:11">
      <c r="A1028" s="14" t="s">
        <v>18684</v>
      </c>
      <c r="B1028" s="14" t="s">
        <v>18685</v>
      </c>
      <c r="C1028" s="14" t="s">
        <v>16096</v>
      </c>
      <c r="D1028" s="14">
        <v>1</v>
      </c>
      <c r="E1028" s="14">
        <v>1378</v>
      </c>
      <c r="F1028" s="14">
        <v>12</v>
      </c>
      <c r="G1028" s="14">
        <v>15605</v>
      </c>
      <c r="H1028" s="14">
        <v>0.670377612722548</v>
      </c>
      <c r="I1028" s="14">
        <v>0.928017957191443</v>
      </c>
      <c r="J1028" s="14">
        <v>0.943698597000484</v>
      </c>
      <c r="K1028" s="14" t="s">
        <v>352</v>
      </c>
    </row>
    <row r="1029" spans="1:11">
      <c r="A1029" s="14" t="s">
        <v>18686</v>
      </c>
      <c r="B1029" s="14" t="s">
        <v>18687</v>
      </c>
      <c r="C1029" s="14" t="s">
        <v>16090</v>
      </c>
      <c r="D1029" s="14">
        <v>1</v>
      </c>
      <c r="E1029" s="14">
        <v>1378</v>
      </c>
      <c r="F1029" s="14">
        <v>12</v>
      </c>
      <c r="G1029" s="14">
        <v>15605</v>
      </c>
      <c r="H1029" s="14">
        <v>0.670377612722548</v>
      </c>
      <c r="I1029" s="14">
        <v>0.928017957191443</v>
      </c>
      <c r="J1029" s="14">
        <v>0.943698597000484</v>
      </c>
      <c r="K1029" s="14" t="s">
        <v>9147</v>
      </c>
    </row>
    <row r="1030" spans="1:11">
      <c r="A1030" s="14" t="s">
        <v>18688</v>
      </c>
      <c r="B1030" s="14" t="s">
        <v>18689</v>
      </c>
      <c r="C1030" s="14" t="s">
        <v>16090</v>
      </c>
      <c r="D1030" s="14">
        <v>1</v>
      </c>
      <c r="E1030" s="14">
        <v>1378</v>
      </c>
      <c r="F1030" s="14">
        <v>12</v>
      </c>
      <c r="G1030" s="14">
        <v>15605</v>
      </c>
      <c r="H1030" s="14">
        <v>0.670377612722548</v>
      </c>
      <c r="I1030" s="14">
        <v>0.928017957191443</v>
      </c>
      <c r="J1030" s="14">
        <v>0.943698597000484</v>
      </c>
      <c r="K1030" s="14" t="s">
        <v>15892</v>
      </c>
    </row>
    <row r="1031" spans="1:11">
      <c r="A1031" s="14" t="s">
        <v>18690</v>
      </c>
      <c r="B1031" s="14" t="s">
        <v>18691</v>
      </c>
      <c r="C1031" s="14" t="s">
        <v>16090</v>
      </c>
      <c r="D1031" s="14">
        <v>1</v>
      </c>
      <c r="E1031" s="14">
        <v>1378</v>
      </c>
      <c r="F1031" s="14">
        <v>12</v>
      </c>
      <c r="G1031" s="14">
        <v>15605</v>
      </c>
      <c r="H1031" s="14">
        <v>0.670377612722548</v>
      </c>
      <c r="I1031" s="14">
        <v>0.928017957191443</v>
      </c>
      <c r="J1031" s="14">
        <v>0.943698597000484</v>
      </c>
      <c r="K1031" s="14" t="s">
        <v>434</v>
      </c>
    </row>
    <row r="1032" spans="1:11">
      <c r="A1032" s="14" t="s">
        <v>18692</v>
      </c>
      <c r="B1032" s="14" t="s">
        <v>18693</v>
      </c>
      <c r="C1032" s="14" t="s">
        <v>16090</v>
      </c>
      <c r="D1032" s="14">
        <v>1</v>
      </c>
      <c r="E1032" s="14">
        <v>1378</v>
      </c>
      <c r="F1032" s="14">
        <v>12</v>
      </c>
      <c r="G1032" s="14">
        <v>15605</v>
      </c>
      <c r="H1032" s="14">
        <v>0.670377612722548</v>
      </c>
      <c r="I1032" s="14">
        <v>0.928017957191443</v>
      </c>
      <c r="J1032" s="14">
        <v>0.943698597000484</v>
      </c>
      <c r="K1032" s="14" t="s">
        <v>15717</v>
      </c>
    </row>
    <row r="1033" spans="1:11">
      <c r="A1033" s="14" t="s">
        <v>18694</v>
      </c>
      <c r="B1033" s="14" t="s">
        <v>18695</v>
      </c>
      <c r="C1033" s="14" t="s">
        <v>16090</v>
      </c>
      <c r="D1033" s="14">
        <v>1</v>
      </c>
      <c r="E1033" s="14">
        <v>1378</v>
      </c>
      <c r="F1033" s="14">
        <v>12</v>
      </c>
      <c r="G1033" s="14">
        <v>15605</v>
      </c>
      <c r="H1033" s="14">
        <v>0.670377612722548</v>
      </c>
      <c r="I1033" s="14">
        <v>0.928017957191443</v>
      </c>
      <c r="J1033" s="14">
        <v>0.943698597000484</v>
      </c>
      <c r="K1033" s="14" t="s">
        <v>7930</v>
      </c>
    </row>
    <row r="1034" spans="1:11">
      <c r="A1034" s="14" t="s">
        <v>18696</v>
      </c>
      <c r="B1034" s="14" t="s">
        <v>18697</v>
      </c>
      <c r="C1034" s="14" t="s">
        <v>16090</v>
      </c>
      <c r="D1034" s="14">
        <v>1</v>
      </c>
      <c r="E1034" s="14">
        <v>1378</v>
      </c>
      <c r="F1034" s="14">
        <v>12</v>
      </c>
      <c r="G1034" s="14">
        <v>15605</v>
      </c>
      <c r="H1034" s="14">
        <v>0.670377612722548</v>
      </c>
      <c r="I1034" s="14">
        <v>0.928017957191443</v>
      </c>
      <c r="J1034" s="14">
        <v>0.943698597000484</v>
      </c>
      <c r="K1034" s="14" t="s">
        <v>12946</v>
      </c>
    </row>
    <row r="1035" spans="1:11">
      <c r="A1035" s="14" t="s">
        <v>18698</v>
      </c>
      <c r="B1035" s="14" t="s">
        <v>18699</v>
      </c>
      <c r="C1035" s="14" t="s">
        <v>16090</v>
      </c>
      <c r="D1035" s="14">
        <v>1</v>
      </c>
      <c r="E1035" s="14">
        <v>1378</v>
      </c>
      <c r="F1035" s="14">
        <v>12</v>
      </c>
      <c r="G1035" s="14">
        <v>15605</v>
      </c>
      <c r="H1035" s="14">
        <v>0.670377612722548</v>
      </c>
      <c r="I1035" s="14">
        <v>0.928017957191443</v>
      </c>
      <c r="J1035" s="14">
        <v>0.943698597000484</v>
      </c>
      <c r="K1035" s="14" t="s">
        <v>7116</v>
      </c>
    </row>
    <row r="1036" spans="1:11">
      <c r="A1036" s="14" t="s">
        <v>18700</v>
      </c>
      <c r="B1036" s="14" t="s">
        <v>18701</v>
      </c>
      <c r="C1036" s="14" t="s">
        <v>16090</v>
      </c>
      <c r="D1036" s="14">
        <v>1</v>
      </c>
      <c r="E1036" s="14">
        <v>1378</v>
      </c>
      <c r="F1036" s="14">
        <v>12</v>
      </c>
      <c r="G1036" s="14">
        <v>15605</v>
      </c>
      <c r="H1036" s="14">
        <v>0.670377612722548</v>
      </c>
      <c r="I1036" s="14">
        <v>0.928017957191443</v>
      </c>
      <c r="J1036" s="14">
        <v>0.943698597000484</v>
      </c>
      <c r="K1036" s="14" t="s">
        <v>725</v>
      </c>
    </row>
    <row r="1037" spans="1:11">
      <c r="A1037" s="14" t="s">
        <v>18702</v>
      </c>
      <c r="B1037" s="14" t="s">
        <v>18703</v>
      </c>
      <c r="C1037" s="14" t="s">
        <v>16090</v>
      </c>
      <c r="D1037" s="14">
        <v>1</v>
      </c>
      <c r="E1037" s="14">
        <v>1378</v>
      </c>
      <c r="F1037" s="14">
        <v>12</v>
      </c>
      <c r="G1037" s="14">
        <v>15605</v>
      </c>
      <c r="H1037" s="14">
        <v>0.670377612722548</v>
      </c>
      <c r="I1037" s="14">
        <v>0.928017957191443</v>
      </c>
      <c r="J1037" s="14">
        <v>0.943698597000484</v>
      </c>
      <c r="K1037" s="14" t="s">
        <v>14050</v>
      </c>
    </row>
    <row r="1038" spans="1:11">
      <c r="A1038" s="14" t="s">
        <v>18704</v>
      </c>
      <c r="B1038" s="14" t="s">
        <v>18705</v>
      </c>
      <c r="C1038" s="14" t="s">
        <v>16086</v>
      </c>
      <c r="D1038" s="14">
        <v>1</v>
      </c>
      <c r="E1038" s="14">
        <v>1378</v>
      </c>
      <c r="F1038" s="14">
        <v>12</v>
      </c>
      <c r="G1038" s="14">
        <v>15605</v>
      </c>
      <c r="H1038" s="14">
        <v>0.670377612722548</v>
      </c>
      <c r="I1038" s="14">
        <v>0.928017957191443</v>
      </c>
      <c r="J1038" s="14">
        <v>0.943698597000484</v>
      </c>
      <c r="K1038" s="14" t="s">
        <v>741</v>
      </c>
    </row>
    <row r="1039" spans="1:11">
      <c r="A1039" s="14" t="s">
        <v>18706</v>
      </c>
      <c r="B1039" s="14" t="s">
        <v>18707</v>
      </c>
      <c r="C1039" s="14" t="s">
        <v>16086</v>
      </c>
      <c r="D1039" s="14">
        <v>1</v>
      </c>
      <c r="E1039" s="14">
        <v>1378</v>
      </c>
      <c r="F1039" s="14">
        <v>12</v>
      </c>
      <c r="G1039" s="14">
        <v>15605</v>
      </c>
      <c r="H1039" s="14">
        <v>0.670377612722548</v>
      </c>
      <c r="I1039" s="14">
        <v>0.928017957191443</v>
      </c>
      <c r="J1039" s="14">
        <v>0.943698597000484</v>
      </c>
      <c r="K1039" s="14" t="s">
        <v>5010</v>
      </c>
    </row>
    <row r="1040" spans="1:11">
      <c r="A1040" s="14" t="s">
        <v>18708</v>
      </c>
      <c r="B1040" s="14" t="s">
        <v>18709</v>
      </c>
      <c r="C1040" s="14" t="s">
        <v>16086</v>
      </c>
      <c r="D1040" s="14">
        <v>1</v>
      </c>
      <c r="E1040" s="14">
        <v>1378</v>
      </c>
      <c r="F1040" s="14">
        <v>12</v>
      </c>
      <c r="G1040" s="14">
        <v>15605</v>
      </c>
      <c r="H1040" s="14">
        <v>0.670377612722548</v>
      </c>
      <c r="I1040" s="14">
        <v>0.928017957191443</v>
      </c>
      <c r="J1040" s="14">
        <v>0.943698597000484</v>
      </c>
      <c r="K1040" s="14" t="s">
        <v>15328</v>
      </c>
    </row>
    <row r="1041" spans="1:11">
      <c r="A1041" s="14" t="s">
        <v>18710</v>
      </c>
      <c r="B1041" s="14" t="s">
        <v>18711</v>
      </c>
      <c r="C1041" s="14" t="s">
        <v>16096</v>
      </c>
      <c r="D1041" s="14">
        <v>1</v>
      </c>
      <c r="E1041" s="14">
        <v>1378</v>
      </c>
      <c r="F1041" s="14">
        <v>12</v>
      </c>
      <c r="G1041" s="14">
        <v>15605</v>
      </c>
      <c r="H1041" s="14">
        <v>0.670377612722548</v>
      </c>
      <c r="I1041" s="14">
        <v>0.928017957191443</v>
      </c>
      <c r="J1041" s="14">
        <v>0.943698597000484</v>
      </c>
      <c r="K1041" s="14" t="s">
        <v>6369</v>
      </c>
    </row>
    <row r="1042" spans="1:11">
      <c r="A1042" s="14" t="s">
        <v>18712</v>
      </c>
      <c r="B1042" s="14" t="s">
        <v>18713</v>
      </c>
      <c r="C1042" s="14" t="s">
        <v>16096</v>
      </c>
      <c r="D1042" s="14">
        <v>1</v>
      </c>
      <c r="E1042" s="14">
        <v>1378</v>
      </c>
      <c r="F1042" s="14">
        <v>12</v>
      </c>
      <c r="G1042" s="14">
        <v>15605</v>
      </c>
      <c r="H1042" s="14">
        <v>0.670377612722548</v>
      </c>
      <c r="I1042" s="14">
        <v>0.928017957191443</v>
      </c>
      <c r="J1042" s="14">
        <v>0.943698597000484</v>
      </c>
      <c r="K1042" s="14" t="s">
        <v>5941</v>
      </c>
    </row>
    <row r="1043" spans="1:11">
      <c r="A1043" s="14" t="s">
        <v>18714</v>
      </c>
      <c r="B1043" s="14" t="s">
        <v>18715</v>
      </c>
      <c r="C1043" s="14" t="s">
        <v>16090</v>
      </c>
      <c r="D1043" s="14">
        <v>1</v>
      </c>
      <c r="E1043" s="14">
        <v>1378</v>
      </c>
      <c r="F1043" s="14">
        <v>12</v>
      </c>
      <c r="G1043" s="14">
        <v>15605</v>
      </c>
      <c r="H1043" s="14">
        <v>0.670377612722548</v>
      </c>
      <c r="I1043" s="14">
        <v>0.928017957191443</v>
      </c>
      <c r="J1043" s="14">
        <v>0.943698597000484</v>
      </c>
      <c r="K1043" s="14" t="s">
        <v>7557</v>
      </c>
    </row>
    <row r="1044" spans="1:11">
      <c r="A1044" s="14" t="s">
        <v>18716</v>
      </c>
      <c r="B1044" s="14" t="s">
        <v>18717</v>
      </c>
      <c r="C1044" s="14" t="s">
        <v>16090</v>
      </c>
      <c r="D1044" s="14">
        <v>1</v>
      </c>
      <c r="E1044" s="14">
        <v>1378</v>
      </c>
      <c r="F1044" s="14">
        <v>12</v>
      </c>
      <c r="G1044" s="14">
        <v>15605</v>
      </c>
      <c r="H1044" s="14">
        <v>0.670377612722548</v>
      </c>
      <c r="I1044" s="14">
        <v>0.928017957191443</v>
      </c>
      <c r="J1044" s="14">
        <v>0.943698597000484</v>
      </c>
      <c r="K1044" s="14" t="s">
        <v>3818</v>
      </c>
    </row>
    <row r="1045" spans="1:11">
      <c r="A1045" s="14" t="s">
        <v>18718</v>
      </c>
      <c r="B1045" s="14" t="s">
        <v>18719</v>
      </c>
      <c r="C1045" s="14" t="s">
        <v>16090</v>
      </c>
      <c r="D1045" s="14">
        <v>1</v>
      </c>
      <c r="E1045" s="14">
        <v>1378</v>
      </c>
      <c r="F1045" s="14">
        <v>12</v>
      </c>
      <c r="G1045" s="14">
        <v>15605</v>
      </c>
      <c r="H1045" s="14">
        <v>0.670377612722548</v>
      </c>
      <c r="I1045" s="14">
        <v>0.928017957191443</v>
      </c>
      <c r="J1045" s="14">
        <v>0.943698597000484</v>
      </c>
      <c r="K1045" s="14" t="s">
        <v>4758</v>
      </c>
    </row>
    <row r="1046" spans="1:11">
      <c r="A1046" s="14" t="s">
        <v>18720</v>
      </c>
      <c r="B1046" s="14" t="s">
        <v>18721</v>
      </c>
      <c r="C1046" s="14" t="s">
        <v>16090</v>
      </c>
      <c r="D1046" s="14">
        <v>1</v>
      </c>
      <c r="E1046" s="14">
        <v>1378</v>
      </c>
      <c r="F1046" s="14">
        <v>12</v>
      </c>
      <c r="G1046" s="14">
        <v>15605</v>
      </c>
      <c r="H1046" s="14">
        <v>0.670377612722548</v>
      </c>
      <c r="I1046" s="14">
        <v>0.928017957191443</v>
      </c>
      <c r="J1046" s="14">
        <v>0.943698597000484</v>
      </c>
      <c r="K1046" s="14" t="s">
        <v>15666</v>
      </c>
    </row>
    <row r="1047" spans="1:11">
      <c r="A1047" s="14" t="s">
        <v>18722</v>
      </c>
      <c r="B1047" s="14" t="s">
        <v>18723</v>
      </c>
      <c r="C1047" s="14" t="s">
        <v>16090</v>
      </c>
      <c r="D1047" s="14">
        <v>1</v>
      </c>
      <c r="E1047" s="14">
        <v>1378</v>
      </c>
      <c r="F1047" s="14">
        <v>12</v>
      </c>
      <c r="G1047" s="14">
        <v>15605</v>
      </c>
      <c r="H1047" s="14">
        <v>0.670377612722548</v>
      </c>
      <c r="I1047" s="14">
        <v>0.928017957191443</v>
      </c>
      <c r="J1047" s="14">
        <v>0.943698597000484</v>
      </c>
      <c r="K1047" s="14" t="s">
        <v>6188</v>
      </c>
    </row>
    <row r="1048" spans="1:11">
      <c r="A1048" s="14" t="s">
        <v>18724</v>
      </c>
      <c r="B1048" s="14" t="s">
        <v>18725</v>
      </c>
      <c r="C1048" s="14" t="s">
        <v>16086</v>
      </c>
      <c r="D1048" s="14">
        <v>1</v>
      </c>
      <c r="E1048" s="14">
        <v>1378</v>
      </c>
      <c r="F1048" s="14">
        <v>12</v>
      </c>
      <c r="G1048" s="14">
        <v>15605</v>
      </c>
      <c r="H1048" s="14">
        <v>0.670377612722548</v>
      </c>
      <c r="I1048" s="14">
        <v>0.928017957191443</v>
      </c>
      <c r="J1048" s="14">
        <v>0.943698597000484</v>
      </c>
      <c r="K1048" s="14" t="s">
        <v>4392</v>
      </c>
    </row>
    <row r="1049" spans="1:11">
      <c r="A1049" s="14" t="s">
        <v>18726</v>
      </c>
      <c r="B1049" s="14" t="s">
        <v>18727</v>
      </c>
      <c r="C1049" s="14" t="s">
        <v>16086</v>
      </c>
      <c r="D1049" s="14">
        <v>3</v>
      </c>
      <c r="E1049" s="14">
        <v>1378</v>
      </c>
      <c r="F1049" s="14">
        <v>39</v>
      </c>
      <c r="G1049" s="14">
        <v>15605</v>
      </c>
      <c r="H1049" s="14">
        <v>0.681620764411499</v>
      </c>
      <c r="I1049" s="14">
        <v>0.938167814078041</v>
      </c>
      <c r="J1049" s="14">
        <v>0.871106397231216</v>
      </c>
      <c r="K1049" s="14" t="s">
        <v>18728</v>
      </c>
    </row>
    <row r="1050" spans="1:11">
      <c r="A1050" s="14" t="s">
        <v>18729</v>
      </c>
      <c r="B1050" s="14" t="s">
        <v>18730</v>
      </c>
      <c r="C1050" s="14" t="s">
        <v>16096</v>
      </c>
      <c r="D1050" s="14">
        <v>2</v>
      </c>
      <c r="E1050" s="14">
        <v>1378</v>
      </c>
      <c r="F1050" s="14">
        <v>26</v>
      </c>
      <c r="G1050" s="14">
        <v>15605</v>
      </c>
      <c r="H1050" s="14">
        <v>0.682244964243216</v>
      </c>
      <c r="I1050" s="14">
        <v>0.938167814078041</v>
      </c>
      <c r="J1050" s="14">
        <v>0.871106397231216</v>
      </c>
      <c r="K1050" s="14" t="s">
        <v>18731</v>
      </c>
    </row>
    <row r="1051" spans="1:11">
      <c r="A1051" s="14" t="s">
        <v>18732</v>
      </c>
      <c r="B1051" s="14" t="s">
        <v>18733</v>
      </c>
      <c r="C1051" s="14" t="s">
        <v>16090</v>
      </c>
      <c r="D1051" s="14">
        <v>2</v>
      </c>
      <c r="E1051" s="14">
        <v>1378</v>
      </c>
      <c r="F1051" s="14">
        <v>26</v>
      </c>
      <c r="G1051" s="14">
        <v>15605</v>
      </c>
      <c r="H1051" s="14">
        <v>0.682244964243216</v>
      </c>
      <c r="I1051" s="14">
        <v>0.938167814078041</v>
      </c>
      <c r="J1051" s="14">
        <v>0.871106397231216</v>
      </c>
      <c r="K1051" s="14" t="s">
        <v>18734</v>
      </c>
    </row>
    <row r="1052" spans="1:11">
      <c r="A1052" s="14" t="s">
        <v>18735</v>
      </c>
      <c r="B1052" s="14" t="s">
        <v>18736</v>
      </c>
      <c r="C1052" s="14" t="s">
        <v>16090</v>
      </c>
      <c r="D1052" s="14">
        <v>2</v>
      </c>
      <c r="E1052" s="14">
        <v>1378</v>
      </c>
      <c r="F1052" s="14">
        <v>26</v>
      </c>
      <c r="G1052" s="14">
        <v>15605</v>
      </c>
      <c r="H1052" s="14">
        <v>0.682244964243216</v>
      </c>
      <c r="I1052" s="14">
        <v>0.938167814078041</v>
      </c>
      <c r="J1052" s="14">
        <v>0.871106397231216</v>
      </c>
      <c r="K1052" s="14" t="s">
        <v>18737</v>
      </c>
    </row>
    <row r="1053" spans="1:11">
      <c r="A1053" s="14" t="s">
        <v>18738</v>
      </c>
      <c r="B1053" s="14" t="s">
        <v>18739</v>
      </c>
      <c r="C1053" s="14" t="s">
        <v>16090</v>
      </c>
      <c r="D1053" s="14">
        <v>2</v>
      </c>
      <c r="E1053" s="14">
        <v>1378</v>
      </c>
      <c r="F1053" s="14">
        <v>26</v>
      </c>
      <c r="G1053" s="14">
        <v>15605</v>
      </c>
      <c r="H1053" s="14">
        <v>0.682244964243216</v>
      </c>
      <c r="I1053" s="14">
        <v>0.938167814078041</v>
      </c>
      <c r="J1053" s="14">
        <v>0.871106397231216</v>
      </c>
      <c r="K1053" s="14" t="s">
        <v>18740</v>
      </c>
    </row>
    <row r="1054" spans="1:11">
      <c r="A1054" s="14" t="s">
        <v>18741</v>
      </c>
      <c r="B1054" s="14" t="s">
        <v>18742</v>
      </c>
      <c r="C1054" s="14" t="s">
        <v>16090</v>
      </c>
      <c r="D1054" s="14">
        <v>2</v>
      </c>
      <c r="E1054" s="14">
        <v>1378</v>
      </c>
      <c r="F1054" s="14">
        <v>26</v>
      </c>
      <c r="G1054" s="14">
        <v>15605</v>
      </c>
      <c r="H1054" s="14">
        <v>0.682244964243216</v>
      </c>
      <c r="I1054" s="14">
        <v>0.938167814078041</v>
      </c>
      <c r="J1054" s="14">
        <v>0.871106397231216</v>
      </c>
      <c r="K1054" s="14" t="s">
        <v>18743</v>
      </c>
    </row>
    <row r="1055" spans="1:11">
      <c r="A1055" s="14" t="s">
        <v>18744</v>
      </c>
      <c r="B1055" s="14" t="s">
        <v>18745</v>
      </c>
      <c r="C1055" s="14" t="s">
        <v>16090</v>
      </c>
      <c r="D1055" s="14">
        <v>2</v>
      </c>
      <c r="E1055" s="14">
        <v>1378</v>
      </c>
      <c r="F1055" s="14">
        <v>26</v>
      </c>
      <c r="G1055" s="14">
        <v>15605</v>
      </c>
      <c r="H1055" s="14">
        <v>0.682244964243216</v>
      </c>
      <c r="I1055" s="14">
        <v>0.938167814078041</v>
      </c>
      <c r="J1055" s="14">
        <v>0.871106397231216</v>
      </c>
      <c r="K1055" s="14" t="s">
        <v>18746</v>
      </c>
    </row>
    <row r="1056" spans="1:11">
      <c r="A1056" s="14" t="s">
        <v>18747</v>
      </c>
      <c r="B1056" s="14" t="s">
        <v>18748</v>
      </c>
      <c r="C1056" s="14" t="s">
        <v>16090</v>
      </c>
      <c r="D1056" s="14">
        <v>12</v>
      </c>
      <c r="E1056" s="14">
        <v>1378</v>
      </c>
      <c r="F1056" s="14">
        <v>151</v>
      </c>
      <c r="G1056" s="14">
        <v>15605</v>
      </c>
      <c r="H1056" s="14">
        <v>0.691361789575139</v>
      </c>
      <c r="I1056" s="14">
        <v>0.939312199391078</v>
      </c>
      <c r="J1056" s="14">
        <v>0.899950979920991</v>
      </c>
      <c r="K1056" s="14" t="s">
        <v>18749</v>
      </c>
    </row>
    <row r="1057" spans="1:11">
      <c r="A1057" s="14" t="s">
        <v>18750</v>
      </c>
      <c r="B1057" s="14" t="s">
        <v>18751</v>
      </c>
      <c r="C1057" s="14" t="s">
        <v>16096</v>
      </c>
      <c r="D1057" s="14">
        <v>9</v>
      </c>
      <c r="E1057" s="14">
        <v>1378</v>
      </c>
      <c r="F1057" s="14">
        <v>115</v>
      </c>
      <c r="G1057" s="14">
        <v>15605</v>
      </c>
      <c r="H1057" s="14">
        <v>0.696151685078215</v>
      </c>
      <c r="I1057" s="14">
        <v>0.939312199391078</v>
      </c>
      <c r="J1057" s="14">
        <v>0.886256073704802</v>
      </c>
      <c r="K1057" s="14" t="s">
        <v>18752</v>
      </c>
    </row>
    <row r="1058" spans="1:11">
      <c r="A1058" s="14" t="s">
        <v>18753</v>
      </c>
      <c r="B1058" s="14" t="s">
        <v>18754</v>
      </c>
      <c r="C1058" s="14" t="s">
        <v>16090</v>
      </c>
      <c r="D1058" s="14">
        <v>3</v>
      </c>
      <c r="E1058" s="14">
        <v>1378</v>
      </c>
      <c r="F1058" s="14">
        <v>40</v>
      </c>
      <c r="G1058" s="14">
        <v>15605</v>
      </c>
      <c r="H1058" s="14">
        <v>0.698317842414803</v>
      </c>
      <c r="I1058" s="14">
        <v>0.939312199391078</v>
      </c>
      <c r="J1058" s="14">
        <v>0.849328737300435</v>
      </c>
      <c r="K1058" s="14" t="s">
        <v>18755</v>
      </c>
    </row>
    <row r="1059" spans="1:11">
      <c r="A1059" s="14" t="s">
        <v>18756</v>
      </c>
      <c r="B1059" s="14" t="s">
        <v>18757</v>
      </c>
      <c r="C1059" s="14" t="s">
        <v>16096</v>
      </c>
      <c r="D1059" s="14">
        <v>1</v>
      </c>
      <c r="E1059" s="14">
        <v>1378</v>
      </c>
      <c r="F1059" s="14">
        <v>13</v>
      </c>
      <c r="G1059" s="14">
        <v>15605</v>
      </c>
      <c r="H1059" s="14">
        <v>0.699507327958123</v>
      </c>
      <c r="I1059" s="14">
        <v>0.939312199391078</v>
      </c>
      <c r="J1059" s="14">
        <v>0.871106397231216</v>
      </c>
      <c r="K1059" s="14" t="s">
        <v>5365</v>
      </c>
    </row>
    <row r="1060" spans="1:11">
      <c r="A1060" s="14" t="s">
        <v>18758</v>
      </c>
      <c r="B1060" s="14" t="s">
        <v>18759</v>
      </c>
      <c r="C1060" s="14" t="s">
        <v>16086</v>
      </c>
      <c r="D1060" s="14">
        <v>1</v>
      </c>
      <c r="E1060" s="14">
        <v>1378</v>
      </c>
      <c r="F1060" s="14">
        <v>13</v>
      </c>
      <c r="G1060" s="14">
        <v>15605</v>
      </c>
      <c r="H1060" s="14">
        <v>0.699507327958123</v>
      </c>
      <c r="I1060" s="14">
        <v>0.939312199391078</v>
      </c>
      <c r="J1060" s="14">
        <v>0.871106397231216</v>
      </c>
      <c r="K1060" s="14" t="s">
        <v>7354</v>
      </c>
    </row>
    <row r="1061" spans="1:11">
      <c r="A1061" s="14" t="s">
        <v>18760</v>
      </c>
      <c r="B1061" s="14" t="s">
        <v>18761</v>
      </c>
      <c r="C1061" s="14" t="s">
        <v>16096</v>
      </c>
      <c r="D1061" s="14">
        <v>1</v>
      </c>
      <c r="E1061" s="14">
        <v>1378</v>
      </c>
      <c r="F1061" s="14">
        <v>13</v>
      </c>
      <c r="G1061" s="14">
        <v>15605</v>
      </c>
      <c r="H1061" s="14">
        <v>0.699507327958123</v>
      </c>
      <c r="I1061" s="14">
        <v>0.939312199391078</v>
      </c>
      <c r="J1061" s="14">
        <v>0.871106397231216</v>
      </c>
      <c r="K1061" s="14" t="s">
        <v>3533</v>
      </c>
    </row>
    <row r="1062" spans="1:11">
      <c r="A1062" s="14" t="s">
        <v>18762</v>
      </c>
      <c r="B1062" s="14" t="s">
        <v>18763</v>
      </c>
      <c r="C1062" s="14" t="s">
        <v>16090</v>
      </c>
      <c r="D1062" s="14">
        <v>1</v>
      </c>
      <c r="E1062" s="14">
        <v>1378</v>
      </c>
      <c r="F1062" s="14">
        <v>13</v>
      </c>
      <c r="G1062" s="14">
        <v>15605</v>
      </c>
      <c r="H1062" s="14">
        <v>0.699507327958123</v>
      </c>
      <c r="I1062" s="14">
        <v>0.939312199391078</v>
      </c>
      <c r="J1062" s="14">
        <v>0.871106397231216</v>
      </c>
      <c r="K1062" s="14" t="s">
        <v>14411</v>
      </c>
    </row>
    <row r="1063" spans="1:11">
      <c r="A1063" s="14" t="s">
        <v>18764</v>
      </c>
      <c r="B1063" s="14" t="s">
        <v>18765</v>
      </c>
      <c r="C1063" s="14" t="s">
        <v>16090</v>
      </c>
      <c r="D1063" s="14">
        <v>1</v>
      </c>
      <c r="E1063" s="14">
        <v>1378</v>
      </c>
      <c r="F1063" s="14">
        <v>13</v>
      </c>
      <c r="G1063" s="14">
        <v>15605</v>
      </c>
      <c r="H1063" s="14">
        <v>0.699507327958123</v>
      </c>
      <c r="I1063" s="14">
        <v>0.939312199391078</v>
      </c>
      <c r="J1063" s="14">
        <v>0.871106397231216</v>
      </c>
      <c r="K1063" s="14" t="s">
        <v>6865</v>
      </c>
    </row>
    <row r="1064" spans="1:11">
      <c r="A1064" s="14" t="s">
        <v>18766</v>
      </c>
      <c r="B1064" s="14" t="s">
        <v>18767</v>
      </c>
      <c r="C1064" s="14" t="s">
        <v>16090</v>
      </c>
      <c r="D1064" s="14">
        <v>1</v>
      </c>
      <c r="E1064" s="14">
        <v>1378</v>
      </c>
      <c r="F1064" s="14">
        <v>13</v>
      </c>
      <c r="G1064" s="14">
        <v>15605</v>
      </c>
      <c r="H1064" s="14">
        <v>0.699507327958123</v>
      </c>
      <c r="I1064" s="14">
        <v>0.939312199391078</v>
      </c>
      <c r="J1064" s="14">
        <v>0.871106397231216</v>
      </c>
      <c r="K1064" s="14" t="s">
        <v>1724</v>
      </c>
    </row>
    <row r="1065" spans="1:11">
      <c r="A1065" s="14" t="s">
        <v>18768</v>
      </c>
      <c r="B1065" s="14" t="s">
        <v>18769</v>
      </c>
      <c r="C1065" s="14" t="s">
        <v>16086</v>
      </c>
      <c r="D1065" s="14">
        <v>1</v>
      </c>
      <c r="E1065" s="14">
        <v>1378</v>
      </c>
      <c r="F1065" s="14">
        <v>13</v>
      </c>
      <c r="G1065" s="14">
        <v>15605</v>
      </c>
      <c r="H1065" s="14">
        <v>0.699507327958123</v>
      </c>
      <c r="I1065" s="14">
        <v>0.939312199391078</v>
      </c>
      <c r="J1065" s="14">
        <v>0.871106397231216</v>
      </c>
      <c r="K1065" s="14" t="s">
        <v>5271</v>
      </c>
    </row>
    <row r="1066" spans="1:11">
      <c r="A1066" s="14" t="s">
        <v>18770</v>
      </c>
      <c r="B1066" s="14" t="s">
        <v>18771</v>
      </c>
      <c r="C1066" s="14" t="s">
        <v>16090</v>
      </c>
      <c r="D1066" s="14">
        <v>1</v>
      </c>
      <c r="E1066" s="14">
        <v>1378</v>
      </c>
      <c r="F1066" s="14">
        <v>13</v>
      </c>
      <c r="G1066" s="14">
        <v>15605</v>
      </c>
      <c r="H1066" s="14">
        <v>0.699507327958123</v>
      </c>
      <c r="I1066" s="14">
        <v>0.939312199391078</v>
      </c>
      <c r="J1066" s="14">
        <v>0.871106397231216</v>
      </c>
      <c r="K1066" s="14" t="s">
        <v>3327</v>
      </c>
    </row>
    <row r="1067" spans="1:11">
      <c r="A1067" s="14" t="s">
        <v>18772</v>
      </c>
      <c r="B1067" s="14" t="s">
        <v>18773</v>
      </c>
      <c r="C1067" s="14" t="s">
        <v>16090</v>
      </c>
      <c r="D1067" s="14">
        <v>1</v>
      </c>
      <c r="E1067" s="14">
        <v>1378</v>
      </c>
      <c r="F1067" s="14">
        <v>13</v>
      </c>
      <c r="G1067" s="14">
        <v>15605</v>
      </c>
      <c r="H1067" s="14">
        <v>0.699507327958123</v>
      </c>
      <c r="I1067" s="14">
        <v>0.939312199391078</v>
      </c>
      <c r="J1067" s="14">
        <v>0.871106397231216</v>
      </c>
      <c r="K1067" s="14" t="s">
        <v>6188</v>
      </c>
    </row>
    <row r="1068" spans="1:11">
      <c r="A1068" s="14" t="s">
        <v>18774</v>
      </c>
      <c r="B1068" s="14" t="s">
        <v>18775</v>
      </c>
      <c r="C1068" s="14" t="s">
        <v>16090</v>
      </c>
      <c r="D1068" s="14">
        <v>1</v>
      </c>
      <c r="E1068" s="14">
        <v>1378</v>
      </c>
      <c r="F1068" s="14">
        <v>13</v>
      </c>
      <c r="G1068" s="14">
        <v>15605</v>
      </c>
      <c r="H1068" s="14">
        <v>0.699507327958123</v>
      </c>
      <c r="I1068" s="14">
        <v>0.939312199391078</v>
      </c>
      <c r="J1068" s="14">
        <v>0.871106397231216</v>
      </c>
      <c r="K1068" s="14" t="s">
        <v>13740</v>
      </c>
    </row>
    <row r="1069" spans="1:11">
      <c r="A1069" s="14" t="s">
        <v>18776</v>
      </c>
      <c r="B1069" s="14" t="s">
        <v>18777</v>
      </c>
      <c r="C1069" s="14" t="s">
        <v>16090</v>
      </c>
      <c r="D1069" s="14">
        <v>1</v>
      </c>
      <c r="E1069" s="14">
        <v>1378</v>
      </c>
      <c r="F1069" s="14">
        <v>13</v>
      </c>
      <c r="G1069" s="14">
        <v>15605</v>
      </c>
      <c r="H1069" s="14">
        <v>0.699507327958123</v>
      </c>
      <c r="I1069" s="14">
        <v>0.939312199391078</v>
      </c>
      <c r="J1069" s="14">
        <v>0.871106397231216</v>
      </c>
      <c r="K1069" s="14" t="s">
        <v>4317</v>
      </c>
    </row>
    <row r="1070" spans="1:11">
      <c r="A1070" s="14" t="s">
        <v>18778</v>
      </c>
      <c r="B1070" s="14" t="s">
        <v>18779</v>
      </c>
      <c r="C1070" s="14" t="s">
        <v>16090</v>
      </c>
      <c r="D1070" s="14">
        <v>1</v>
      </c>
      <c r="E1070" s="14">
        <v>1378</v>
      </c>
      <c r="F1070" s="14">
        <v>13</v>
      </c>
      <c r="G1070" s="14">
        <v>15605</v>
      </c>
      <c r="H1070" s="14">
        <v>0.699507327958123</v>
      </c>
      <c r="I1070" s="14">
        <v>0.939312199391078</v>
      </c>
      <c r="J1070" s="14">
        <v>0.871106397231216</v>
      </c>
      <c r="K1070" s="14" t="s">
        <v>14260</v>
      </c>
    </row>
    <row r="1071" spans="1:11">
      <c r="A1071" s="14" t="s">
        <v>18780</v>
      </c>
      <c r="B1071" s="14" t="s">
        <v>18781</v>
      </c>
      <c r="C1071" s="14" t="s">
        <v>16090</v>
      </c>
      <c r="D1071" s="14">
        <v>1</v>
      </c>
      <c r="E1071" s="14">
        <v>1378</v>
      </c>
      <c r="F1071" s="14">
        <v>13</v>
      </c>
      <c r="G1071" s="14">
        <v>15605</v>
      </c>
      <c r="H1071" s="14">
        <v>0.699507327958123</v>
      </c>
      <c r="I1071" s="14">
        <v>0.939312199391078</v>
      </c>
      <c r="J1071" s="14">
        <v>0.871106397231216</v>
      </c>
      <c r="K1071" s="14" t="s">
        <v>15261</v>
      </c>
    </row>
    <row r="1072" spans="1:11">
      <c r="A1072" s="14" t="s">
        <v>18782</v>
      </c>
      <c r="B1072" s="14" t="s">
        <v>18783</v>
      </c>
      <c r="C1072" s="14" t="s">
        <v>16096</v>
      </c>
      <c r="D1072" s="14">
        <v>1</v>
      </c>
      <c r="E1072" s="14">
        <v>1378</v>
      </c>
      <c r="F1072" s="14">
        <v>13</v>
      </c>
      <c r="G1072" s="14">
        <v>15605</v>
      </c>
      <c r="H1072" s="14">
        <v>0.699507327958123</v>
      </c>
      <c r="I1072" s="14">
        <v>0.939312199391078</v>
      </c>
      <c r="J1072" s="14">
        <v>0.871106397231216</v>
      </c>
      <c r="K1072" s="14" t="s">
        <v>7183</v>
      </c>
    </row>
    <row r="1073" spans="1:11">
      <c r="A1073" s="14" t="s">
        <v>18784</v>
      </c>
      <c r="B1073" s="14" t="s">
        <v>18785</v>
      </c>
      <c r="C1073" s="14" t="s">
        <v>16090</v>
      </c>
      <c r="D1073" s="14">
        <v>1</v>
      </c>
      <c r="E1073" s="14">
        <v>1378</v>
      </c>
      <c r="F1073" s="14">
        <v>13</v>
      </c>
      <c r="G1073" s="14">
        <v>15605</v>
      </c>
      <c r="H1073" s="14">
        <v>0.699507327958123</v>
      </c>
      <c r="I1073" s="14">
        <v>0.939312199391078</v>
      </c>
      <c r="J1073" s="14">
        <v>0.871106397231216</v>
      </c>
      <c r="K1073" s="14" t="s">
        <v>14971</v>
      </c>
    </row>
    <row r="1074" spans="1:11">
      <c r="A1074" s="14" t="s">
        <v>18786</v>
      </c>
      <c r="B1074" s="14" t="s">
        <v>18787</v>
      </c>
      <c r="C1074" s="14" t="s">
        <v>16090</v>
      </c>
      <c r="D1074" s="14">
        <v>1</v>
      </c>
      <c r="E1074" s="14">
        <v>1378</v>
      </c>
      <c r="F1074" s="14">
        <v>13</v>
      </c>
      <c r="G1074" s="14">
        <v>15605</v>
      </c>
      <c r="H1074" s="14">
        <v>0.699507327958123</v>
      </c>
      <c r="I1074" s="14">
        <v>0.939312199391078</v>
      </c>
      <c r="J1074" s="14">
        <v>0.871106397231216</v>
      </c>
      <c r="K1074" s="14" t="s">
        <v>2435</v>
      </c>
    </row>
    <row r="1075" spans="1:11">
      <c r="A1075" s="14" t="s">
        <v>18788</v>
      </c>
      <c r="B1075" s="14" t="s">
        <v>18789</v>
      </c>
      <c r="C1075" s="14" t="s">
        <v>16090</v>
      </c>
      <c r="D1075" s="14">
        <v>1</v>
      </c>
      <c r="E1075" s="14">
        <v>1378</v>
      </c>
      <c r="F1075" s="14">
        <v>13</v>
      </c>
      <c r="G1075" s="14">
        <v>15605</v>
      </c>
      <c r="H1075" s="14">
        <v>0.699507327958123</v>
      </c>
      <c r="I1075" s="14">
        <v>0.939312199391078</v>
      </c>
      <c r="J1075" s="14">
        <v>0.871106397231216</v>
      </c>
      <c r="K1075" s="14" t="s">
        <v>14593</v>
      </c>
    </row>
    <row r="1076" spans="1:11">
      <c r="A1076" s="14" t="s">
        <v>18790</v>
      </c>
      <c r="B1076" s="14" t="s">
        <v>18791</v>
      </c>
      <c r="C1076" s="14" t="s">
        <v>16090</v>
      </c>
      <c r="D1076" s="14">
        <v>1</v>
      </c>
      <c r="E1076" s="14">
        <v>1378</v>
      </c>
      <c r="F1076" s="14">
        <v>13</v>
      </c>
      <c r="G1076" s="14">
        <v>15605</v>
      </c>
      <c r="H1076" s="14">
        <v>0.699507327958123</v>
      </c>
      <c r="I1076" s="14">
        <v>0.939312199391078</v>
      </c>
      <c r="J1076" s="14">
        <v>0.871106397231216</v>
      </c>
      <c r="K1076" s="14" t="s">
        <v>11134</v>
      </c>
    </row>
    <row r="1077" spans="1:11">
      <c r="A1077" s="14" t="s">
        <v>18792</v>
      </c>
      <c r="B1077" s="14" t="s">
        <v>18793</v>
      </c>
      <c r="C1077" s="14" t="s">
        <v>16086</v>
      </c>
      <c r="D1077" s="14">
        <v>1</v>
      </c>
      <c r="E1077" s="14">
        <v>1378</v>
      </c>
      <c r="F1077" s="14">
        <v>13</v>
      </c>
      <c r="G1077" s="14">
        <v>15605</v>
      </c>
      <c r="H1077" s="14">
        <v>0.699507327958123</v>
      </c>
      <c r="I1077" s="14">
        <v>0.939312199391078</v>
      </c>
      <c r="J1077" s="14">
        <v>0.871106397231216</v>
      </c>
      <c r="K1077" s="14" t="s">
        <v>7354</v>
      </c>
    </row>
    <row r="1078" spans="1:11">
      <c r="A1078" s="14" t="s">
        <v>18794</v>
      </c>
      <c r="B1078" s="14" t="s">
        <v>18795</v>
      </c>
      <c r="C1078" s="14" t="s">
        <v>16090</v>
      </c>
      <c r="D1078" s="14">
        <v>1</v>
      </c>
      <c r="E1078" s="14">
        <v>1378</v>
      </c>
      <c r="F1078" s="14">
        <v>13</v>
      </c>
      <c r="G1078" s="14">
        <v>15605</v>
      </c>
      <c r="H1078" s="14">
        <v>0.699507327958123</v>
      </c>
      <c r="I1078" s="14">
        <v>0.939312199391078</v>
      </c>
      <c r="J1078" s="14">
        <v>0.871106397231216</v>
      </c>
      <c r="K1078" s="14" t="s">
        <v>2848</v>
      </c>
    </row>
    <row r="1079" spans="1:11">
      <c r="A1079" s="14" t="s">
        <v>18796</v>
      </c>
      <c r="B1079" s="14" t="s">
        <v>18797</v>
      </c>
      <c r="C1079" s="14" t="s">
        <v>16090</v>
      </c>
      <c r="D1079" s="14">
        <v>1</v>
      </c>
      <c r="E1079" s="14">
        <v>1378</v>
      </c>
      <c r="F1079" s="14">
        <v>13</v>
      </c>
      <c r="G1079" s="14">
        <v>15605</v>
      </c>
      <c r="H1079" s="14">
        <v>0.699507327958123</v>
      </c>
      <c r="I1079" s="14">
        <v>0.939312199391078</v>
      </c>
      <c r="J1079" s="14">
        <v>0.871106397231216</v>
      </c>
      <c r="K1079" s="14" t="s">
        <v>10483</v>
      </c>
    </row>
    <row r="1080" spans="1:11">
      <c r="A1080" s="14" t="s">
        <v>18798</v>
      </c>
      <c r="B1080" s="14" t="s">
        <v>18799</v>
      </c>
      <c r="C1080" s="14" t="s">
        <v>16086</v>
      </c>
      <c r="D1080" s="14">
        <v>4</v>
      </c>
      <c r="E1080" s="14">
        <v>1378</v>
      </c>
      <c r="F1080" s="14">
        <v>53</v>
      </c>
      <c r="G1080" s="14">
        <v>15605</v>
      </c>
      <c r="H1080" s="14">
        <v>0.699943275651225</v>
      </c>
      <c r="I1080" s="14">
        <v>0.939312199391078</v>
      </c>
      <c r="J1080" s="14">
        <v>0.854670427472136</v>
      </c>
      <c r="K1080" s="14" t="s">
        <v>18800</v>
      </c>
    </row>
    <row r="1081" spans="1:11">
      <c r="A1081" s="14" t="s">
        <v>18801</v>
      </c>
      <c r="B1081" s="14" t="s">
        <v>18802</v>
      </c>
      <c r="C1081" s="14" t="s">
        <v>16086</v>
      </c>
      <c r="D1081" s="14">
        <v>4</v>
      </c>
      <c r="E1081" s="14">
        <v>1378</v>
      </c>
      <c r="F1081" s="14">
        <v>53</v>
      </c>
      <c r="G1081" s="14">
        <v>15605</v>
      </c>
      <c r="H1081" s="14">
        <v>0.699943275651225</v>
      </c>
      <c r="I1081" s="14">
        <v>0.939312199391078</v>
      </c>
      <c r="J1081" s="14">
        <v>0.854670427472136</v>
      </c>
      <c r="K1081" s="14" t="s">
        <v>17363</v>
      </c>
    </row>
    <row r="1082" spans="1:11">
      <c r="A1082" s="14" t="s">
        <v>18803</v>
      </c>
      <c r="B1082" s="14" t="s">
        <v>18804</v>
      </c>
      <c r="C1082" s="14" t="s">
        <v>16090</v>
      </c>
      <c r="D1082" s="14">
        <v>2</v>
      </c>
      <c r="E1082" s="14">
        <v>1378</v>
      </c>
      <c r="F1082" s="14">
        <v>27</v>
      </c>
      <c r="G1082" s="14">
        <v>15605</v>
      </c>
      <c r="H1082" s="14">
        <v>0.702358057512932</v>
      </c>
      <c r="I1082" s="14">
        <v>0.940808942903539</v>
      </c>
      <c r="J1082" s="14">
        <v>0.838843197333763</v>
      </c>
      <c r="K1082" s="14" t="s">
        <v>18805</v>
      </c>
    </row>
    <row r="1083" spans="1:11">
      <c r="A1083" s="14" t="s">
        <v>18806</v>
      </c>
      <c r="B1083" s="14" t="s">
        <v>18807</v>
      </c>
      <c r="C1083" s="14" t="s">
        <v>16090</v>
      </c>
      <c r="D1083" s="14">
        <v>2</v>
      </c>
      <c r="E1083" s="14">
        <v>1378</v>
      </c>
      <c r="F1083" s="14">
        <v>27</v>
      </c>
      <c r="G1083" s="14">
        <v>15605</v>
      </c>
      <c r="H1083" s="14">
        <v>0.702358057512932</v>
      </c>
      <c r="I1083" s="14">
        <v>0.940808942903539</v>
      </c>
      <c r="J1083" s="14">
        <v>0.838843197333763</v>
      </c>
      <c r="K1083" s="14" t="s">
        <v>18808</v>
      </c>
    </row>
    <row r="1084" spans="1:11">
      <c r="A1084" s="14" t="s">
        <v>18809</v>
      </c>
      <c r="B1084" s="14" t="s">
        <v>18810</v>
      </c>
      <c r="C1084" s="14" t="s">
        <v>16090</v>
      </c>
      <c r="D1084" s="14">
        <v>12</v>
      </c>
      <c r="E1084" s="14">
        <v>1378</v>
      </c>
      <c r="F1084" s="14">
        <v>153</v>
      </c>
      <c r="G1084" s="14">
        <v>15605</v>
      </c>
      <c r="H1084" s="14">
        <v>0.708548695293575</v>
      </c>
      <c r="I1084" s="14">
        <v>0.948224131964045</v>
      </c>
      <c r="J1084" s="14">
        <v>0.888186914823985</v>
      </c>
      <c r="K1084" s="14" t="s">
        <v>18811</v>
      </c>
    </row>
    <row r="1085" spans="1:11">
      <c r="A1085" s="14" t="s">
        <v>18812</v>
      </c>
      <c r="B1085" s="14" t="s">
        <v>18813</v>
      </c>
      <c r="C1085" s="14" t="s">
        <v>16090</v>
      </c>
      <c r="D1085" s="14">
        <v>5</v>
      </c>
      <c r="E1085" s="14">
        <v>1378</v>
      </c>
      <c r="F1085" s="14">
        <v>67</v>
      </c>
      <c r="G1085" s="14">
        <v>15605</v>
      </c>
      <c r="H1085" s="14">
        <v>0.716356611775271</v>
      </c>
      <c r="I1085" s="14">
        <v>0.953165319401313</v>
      </c>
      <c r="J1085" s="14">
        <v>0.845103221194463</v>
      </c>
      <c r="K1085" s="14" t="s">
        <v>18814</v>
      </c>
    </row>
    <row r="1086" spans="1:11">
      <c r="A1086" s="14" t="s">
        <v>4944</v>
      </c>
      <c r="B1086" s="14" t="s">
        <v>4945</v>
      </c>
      <c r="C1086" s="14" t="s">
        <v>16086</v>
      </c>
      <c r="D1086" s="14">
        <v>15</v>
      </c>
      <c r="E1086" s="14">
        <v>1378</v>
      </c>
      <c r="F1086" s="14">
        <v>191</v>
      </c>
      <c r="G1086" s="14">
        <v>15605</v>
      </c>
      <c r="H1086" s="14">
        <v>0.720699113461836</v>
      </c>
      <c r="I1086" s="14">
        <v>0.953165319401313</v>
      </c>
      <c r="J1086" s="14">
        <v>0.889349463141817</v>
      </c>
      <c r="K1086" s="14" t="s">
        <v>18815</v>
      </c>
    </row>
    <row r="1087" spans="1:11">
      <c r="A1087" s="14" t="s">
        <v>18816</v>
      </c>
      <c r="B1087" s="14" t="s">
        <v>18817</v>
      </c>
      <c r="C1087" s="14" t="s">
        <v>16086</v>
      </c>
      <c r="D1087" s="14">
        <v>2</v>
      </c>
      <c r="E1087" s="14">
        <v>1378</v>
      </c>
      <c r="F1087" s="14">
        <v>28</v>
      </c>
      <c r="G1087" s="14">
        <v>15605</v>
      </c>
      <c r="H1087" s="14">
        <v>0.721399817753325</v>
      </c>
      <c r="I1087" s="14">
        <v>0.953165319401313</v>
      </c>
      <c r="J1087" s="14">
        <v>0.8088845117147</v>
      </c>
      <c r="K1087" s="14" t="s">
        <v>18818</v>
      </c>
    </row>
    <row r="1088" spans="1:11">
      <c r="A1088" s="14" t="s">
        <v>18819</v>
      </c>
      <c r="B1088" s="14" t="s">
        <v>18820</v>
      </c>
      <c r="C1088" s="14" t="s">
        <v>16090</v>
      </c>
      <c r="D1088" s="14">
        <v>2</v>
      </c>
      <c r="E1088" s="14">
        <v>1378</v>
      </c>
      <c r="F1088" s="14">
        <v>28</v>
      </c>
      <c r="G1088" s="14">
        <v>15605</v>
      </c>
      <c r="H1088" s="14">
        <v>0.721399817753325</v>
      </c>
      <c r="I1088" s="14">
        <v>0.953165319401313</v>
      </c>
      <c r="J1088" s="14">
        <v>0.8088845117147</v>
      </c>
      <c r="K1088" s="14" t="s">
        <v>18821</v>
      </c>
    </row>
    <row r="1089" spans="1:11">
      <c r="A1089" s="14" t="s">
        <v>18822</v>
      </c>
      <c r="B1089" s="14" t="s">
        <v>18823</v>
      </c>
      <c r="C1089" s="14" t="s">
        <v>16086</v>
      </c>
      <c r="D1089" s="14">
        <v>1</v>
      </c>
      <c r="E1089" s="14">
        <v>1378</v>
      </c>
      <c r="F1089" s="14">
        <v>14</v>
      </c>
      <c r="G1089" s="14">
        <v>15605</v>
      </c>
      <c r="H1089" s="14">
        <v>0.72606446636716</v>
      </c>
      <c r="I1089" s="14">
        <v>0.953165319401313</v>
      </c>
      <c r="J1089" s="14">
        <v>0.8088845117147</v>
      </c>
      <c r="K1089" s="14" t="s">
        <v>10358</v>
      </c>
    </row>
    <row r="1090" spans="1:11">
      <c r="A1090" s="14" t="s">
        <v>18824</v>
      </c>
      <c r="B1090" s="14" t="s">
        <v>18825</v>
      </c>
      <c r="C1090" s="14" t="s">
        <v>16086</v>
      </c>
      <c r="D1090" s="14">
        <v>1</v>
      </c>
      <c r="E1090" s="14">
        <v>1378</v>
      </c>
      <c r="F1090" s="14">
        <v>14</v>
      </c>
      <c r="G1090" s="14">
        <v>15605</v>
      </c>
      <c r="H1090" s="14">
        <v>0.72606446636716</v>
      </c>
      <c r="I1090" s="14">
        <v>0.953165319401313</v>
      </c>
      <c r="J1090" s="14">
        <v>0.8088845117147</v>
      </c>
      <c r="K1090" s="14" t="s">
        <v>6865</v>
      </c>
    </row>
    <row r="1091" spans="1:11">
      <c r="A1091" s="14" t="s">
        <v>18826</v>
      </c>
      <c r="B1091" s="14" t="s">
        <v>18827</v>
      </c>
      <c r="C1091" s="14" t="s">
        <v>16090</v>
      </c>
      <c r="D1091" s="14">
        <v>1</v>
      </c>
      <c r="E1091" s="14">
        <v>1378</v>
      </c>
      <c r="F1091" s="14">
        <v>14</v>
      </c>
      <c r="G1091" s="14">
        <v>15605</v>
      </c>
      <c r="H1091" s="14">
        <v>0.72606446636716</v>
      </c>
      <c r="I1091" s="14">
        <v>0.953165319401313</v>
      </c>
      <c r="J1091" s="14">
        <v>0.8088845117147</v>
      </c>
      <c r="K1091" s="14" t="s">
        <v>7966</v>
      </c>
    </row>
    <row r="1092" spans="1:11">
      <c r="A1092" s="14" t="s">
        <v>18828</v>
      </c>
      <c r="B1092" s="14" t="s">
        <v>18829</v>
      </c>
      <c r="C1092" s="14" t="s">
        <v>16090</v>
      </c>
      <c r="D1092" s="14">
        <v>1</v>
      </c>
      <c r="E1092" s="14">
        <v>1378</v>
      </c>
      <c r="F1092" s="14">
        <v>14</v>
      </c>
      <c r="G1092" s="14">
        <v>15605</v>
      </c>
      <c r="H1092" s="14">
        <v>0.72606446636716</v>
      </c>
      <c r="I1092" s="14">
        <v>0.953165319401313</v>
      </c>
      <c r="J1092" s="14">
        <v>0.8088845117147</v>
      </c>
      <c r="K1092" s="14" t="s">
        <v>8082</v>
      </c>
    </row>
    <row r="1093" spans="1:11">
      <c r="A1093" s="14" t="s">
        <v>18830</v>
      </c>
      <c r="B1093" s="14" t="s">
        <v>18831</v>
      </c>
      <c r="C1093" s="14" t="s">
        <v>16090</v>
      </c>
      <c r="D1093" s="14">
        <v>1</v>
      </c>
      <c r="E1093" s="14">
        <v>1378</v>
      </c>
      <c r="F1093" s="14">
        <v>14</v>
      </c>
      <c r="G1093" s="14">
        <v>15605</v>
      </c>
      <c r="H1093" s="14">
        <v>0.72606446636716</v>
      </c>
      <c r="I1093" s="14">
        <v>0.953165319401313</v>
      </c>
      <c r="J1093" s="14">
        <v>0.8088845117147</v>
      </c>
      <c r="K1093" s="14" t="s">
        <v>13281</v>
      </c>
    </row>
    <row r="1094" spans="1:11">
      <c r="A1094" s="14" t="s">
        <v>18832</v>
      </c>
      <c r="B1094" s="14" t="s">
        <v>18833</v>
      </c>
      <c r="C1094" s="14" t="s">
        <v>16090</v>
      </c>
      <c r="D1094" s="14">
        <v>1</v>
      </c>
      <c r="E1094" s="14">
        <v>1378</v>
      </c>
      <c r="F1094" s="14">
        <v>14</v>
      </c>
      <c r="G1094" s="14">
        <v>15605</v>
      </c>
      <c r="H1094" s="14">
        <v>0.72606446636716</v>
      </c>
      <c r="I1094" s="14">
        <v>0.953165319401313</v>
      </c>
      <c r="J1094" s="14">
        <v>0.8088845117147</v>
      </c>
      <c r="K1094" s="14" t="s">
        <v>6369</v>
      </c>
    </row>
    <row r="1095" spans="1:11">
      <c r="A1095" s="14" t="s">
        <v>18834</v>
      </c>
      <c r="B1095" s="14" t="s">
        <v>18835</v>
      </c>
      <c r="C1095" s="14" t="s">
        <v>16086</v>
      </c>
      <c r="D1095" s="14">
        <v>1</v>
      </c>
      <c r="E1095" s="14">
        <v>1378</v>
      </c>
      <c r="F1095" s="14">
        <v>14</v>
      </c>
      <c r="G1095" s="14">
        <v>15605</v>
      </c>
      <c r="H1095" s="14">
        <v>0.72606446636716</v>
      </c>
      <c r="I1095" s="14">
        <v>0.953165319401313</v>
      </c>
      <c r="J1095" s="14">
        <v>0.8088845117147</v>
      </c>
      <c r="K1095" s="14" t="s">
        <v>8094</v>
      </c>
    </row>
    <row r="1096" spans="1:11">
      <c r="A1096" s="14" t="s">
        <v>18836</v>
      </c>
      <c r="B1096" s="14" t="s">
        <v>18837</v>
      </c>
      <c r="C1096" s="14" t="s">
        <v>16090</v>
      </c>
      <c r="D1096" s="14">
        <v>1</v>
      </c>
      <c r="E1096" s="14">
        <v>1378</v>
      </c>
      <c r="F1096" s="14">
        <v>14</v>
      </c>
      <c r="G1096" s="14">
        <v>15605</v>
      </c>
      <c r="H1096" s="14">
        <v>0.72606446636716</v>
      </c>
      <c r="I1096" s="14">
        <v>0.953165319401313</v>
      </c>
      <c r="J1096" s="14">
        <v>0.8088845117147</v>
      </c>
      <c r="K1096" s="14" t="s">
        <v>6268</v>
      </c>
    </row>
    <row r="1097" spans="1:11">
      <c r="A1097" s="14" t="s">
        <v>18838</v>
      </c>
      <c r="B1097" s="14" t="s">
        <v>18839</v>
      </c>
      <c r="C1097" s="14" t="s">
        <v>16090</v>
      </c>
      <c r="D1097" s="14">
        <v>1</v>
      </c>
      <c r="E1097" s="14">
        <v>1378</v>
      </c>
      <c r="F1097" s="14">
        <v>14</v>
      </c>
      <c r="G1097" s="14">
        <v>15605</v>
      </c>
      <c r="H1097" s="14">
        <v>0.72606446636716</v>
      </c>
      <c r="I1097" s="14">
        <v>0.953165319401313</v>
      </c>
      <c r="J1097" s="14">
        <v>0.8088845117147</v>
      </c>
      <c r="K1097" s="14" t="s">
        <v>2267</v>
      </c>
    </row>
    <row r="1098" spans="1:11">
      <c r="A1098" s="14" t="s">
        <v>18840</v>
      </c>
      <c r="B1098" s="14" t="s">
        <v>18841</v>
      </c>
      <c r="C1098" s="14" t="s">
        <v>16090</v>
      </c>
      <c r="D1098" s="14">
        <v>1</v>
      </c>
      <c r="E1098" s="14">
        <v>1378</v>
      </c>
      <c r="F1098" s="14">
        <v>14</v>
      </c>
      <c r="G1098" s="14">
        <v>15605</v>
      </c>
      <c r="H1098" s="14">
        <v>0.72606446636716</v>
      </c>
      <c r="I1098" s="14">
        <v>0.953165319401313</v>
      </c>
      <c r="J1098" s="14">
        <v>0.8088845117147</v>
      </c>
      <c r="K1098" s="14" t="s">
        <v>13460</v>
      </c>
    </row>
    <row r="1099" spans="1:11">
      <c r="A1099" s="14" t="s">
        <v>18842</v>
      </c>
      <c r="B1099" s="14" t="s">
        <v>18843</v>
      </c>
      <c r="C1099" s="14" t="s">
        <v>16090</v>
      </c>
      <c r="D1099" s="14">
        <v>1</v>
      </c>
      <c r="E1099" s="14">
        <v>1378</v>
      </c>
      <c r="F1099" s="14">
        <v>14</v>
      </c>
      <c r="G1099" s="14">
        <v>15605</v>
      </c>
      <c r="H1099" s="14">
        <v>0.72606446636716</v>
      </c>
      <c r="I1099" s="14">
        <v>0.953165319401313</v>
      </c>
      <c r="J1099" s="14">
        <v>0.8088845117147</v>
      </c>
      <c r="K1099" s="14" t="s">
        <v>15132</v>
      </c>
    </row>
    <row r="1100" spans="1:11">
      <c r="A1100" s="14" t="s">
        <v>18844</v>
      </c>
      <c r="B1100" s="14" t="s">
        <v>18845</v>
      </c>
      <c r="C1100" s="14" t="s">
        <v>16086</v>
      </c>
      <c r="D1100" s="14">
        <v>1</v>
      </c>
      <c r="E1100" s="14">
        <v>1378</v>
      </c>
      <c r="F1100" s="14">
        <v>14</v>
      </c>
      <c r="G1100" s="14">
        <v>15605</v>
      </c>
      <c r="H1100" s="14">
        <v>0.72606446636716</v>
      </c>
      <c r="I1100" s="14">
        <v>0.953165319401313</v>
      </c>
      <c r="J1100" s="14">
        <v>0.8088845117147</v>
      </c>
      <c r="K1100" s="14" t="s">
        <v>15044</v>
      </c>
    </row>
    <row r="1101" spans="1:11">
      <c r="A1101" s="14" t="s">
        <v>18846</v>
      </c>
      <c r="B1101" s="14" t="s">
        <v>18847</v>
      </c>
      <c r="C1101" s="14" t="s">
        <v>16090</v>
      </c>
      <c r="D1101" s="14">
        <v>1</v>
      </c>
      <c r="E1101" s="14">
        <v>1378</v>
      </c>
      <c r="F1101" s="14">
        <v>14</v>
      </c>
      <c r="G1101" s="14">
        <v>15605</v>
      </c>
      <c r="H1101" s="14">
        <v>0.72606446636716</v>
      </c>
      <c r="I1101" s="14">
        <v>0.953165319401313</v>
      </c>
      <c r="J1101" s="14">
        <v>0.8088845117147</v>
      </c>
      <c r="K1101" s="14" t="s">
        <v>13890</v>
      </c>
    </row>
    <row r="1102" spans="1:11">
      <c r="A1102" s="14" t="s">
        <v>18848</v>
      </c>
      <c r="B1102" s="14" t="s">
        <v>18849</v>
      </c>
      <c r="C1102" s="14" t="s">
        <v>16090</v>
      </c>
      <c r="D1102" s="14">
        <v>1</v>
      </c>
      <c r="E1102" s="14">
        <v>1378</v>
      </c>
      <c r="F1102" s="14">
        <v>14</v>
      </c>
      <c r="G1102" s="14">
        <v>15605</v>
      </c>
      <c r="H1102" s="14">
        <v>0.72606446636716</v>
      </c>
      <c r="I1102" s="14">
        <v>0.953165319401313</v>
      </c>
      <c r="J1102" s="14">
        <v>0.8088845117147</v>
      </c>
      <c r="K1102" s="14" t="s">
        <v>5423</v>
      </c>
    </row>
    <row r="1103" spans="1:11">
      <c r="A1103" s="14" t="s">
        <v>18850</v>
      </c>
      <c r="B1103" s="14" t="s">
        <v>18851</v>
      </c>
      <c r="C1103" s="14" t="s">
        <v>16090</v>
      </c>
      <c r="D1103" s="14">
        <v>1</v>
      </c>
      <c r="E1103" s="14">
        <v>1378</v>
      </c>
      <c r="F1103" s="14">
        <v>14</v>
      </c>
      <c r="G1103" s="14">
        <v>15605</v>
      </c>
      <c r="H1103" s="14">
        <v>0.72606446636716</v>
      </c>
      <c r="I1103" s="14">
        <v>0.953165319401313</v>
      </c>
      <c r="J1103" s="14">
        <v>0.8088845117147</v>
      </c>
      <c r="K1103" s="14" t="s">
        <v>12718</v>
      </c>
    </row>
    <row r="1104" spans="1:11">
      <c r="A1104" s="14" t="s">
        <v>18852</v>
      </c>
      <c r="B1104" s="14" t="s">
        <v>18853</v>
      </c>
      <c r="C1104" s="14" t="s">
        <v>16086</v>
      </c>
      <c r="D1104" s="14">
        <v>1</v>
      </c>
      <c r="E1104" s="14">
        <v>1378</v>
      </c>
      <c r="F1104" s="14">
        <v>14</v>
      </c>
      <c r="G1104" s="14">
        <v>15605</v>
      </c>
      <c r="H1104" s="14">
        <v>0.72606446636716</v>
      </c>
      <c r="I1104" s="14">
        <v>0.953165319401313</v>
      </c>
      <c r="J1104" s="14">
        <v>0.8088845117147</v>
      </c>
      <c r="K1104" s="14" t="s">
        <v>15318</v>
      </c>
    </row>
    <row r="1105" spans="1:11">
      <c r="A1105" s="14" t="s">
        <v>18854</v>
      </c>
      <c r="B1105" s="14" t="s">
        <v>18855</v>
      </c>
      <c r="C1105" s="14" t="s">
        <v>16090</v>
      </c>
      <c r="D1105" s="14">
        <v>1</v>
      </c>
      <c r="E1105" s="14">
        <v>1378</v>
      </c>
      <c r="F1105" s="14">
        <v>14</v>
      </c>
      <c r="G1105" s="14">
        <v>15605</v>
      </c>
      <c r="H1105" s="14">
        <v>0.72606446636716</v>
      </c>
      <c r="I1105" s="14">
        <v>0.953165319401313</v>
      </c>
      <c r="J1105" s="14">
        <v>0.8088845117147</v>
      </c>
      <c r="K1105" s="14" t="s">
        <v>7557</v>
      </c>
    </row>
    <row r="1106" spans="1:11">
      <c r="A1106" s="14" t="s">
        <v>18856</v>
      </c>
      <c r="B1106" s="14" t="s">
        <v>18857</v>
      </c>
      <c r="C1106" s="14" t="s">
        <v>16086</v>
      </c>
      <c r="D1106" s="14">
        <v>5</v>
      </c>
      <c r="E1106" s="14">
        <v>1378</v>
      </c>
      <c r="F1106" s="14">
        <v>68</v>
      </c>
      <c r="G1106" s="14">
        <v>15605</v>
      </c>
      <c r="H1106" s="14">
        <v>0.728534715529976</v>
      </c>
      <c r="I1106" s="14">
        <v>0.955541909499462</v>
      </c>
      <c r="J1106" s="14">
        <v>0.832675232647486</v>
      </c>
      <c r="K1106" s="14" t="s">
        <v>18858</v>
      </c>
    </row>
    <row r="1107" spans="1:11">
      <c r="A1107" s="14" t="s">
        <v>18859</v>
      </c>
      <c r="B1107" s="14" t="s">
        <v>18860</v>
      </c>
      <c r="C1107" s="14" t="s">
        <v>16086</v>
      </c>
      <c r="D1107" s="14">
        <v>3</v>
      </c>
      <c r="E1107" s="14">
        <v>1378</v>
      </c>
      <c r="F1107" s="14">
        <v>42</v>
      </c>
      <c r="G1107" s="14">
        <v>15605</v>
      </c>
      <c r="H1107" s="14">
        <v>0.729697847909838</v>
      </c>
      <c r="I1107" s="14">
        <v>0.956201342781398</v>
      </c>
      <c r="J1107" s="14">
        <v>0.8088845117147</v>
      </c>
      <c r="K1107" s="14" t="s">
        <v>18861</v>
      </c>
    </row>
    <row r="1108" spans="1:11">
      <c r="A1108" s="14" t="s">
        <v>18862</v>
      </c>
      <c r="B1108" s="14" t="s">
        <v>18863</v>
      </c>
      <c r="C1108" s="14" t="s">
        <v>16086</v>
      </c>
      <c r="D1108" s="14">
        <v>6</v>
      </c>
      <c r="E1108" s="14">
        <v>1378</v>
      </c>
      <c r="F1108" s="14">
        <v>81</v>
      </c>
      <c r="G1108" s="14">
        <v>15605</v>
      </c>
      <c r="H1108" s="14">
        <v>0.731202867478614</v>
      </c>
      <c r="I1108" s="14">
        <v>0.957307189972001</v>
      </c>
      <c r="J1108" s="14">
        <v>0.838843197333763</v>
      </c>
      <c r="K1108" s="14" t="s">
        <v>18864</v>
      </c>
    </row>
    <row r="1109" spans="1:11">
      <c r="A1109" s="14" t="s">
        <v>18865</v>
      </c>
      <c r="B1109" s="14" t="s">
        <v>18866</v>
      </c>
      <c r="C1109" s="14" t="s">
        <v>16090</v>
      </c>
      <c r="D1109" s="14">
        <v>2</v>
      </c>
      <c r="E1109" s="14">
        <v>1378</v>
      </c>
      <c r="F1109" s="14">
        <v>29</v>
      </c>
      <c r="G1109" s="14">
        <v>15605</v>
      </c>
      <c r="H1109" s="14">
        <v>0.739402468957656</v>
      </c>
      <c r="I1109" s="14">
        <v>0.958024474684491</v>
      </c>
      <c r="J1109" s="14">
        <v>0.780991942345228</v>
      </c>
      <c r="K1109" s="14" t="s">
        <v>18867</v>
      </c>
    </row>
    <row r="1110" spans="1:11">
      <c r="A1110" s="14" t="s">
        <v>18868</v>
      </c>
      <c r="B1110" s="14" t="s">
        <v>18869</v>
      </c>
      <c r="C1110" s="14" t="s">
        <v>16090</v>
      </c>
      <c r="D1110" s="14">
        <v>2</v>
      </c>
      <c r="E1110" s="14">
        <v>1378</v>
      </c>
      <c r="F1110" s="14">
        <v>29</v>
      </c>
      <c r="G1110" s="14">
        <v>15605</v>
      </c>
      <c r="H1110" s="14">
        <v>0.739402468957656</v>
      </c>
      <c r="I1110" s="14">
        <v>0.958024474684491</v>
      </c>
      <c r="J1110" s="14">
        <v>0.780991942345228</v>
      </c>
      <c r="K1110" s="14" t="s">
        <v>17154</v>
      </c>
    </row>
    <row r="1111" spans="1:11">
      <c r="A1111" s="14" t="s">
        <v>18870</v>
      </c>
      <c r="B1111" s="14" t="s">
        <v>18871</v>
      </c>
      <c r="C1111" s="14" t="s">
        <v>16090</v>
      </c>
      <c r="D1111" s="14">
        <v>2</v>
      </c>
      <c r="E1111" s="14">
        <v>1378</v>
      </c>
      <c r="F1111" s="14">
        <v>29</v>
      </c>
      <c r="G1111" s="14">
        <v>15605</v>
      </c>
      <c r="H1111" s="14">
        <v>0.739402468957656</v>
      </c>
      <c r="I1111" s="14">
        <v>0.958024474684491</v>
      </c>
      <c r="J1111" s="14">
        <v>0.780991942345228</v>
      </c>
      <c r="K1111" s="14" t="s">
        <v>18872</v>
      </c>
    </row>
    <row r="1112" spans="1:11">
      <c r="A1112" s="14" t="s">
        <v>11450</v>
      </c>
      <c r="B1112" s="14" t="s">
        <v>11451</v>
      </c>
      <c r="C1112" s="14" t="s">
        <v>16090</v>
      </c>
      <c r="D1112" s="14">
        <v>32</v>
      </c>
      <c r="E1112" s="14">
        <v>1378</v>
      </c>
      <c r="F1112" s="14">
        <v>399</v>
      </c>
      <c r="G1112" s="14">
        <v>15605</v>
      </c>
      <c r="H1112" s="14">
        <v>0.743543571076384</v>
      </c>
      <c r="I1112" s="14">
        <v>0.958024474684491</v>
      </c>
      <c r="J1112" s="14">
        <v>0.908221206135804</v>
      </c>
      <c r="K1112" s="14" t="s">
        <v>18873</v>
      </c>
    </row>
    <row r="1113" spans="1:11">
      <c r="A1113" s="14" t="s">
        <v>18874</v>
      </c>
      <c r="B1113" s="14" t="s">
        <v>18875</v>
      </c>
      <c r="C1113" s="14" t="s">
        <v>16090</v>
      </c>
      <c r="D1113" s="14">
        <v>1</v>
      </c>
      <c r="E1113" s="14">
        <v>1378</v>
      </c>
      <c r="F1113" s="14">
        <v>15</v>
      </c>
      <c r="G1113" s="14">
        <v>15605</v>
      </c>
      <c r="H1113" s="14">
        <v>0.750276073406225</v>
      </c>
      <c r="I1113" s="14">
        <v>0.958024474684491</v>
      </c>
      <c r="J1113" s="14">
        <v>0.754958877600387</v>
      </c>
      <c r="K1113" s="14" t="s">
        <v>11002</v>
      </c>
    </row>
    <row r="1114" spans="1:11">
      <c r="A1114" s="14" t="s">
        <v>11720</v>
      </c>
      <c r="B1114" s="14" t="s">
        <v>11721</v>
      </c>
      <c r="C1114" s="14" t="s">
        <v>16086</v>
      </c>
      <c r="D1114" s="14">
        <v>1</v>
      </c>
      <c r="E1114" s="14">
        <v>1378</v>
      </c>
      <c r="F1114" s="14">
        <v>15</v>
      </c>
      <c r="G1114" s="14">
        <v>15605</v>
      </c>
      <c r="H1114" s="14">
        <v>0.750276073406225</v>
      </c>
      <c r="I1114" s="14">
        <v>0.958024474684491</v>
      </c>
      <c r="J1114" s="14">
        <v>0.754958877600387</v>
      </c>
      <c r="K1114" s="14" t="s">
        <v>11717</v>
      </c>
    </row>
    <row r="1115" spans="1:11">
      <c r="A1115" s="14" t="s">
        <v>18876</v>
      </c>
      <c r="B1115" s="14" t="s">
        <v>18877</v>
      </c>
      <c r="C1115" s="14" t="s">
        <v>16086</v>
      </c>
      <c r="D1115" s="14">
        <v>1</v>
      </c>
      <c r="E1115" s="14">
        <v>1378</v>
      </c>
      <c r="F1115" s="14">
        <v>15</v>
      </c>
      <c r="G1115" s="14">
        <v>15605</v>
      </c>
      <c r="H1115" s="14">
        <v>0.750276073406225</v>
      </c>
      <c r="I1115" s="14">
        <v>0.958024474684491</v>
      </c>
      <c r="J1115" s="14">
        <v>0.754958877600387</v>
      </c>
      <c r="K1115" s="14" t="s">
        <v>4288</v>
      </c>
    </row>
    <row r="1116" spans="1:11">
      <c r="A1116" s="14" t="s">
        <v>18878</v>
      </c>
      <c r="B1116" s="14" t="s">
        <v>18879</v>
      </c>
      <c r="C1116" s="14" t="s">
        <v>16086</v>
      </c>
      <c r="D1116" s="14">
        <v>1</v>
      </c>
      <c r="E1116" s="14">
        <v>1378</v>
      </c>
      <c r="F1116" s="14">
        <v>15</v>
      </c>
      <c r="G1116" s="14">
        <v>15605</v>
      </c>
      <c r="H1116" s="14">
        <v>0.750276073406225</v>
      </c>
      <c r="I1116" s="14">
        <v>0.958024474684491</v>
      </c>
      <c r="J1116" s="14">
        <v>0.754958877600387</v>
      </c>
      <c r="K1116" s="14" t="s">
        <v>7792</v>
      </c>
    </row>
    <row r="1117" spans="1:11">
      <c r="A1117" s="14" t="s">
        <v>18880</v>
      </c>
      <c r="B1117" s="14" t="s">
        <v>18881</v>
      </c>
      <c r="C1117" s="14" t="s">
        <v>16096</v>
      </c>
      <c r="D1117" s="14">
        <v>1</v>
      </c>
      <c r="E1117" s="14">
        <v>1378</v>
      </c>
      <c r="F1117" s="14">
        <v>15</v>
      </c>
      <c r="G1117" s="14">
        <v>15605</v>
      </c>
      <c r="H1117" s="14">
        <v>0.750276073406225</v>
      </c>
      <c r="I1117" s="14">
        <v>0.958024474684491</v>
      </c>
      <c r="J1117" s="14">
        <v>0.754958877600387</v>
      </c>
      <c r="K1117" s="14" t="s">
        <v>1724</v>
      </c>
    </row>
    <row r="1118" spans="1:11">
      <c r="A1118" s="14" t="s">
        <v>18882</v>
      </c>
      <c r="B1118" s="14" t="s">
        <v>18883</v>
      </c>
      <c r="C1118" s="14" t="s">
        <v>16090</v>
      </c>
      <c r="D1118" s="14">
        <v>1</v>
      </c>
      <c r="E1118" s="14">
        <v>1378</v>
      </c>
      <c r="F1118" s="14">
        <v>15</v>
      </c>
      <c r="G1118" s="14">
        <v>15605</v>
      </c>
      <c r="H1118" s="14">
        <v>0.750276073406225</v>
      </c>
      <c r="I1118" s="14">
        <v>0.958024474684491</v>
      </c>
      <c r="J1118" s="14">
        <v>0.754958877600387</v>
      </c>
      <c r="K1118" s="14" t="s">
        <v>11002</v>
      </c>
    </row>
    <row r="1119" spans="1:11">
      <c r="A1119" s="14" t="s">
        <v>18884</v>
      </c>
      <c r="B1119" s="14" t="s">
        <v>18885</v>
      </c>
      <c r="C1119" s="14" t="s">
        <v>16090</v>
      </c>
      <c r="D1119" s="14">
        <v>1</v>
      </c>
      <c r="E1119" s="14">
        <v>1378</v>
      </c>
      <c r="F1119" s="14">
        <v>15</v>
      </c>
      <c r="G1119" s="14">
        <v>15605</v>
      </c>
      <c r="H1119" s="14">
        <v>0.750276073406225</v>
      </c>
      <c r="I1119" s="14">
        <v>0.958024474684491</v>
      </c>
      <c r="J1119" s="14">
        <v>0.754958877600387</v>
      </c>
      <c r="K1119" s="14" t="s">
        <v>7739</v>
      </c>
    </row>
    <row r="1120" spans="1:11">
      <c r="A1120" s="14" t="s">
        <v>18886</v>
      </c>
      <c r="B1120" s="14" t="s">
        <v>18887</v>
      </c>
      <c r="C1120" s="14" t="s">
        <v>16090</v>
      </c>
      <c r="D1120" s="14">
        <v>1</v>
      </c>
      <c r="E1120" s="14">
        <v>1378</v>
      </c>
      <c r="F1120" s="14">
        <v>15</v>
      </c>
      <c r="G1120" s="14">
        <v>15605</v>
      </c>
      <c r="H1120" s="14">
        <v>0.750276073406225</v>
      </c>
      <c r="I1120" s="14">
        <v>0.958024474684491</v>
      </c>
      <c r="J1120" s="14">
        <v>0.754958877600387</v>
      </c>
      <c r="K1120" s="14" t="s">
        <v>8082</v>
      </c>
    </row>
    <row r="1121" spans="1:11">
      <c r="A1121" s="14" t="s">
        <v>18888</v>
      </c>
      <c r="B1121" s="14" t="s">
        <v>18889</v>
      </c>
      <c r="C1121" s="14" t="s">
        <v>16090</v>
      </c>
      <c r="D1121" s="14">
        <v>1</v>
      </c>
      <c r="E1121" s="14">
        <v>1378</v>
      </c>
      <c r="F1121" s="14">
        <v>15</v>
      </c>
      <c r="G1121" s="14">
        <v>15605</v>
      </c>
      <c r="H1121" s="14">
        <v>0.750276073406225</v>
      </c>
      <c r="I1121" s="14">
        <v>0.958024474684491</v>
      </c>
      <c r="J1121" s="14">
        <v>0.754958877600387</v>
      </c>
      <c r="K1121" s="14" t="s">
        <v>4758</v>
      </c>
    </row>
    <row r="1122" spans="1:11">
      <c r="A1122" s="14" t="s">
        <v>18890</v>
      </c>
      <c r="B1122" s="14" t="s">
        <v>18891</v>
      </c>
      <c r="C1122" s="14" t="s">
        <v>16090</v>
      </c>
      <c r="D1122" s="14">
        <v>1</v>
      </c>
      <c r="E1122" s="14">
        <v>1378</v>
      </c>
      <c r="F1122" s="14">
        <v>15</v>
      </c>
      <c r="G1122" s="14">
        <v>15605</v>
      </c>
      <c r="H1122" s="14">
        <v>0.750276073406225</v>
      </c>
      <c r="I1122" s="14">
        <v>0.958024474684491</v>
      </c>
      <c r="J1122" s="14">
        <v>0.754958877600387</v>
      </c>
      <c r="K1122" s="14" t="s">
        <v>11840</v>
      </c>
    </row>
    <row r="1123" spans="1:11">
      <c r="A1123" s="14" t="s">
        <v>18892</v>
      </c>
      <c r="B1123" s="14" t="s">
        <v>18893</v>
      </c>
      <c r="C1123" s="14" t="s">
        <v>16090</v>
      </c>
      <c r="D1123" s="14">
        <v>1</v>
      </c>
      <c r="E1123" s="14">
        <v>1378</v>
      </c>
      <c r="F1123" s="14">
        <v>15</v>
      </c>
      <c r="G1123" s="14">
        <v>15605</v>
      </c>
      <c r="H1123" s="14">
        <v>0.750276073406225</v>
      </c>
      <c r="I1123" s="14">
        <v>0.958024474684491</v>
      </c>
      <c r="J1123" s="14">
        <v>0.754958877600387</v>
      </c>
      <c r="K1123" s="14" t="s">
        <v>7669</v>
      </c>
    </row>
    <row r="1124" spans="1:11">
      <c r="A1124" s="14" t="s">
        <v>18894</v>
      </c>
      <c r="B1124" s="14" t="s">
        <v>18895</v>
      </c>
      <c r="C1124" s="14" t="s">
        <v>16086</v>
      </c>
      <c r="D1124" s="14">
        <v>1</v>
      </c>
      <c r="E1124" s="14">
        <v>1378</v>
      </c>
      <c r="F1124" s="14">
        <v>15</v>
      </c>
      <c r="G1124" s="14">
        <v>15605</v>
      </c>
      <c r="H1124" s="14">
        <v>0.750276073406225</v>
      </c>
      <c r="I1124" s="14">
        <v>0.958024474684491</v>
      </c>
      <c r="J1124" s="14">
        <v>0.754958877600387</v>
      </c>
      <c r="K1124" s="14" t="s">
        <v>5540</v>
      </c>
    </row>
    <row r="1125" spans="1:11">
      <c r="A1125" s="14" t="s">
        <v>18896</v>
      </c>
      <c r="B1125" s="14" t="s">
        <v>18897</v>
      </c>
      <c r="C1125" s="14" t="s">
        <v>16090</v>
      </c>
      <c r="D1125" s="14">
        <v>1</v>
      </c>
      <c r="E1125" s="14">
        <v>1378</v>
      </c>
      <c r="F1125" s="14">
        <v>15</v>
      </c>
      <c r="G1125" s="14">
        <v>15605</v>
      </c>
      <c r="H1125" s="14">
        <v>0.750276073406225</v>
      </c>
      <c r="I1125" s="14">
        <v>0.958024474684491</v>
      </c>
      <c r="J1125" s="14">
        <v>0.754958877600387</v>
      </c>
      <c r="K1125" s="14" t="s">
        <v>13689</v>
      </c>
    </row>
    <row r="1126" spans="1:11">
      <c r="A1126" s="14" t="s">
        <v>18898</v>
      </c>
      <c r="B1126" s="14" t="s">
        <v>18899</v>
      </c>
      <c r="C1126" s="14" t="s">
        <v>16090</v>
      </c>
      <c r="D1126" s="14">
        <v>1</v>
      </c>
      <c r="E1126" s="14">
        <v>1378</v>
      </c>
      <c r="F1126" s="14">
        <v>15</v>
      </c>
      <c r="G1126" s="14">
        <v>15605</v>
      </c>
      <c r="H1126" s="14">
        <v>0.750276073406225</v>
      </c>
      <c r="I1126" s="14">
        <v>0.958024474684491</v>
      </c>
      <c r="J1126" s="14">
        <v>0.754958877600387</v>
      </c>
      <c r="K1126" s="14" t="s">
        <v>2267</v>
      </c>
    </row>
    <row r="1127" spans="1:11">
      <c r="A1127" s="14" t="s">
        <v>18900</v>
      </c>
      <c r="B1127" s="14" t="s">
        <v>18901</v>
      </c>
      <c r="C1127" s="14" t="s">
        <v>16090</v>
      </c>
      <c r="D1127" s="14">
        <v>1</v>
      </c>
      <c r="E1127" s="14">
        <v>1378</v>
      </c>
      <c r="F1127" s="14">
        <v>15</v>
      </c>
      <c r="G1127" s="14">
        <v>15605</v>
      </c>
      <c r="H1127" s="14">
        <v>0.750276073406225</v>
      </c>
      <c r="I1127" s="14">
        <v>0.958024474684491</v>
      </c>
      <c r="J1127" s="14">
        <v>0.754958877600387</v>
      </c>
      <c r="K1127" s="14" t="s">
        <v>7475</v>
      </c>
    </row>
    <row r="1128" spans="1:11">
      <c r="A1128" s="14" t="s">
        <v>18902</v>
      </c>
      <c r="B1128" s="14" t="s">
        <v>18903</v>
      </c>
      <c r="C1128" s="14" t="s">
        <v>16090</v>
      </c>
      <c r="D1128" s="14">
        <v>1</v>
      </c>
      <c r="E1128" s="14">
        <v>1378</v>
      </c>
      <c r="F1128" s="14">
        <v>15</v>
      </c>
      <c r="G1128" s="14">
        <v>15605</v>
      </c>
      <c r="H1128" s="14">
        <v>0.750276073406225</v>
      </c>
      <c r="I1128" s="14">
        <v>0.958024474684491</v>
      </c>
      <c r="J1128" s="14">
        <v>0.754958877600387</v>
      </c>
      <c r="K1128" s="14" t="s">
        <v>11292</v>
      </c>
    </row>
    <row r="1129" spans="1:11">
      <c r="A1129" s="14" t="s">
        <v>18904</v>
      </c>
      <c r="B1129" s="14" t="s">
        <v>18905</v>
      </c>
      <c r="C1129" s="14" t="s">
        <v>16090</v>
      </c>
      <c r="D1129" s="14">
        <v>1</v>
      </c>
      <c r="E1129" s="14">
        <v>1378</v>
      </c>
      <c r="F1129" s="14">
        <v>15</v>
      </c>
      <c r="G1129" s="14">
        <v>15605</v>
      </c>
      <c r="H1129" s="14">
        <v>0.750276073406225</v>
      </c>
      <c r="I1129" s="14">
        <v>0.958024474684491</v>
      </c>
      <c r="J1129" s="14">
        <v>0.754958877600387</v>
      </c>
      <c r="K1129" s="14" t="s">
        <v>512</v>
      </c>
    </row>
    <row r="1130" spans="1:11">
      <c r="A1130" s="14" t="s">
        <v>18906</v>
      </c>
      <c r="B1130" s="14" t="s">
        <v>18907</v>
      </c>
      <c r="C1130" s="14" t="s">
        <v>16086</v>
      </c>
      <c r="D1130" s="14">
        <v>1</v>
      </c>
      <c r="E1130" s="14">
        <v>1378</v>
      </c>
      <c r="F1130" s="14">
        <v>15</v>
      </c>
      <c r="G1130" s="14">
        <v>15605</v>
      </c>
      <c r="H1130" s="14">
        <v>0.750276073406225</v>
      </c>
      <c r="I1130" s="14">
        <v>0.958024474684491</v>
      </c>
      <c r="J1130" s="14">
        <v>0.754958877600387</v>
      </c>
      <c r="K1130" s="14" t="s">
        <v>9619</v>
      </c>
    </row>
    <row r="1131" spans="1:11">
      <c r="A1131" s="14" t="s">
        <v>18908</v>
      </c>
      <c r="B1131" s="14" t="s">
        <v>18909</v>
      </c>
      <c r="C1131" s="14" t="s">
        <v>16096</v>
      </c>
      <c r="D1131" s="14">
        <v>1</v>
      </c>
      <c r="E1131" s="14">
        <v>1378</v>
      </c>
      <c r="F1131" s="14">
        <v>15</v>
      </c>
      <c r="G1131" s="14">
        <v>15605</v>
      </c>
      <c r="H1131" s="14">
        <v>0.750276073406225</v>
      </c>
      <c r="I1131" s="14">
        <v>0.958024474684491</v>
      </c>
      <c r="J1131" s="14">
        <v>0.754958877600387</v>
      </c>
      <c r="K1131" s="14" t="s">
        <v>6389</v>
      </c>
    </row>
    <row r="1132" spans="1:11">
      <c r="A1132" s="14" t="s">
        <v>18910</v>
      </c>
      <c r="B1132" s="14" t="s">
        <v>18911</v>
      </c>
      <c r="C1132" s="14" t="s">
        <v>16090</v>
      </c>
      <c r="D1132" s="14">
        <v>1</v>
      </c>
      <c r="E1132" s="14">
        <v>1378</v>
      </c>
      <c r="F1132" s="14">
        <v>15</v>
      </c>
      <c r="G1132" s="14">
        <v>15605</v>
      </c>
      <c r="H1132" s="14">
        <v>0.750276073406225</v>
      </c>
      <c r="I1132" s="14">
        <v>0.958024474684491</v>
      </c>
      <c r="J1132" s="14">
        <v>0.754958877600387</v>
      </c>
      <c r="K1132" s="14" t="s">
        <v>1456</v>
      </c>
    </row>
    <row r="1133" spans="1:11">
      <c r="A1133" s="14" t="s">
        <v>18912</v>
      </c>
      <c r="B1133" s="14" t="s">
        <v>18913</v>
      </c>
      <c r="C1133" s="14" t="s">
        <v>16086</v>
      </c>
      <c r="D1133" s="14">
        <v>1</v>
      </c>
      <c r="E1133" s="14">
        <v>1378</v>
      </c>
      <c r="F1133" s="14">
        <v>15</v>
      </c>
      <c r="G1133" s="14">
        <v>15605</v>
      </c>
      <c r="H1133" s="14">
        <v>0.750276073406225</v>
      </c>
      <c r="I1133" s="14">
        <v>0.958024474684491</v>
      </c>
      <c r="J1133" s="14">
        <v>0.754958877600387</v>
      </c>
      <c r="K1133" s="14" t="s">
        <v>8466</v>
      </c>
    </row>
    <row r="1134" spans="1:11">
      <c r="A1134" s="14" t="s">
        <v>18914</v>
      </c>
      <c r="B1134" s="14" t="s">
        <v>18915</v>
      </c>
      <c r="C1134" s="14" t="s">
        <v>16086</v>
      </c>
      <c r="D1134" s="14">
        <v>1</v>
      </c>
      <c r="E1134" s="14">
        <v>1378</v>
      </c>
      <c r="F1134" s="14">
        <v>15</v>
      </c>
      <c r="G1134" s="14">
        <v>15605</v>
      </c>
      <c r="H1134" s="14">
        <v>0.750276073406225</v>
      </c>
      <c r="I1134" s="14">
        <v>0.958024474684491</v>
      </c>
      <c r="J1134" s="14">
        <v>0.754958877600387</v>
      </c>
      <c r="K1134" s="14" t="s">
        <v>9619</v>
      </c>
    </row>
    <row r="1135" spans="1:11">
      <c r="A1135" s="14" t="s">
        <v>18916</v>
      </c>
      <c r="B1135" s="14" t="s">
        <v>18917</v>
      </c>
      <c r="C1135" s="14" t="s">
        <v>16090</v>
      </c>
      <c r="D1135" s="14">
        <v>1</v>
      </c>
      <c r="E1135" s="14">
        <v>1378</v>
      </c>
      <c r="F1135" s="14">
        <v>15</v>
      </c>
      <c r="G1135" s="14">
        <v>15605</v>
      </c>
      <c r="H1135" s="14">
        <v>0.750276073406225</v>
      </c>
      <c r="I1135" s="14">
        <v>0.958024474684491</v>
      </c>
      <c r="J1135" s="14">
        <v>0.754958877600387</v>
      </c>
      <c r="K1135" s="14" t="s">
        <v>10379</v>
      </c>
    </row>
    <row r="1136" spans="1:11">
      <c r="A1136" s="14" t="s">
        <v>18918</v>
      </c>
      <c r="B1136" s="14" t="s">
        <v>18919</v>
      </c>
      <c r="C1136" s="14" t="s">
        <v>16090</v>
      </c>
      <c r="D1136" s="14">
        <v>1</v>
      </c>
      <c r="E1136" s="14">
        <v>1378</v>
      </c>
      <c r="F1136" s="14">
        <v>15</v>
      </c>
      <c r="G1136" s="14">
        <v>15605</v>
      </c>
      <c r="H1136" s="14">
        <v>0.750276073406225</v>
      </c>
      <c r="I1136" s="14">
        <v>0.958024474684491</v>
      </c>
      <c r="J1136" s="14">
        <v>0.754958877600387</v>
      </c>
      <c r="K1136" s="14" t="s">
        <v>10545</v>
      </c>
    </row>
    <row r="1137" spans="1:11">
      <c r="A1137" s="14" t="s">
        <v>18920</v>
      </c>
      <c r="B1137" s="14" t="s">
        <v>18921</v>
      </c>
      <c r="C1137" s="14" t="s">
        <v>16096</v>
      </c>
      <c r="D1137" s="14">
        <v>6</v>
      </c>
      <c r="E1137" s="14">
        <v>1378</v>
      </c>
      <c r="F1137" s="14">
        <v>83</v>
      </c>
      <c r="G1137" s="14">
        <v>15605</v>
      </c>
      <c r="H1137" s="14">
        <v>0.752505298789152</v>
      </c>
      <c r="I1137" s="14">
        <v>0.960024381186512</v>
      </c>
      <c r="J1137" s="14">
        <v>0.818630108241383</v>
      </c>
      <c r="K1137" s="14" t="s">
        <v>18922</v>
      </c>
    </row>
    <row r="1138" spans="1:11">
      <c r="A1138" s="14" t="s">
        <v>18923</v>
      </c>
      <c r="B1138" s="14" t="s">
        <v>18924</v>
      </c>
      <c r="C1138" s="14" t="s">
        <v>16086</v>
      </c>
      <c r="D1138" s="14">
        <v>2</v>
      </c>
      <c r="E1138" s="14">
        <v>1378</v>
      </c>
      <c r="F1138" s="14">
        <v>30</v>
      </c>
      <c r="G1138" s="14">
        <v>15605</v>
      </c>
      <c r="H1138" s="14">
        <v>0.75640090007408</v>
      </c>
      <c r="I1138" s="14">
        <v>0.964144809249356</v>
      </c>
      <c r="J1138" s="14">
        <v>0.754958877600387</v>
      </c>
      <c r="K1138" s="14" t="s">
        <v>18925</v>
      </c>
    </row>
    <row r="1139" spans="1:11">
      <c r="A1139" s="14" t="s">
        <v>18926</v>
      </c>
      <c r="B1139" s="14" t="s">
        <v>18927</v>
      </c>
      <c r="C1139" s="14" t="s">
        <v>16090</v>
      </c>
      <c r="D1139" s="14">
        <v>8</v>
      </c>
      <c r="E1139" s="14">
        <v>1378</v>
      </c>
      <c r="F1139" s="14">
        <v>109</v>
      </c>
      <c r="G1139" s="14">
        <v>15605</v>
      </c>
      <c r="H1139" s="14">
        <v>0.757195548279422</v>
      </c>
      <c r="I1139" s="14">
        <v>0.964308842487778</v>
      </c>
      <c r="J1139" s="14">
        <v>0.831147388183912</v>
      </c>
      <c r="K1139" s="14" t="s">
        <v>18928</v>
      </c>
    </row>
    <row r="1140" spans="1:11">
      <c r="A1140" s="14" t="s">
        <v>18929</v>
      </c>
      <c r="B1140" s="14" t="s">
        <v>18930</v>
      </c>
      <c r="C1140" s="14" t="s">
        <v>16096</v>
      </c>
      <c r="D1140" s="14">
        <v>1</v>
      </c>
      <c r="E1140" s="14">
        <v>1378</v>
      </c>
      <c r="F1140" s="14">
        <v>16</v>
      </c>
      <c r="G1140" s="14">
        <v>15605</v>
      </c>
      <c r="H1140" s="14">
        <v>0.772349169676027</v>
      </c>
      <c r="I1140" s="14">
        <v>0.970904040548081</v>
      </c>
      <c r="J1140" s="14">
        <v>0.707773947750363</v>
      </c>
      <c r="K1140" s="14" t="s">
        <v>5365</v>
      </c>
    </row>
    <row r="1141" spans="1:11">
      <c r="A1141" s="14" t="s">
        <v>18931</v>
      </c>
      <c r="B1141" s="14" t="s">
        <v>18932</v>
      </c>
      <c r="C1141" s="14" t="s">
        <v>16086</v>
      </c>
      <c r="D1141" s="14">
        <v>1</v>
      </c>
      <c r="E1141" s="14">
        <v>1378</v>
      </c>
      <c r="F1141" s="14">
        <v>16</v>
      </c>
      <c r="G1141" s="14">
        <v>15605</v>
      </c>
      <c r="H1141" s="14">
        <v>0.772349169676027</v>
      </c>
      <c r="I1141" s="14">
        <v>0.970904040548081</v>
      </c>
      <c r="J1141" s="14">
        <v>0.707773947750363</v>
      </c>
      <c r="K1141" s="14" t="s">
        <v>15318</v>
      </c>
    </row>
    <row r="1142" spans="1:11">
      <c r="A1142" s="14" t="s">
        <v>18933</v>
      </c>
      <c r="B1142" s="14" t="s">
        <v>18934</v>
      </c>
      <c r="C1142" s="14" t="s">
        <v>16090</v>
      </c>
      <c r="D1142" s="14">
        <v>1</v>
      </c>
      <c r="E1142" s="14">
        <v>1378</v>
      </c>
      <c r="F1142" s="14">
        <v>16</v>
      </c>
      <c r="G1142" s="14">
        <v>15605</v>
      </c>
      <c r="H1142" s="14">
        <v>0.772349169676027</v>
      </c>
      <c r="I1142" s="14">
        <v>0.970904040548081</v>
      </c>
      <c r="J1142" s="14">
        <v>0.707773947750363</v>
      </c>
      <c r="K1142" s="14" t="s">
        <v>13490</v>
      </c>
    </row>
    <row r="1143" spans="1:11">
      <c r="A1143" s="14" t="s">
        <v>18935</v>
      </c>
      <c r="B1143" s="14" t="s">
        <v>18936</v>
      </c>
      <c r="C1143" s="14" t="s">
        <v>16090</v>
      </c>
      <c r="D1143" s="14">
        <v>1</v>
      </c>
      <c r="E1143" s="14">
        <v>1378</v>
      </c>
      <c r="F1143" s="14">
        <v>16</v>
      </c>
      <c r="G1143" s="14">
        <v>15605</v>
      </c>
      <c r="H1143" s="14">
        <v>0.772349169676027</v>
      </c>
      <c r="I1143" s="14">
        <v>0.970904040548081</v>
      </c>
      <c r="J1143" s="14">
        <v>0.707773947750363</v>
      </c>
      <c r="K1143" s="14" t="s">
        <v>13460</v>
      </c>
    </row>
    <row r="1144" spans="1:11">
      <c r="A1144" s="14" t="s">
        <v>18937</v>
      </c>
      <c r="B1144" s="14" t="s">
        <v>18938</v>
      </c>
      <c r="C1144" s="14" t="s">
        <v>16090</v>
      </c>
      <c r="D1144" s="14">
        <v>1</v>
      </c>
      <c r="E1144" s="14">
        <v>1378</v>
      </c>
      <c r="F1144" s="14">
        <v>16</v>
      </c>
      <c r="G1144" s="14">
        <v>15605</v>
      </c>
      <c r="H1144" s="14">
        <v>0.772349169676027</v>
      </c>
      <c r="I1144" s="14">
        <v>0.970904040548081</v>
      </c>
      <c r="J1144" s="14">
        <v>0.707773947750363</v>
      </c>
      <c r="K1144" s="14" t="s">
        <v>5834</v>
      </c>
    </row>
    <row r="1145" spans="1:11">
      <c r="A1145" s="14" t="s">
        <v>18939</v>
      </c>
      <c r="B1145" s="14" t="s">
        <v>18940</v>
      </c>
      <c r="C1145" s="14" t="s">
        <v>16096</v>
      </c>
      <c r="D1145" s="14">
        <v>1</v>
      </c>
      <c r="E1145" s="14">
        <v>1378</v>
      </c>
      <c r="F1145" s="14">
        <v>16</v>
      </c>
      <c r="G1145" s="14">
        <v>15605</v>
      </c>
      <c r="H1145" s="14">
        <v>0.772349169676027</v>
      </c>
      <c r="I1145" s="14">
        <v>0.970904040548081</v>
      </c>
      <c r="J1145" s="14">
        <v>0.707773947750363</v>
      </c>
      <c r="K1145" s="14" t="s">
        <v>15941</v>
      </c>
    </row>
    <row r="1146" spans="1:11">
      <c r="A1146" s="14" t="s">
        <v>18941</v>
      </c>
      <c r="B1146" s="14" t="s">
        <v>18942</v>
      </c>
      <c r="C1146" s="14" t="s">
        <v>16086</v>
      </c>
      <c r="D1146" s="14">
        <v>1</v>
      </c>
      <c r="E1146" s="14">
        <v>1378</v>
      </c>
      <c r="F1146" s="14">
        <v>16</v>
      </c>
      <c r="G1146" s="14">
        <v>15605</v>
      </c>
      <c r="H1146" s="14">
        <v>0.772349169676027</v>
      </c>
      <c r="I1146" s="14">
        <v>0.970904040548081</v>
      </c>
      <c r="J1146" s="14">
        <v>0.707773947750363</v>
      </c>
      <c r="K1146" s="14" t="s">
        <v>4758</v>
      </c>
    </row>
    <row r="1147" spans="1:11">
      <c r="A1147" s="14" t="s">
        <v>18943</v>
      </c>
      <c r="B1147" s="14" t="s">
        <v>18944</v>
      </c>
      <c r="C1147" s="14" t="s">
        <v>16090</v>
      </c>
      <c r="D1147" s="14">
        <v>1</v>
      </c>
      <c r="E1147" s="14">
        <v>1378</v>
      </c>
      <c r="F1147" s="14">
        <v>16</v>
      </c>
      <c r="G1147" s="14">
        <v>15605</v>
      </c>
      <c r="H1147" s="14">
        <v>0.772349169676027</v>
      </c>
      <c r="I1147" s="14">
        <v>0.970904040548081</v>
      </c>
      <c r="J1147" s="14">
        <v>0.707773947750363</v>
      </c>
      <c r="K1147" s="14" t="s">
        <v>7475</v>
      </c>
    </row>
    <row r="1148" spans="1:11">
      <c r="A1148" s="14" t="s">
        <v>18945</v>
      </c>
      <c r="B1148" s="14" t="s">
        <v>18946</v>
      </c>
      <c r="C1148" s="14" t="s">
        <v>16086</v>
      </c>
      <c r="D1148" s="14">
        <v>1</v>
      </c>
      <c r="E1148" s="14">
        <v>1378</v>
      </c>
      <c r="F1148" s="14">
        <v>16</v>
      </c>
      <c r="G1148" s="14">
        <v>15605</v>
      </c>
      <c r="H1148" s="14">
        <v>0.772349169676027</v>
      </c>
      <c r="I1148" s="14">
        <v>0.970904040548081</v>
      </c>
      <c r="J1148" s="14">
        <v>0.707773947750363</v>
      </c>
      <c r="K1148" s="14" t="s">
        <v>11618</v>
      </c>
    </row>
    <row r="1149" spans="1:11">
      <c r="A1149" s="14" t="s">
        <v>18947</v>
      </c>
      <c r="B1149" s="14" t="s">
        <v>18948</v>
      </c>
      <c r="C1149" s="14" t="s">
        <v>16096</v>
      </c>
      <c r="D1149" s="14">
        <v>1</v>
      </c>
      <c r="E1149" s="14">
        <v>1378</v>
      </c>
      <c r="F1149" s="14">
        <v>16</v>
      </c>
      <c r="G1149" s="14">
        <v>15605</v>
      </c>
      <c r="H1149" s="14">
        <v>0.772349169676027</v>
      </c>
      <c r="I1149" s="14">
        <v>0.970904040548081</v>
      </c>
      <c r="J1149" s="14">
        <v>0.707773947750363</v>
      </c>
      <c r="K1149" s="14" t="s">
        <v>1812</v>
      </c>
    </row>
    <row r="1150" spans="1:11">
      <c r="A1150" s="14" t="s">
        <v>18949</v>
      </c>
      <c r="B1150" s="14" t="s">
        <v>18950</v>
      </c>
      <c r="C1150" s="14" t="s">
        <v>16090</v>
      </c>
      <c r="D1150" s="14">
        <v>1</v>
      </c>
      <c r="E1150" s="14">
        <v>1378</v>
      </c>
      <c r="F1150" s="14">
        <v>16</v>
      </c>
      <c r="G1150" s="14">
        <v>15605</v>
      </c>
      <c r="H1150" s="14">
        <v>0.772349169676027</v>
      </c>
      <c r="I1150" s="14">
        <v>0.970904040548081</v>
      </c>
      <c r="J1150" s="14">
        <v>0.707773947750363</v>
      </c>
      <c r="K1150" s="14" t="s">
        <v>11689</v>
      </c>
    </row>
    <row r="1151" spans="1:11">
      <c r="A1151" s="14" t="s">
        <v>18951</v>
      </c>
      <c r="B1151" s="14" t="s">
        <v>18952</v>
      </c>
      <c r="C1151" s="14" t="s">
        <v>16090</v>
      </c>
      <c r="D1151" s="14">
        <v>1</v>
      </c>
      <c r="E1151" s="14">
        <v>1378</v>
      </c>
      <c r="F1151" s="14">
        <v>16</v>
      </c>
      <c r="G1151" s="14">
        <v>15605</v>
      </c>
      <c r="H1151" s="14">
        <v>0.772349169676027</v>
      </c>
      <c r="I1151" s="14">
        <v>0.970904040548081</v>
      </c>
      <c r="J1151" s="14">
        <v>0.707773947750363</v>
      </c>
      <c r="K1151" s="14" t="s">
        <v>625</v>
      </c>
    </row>
    <row r="1152" spans="1:11">
      <c r="A1152" s="14" t="s">
        <v>18953</v>
      </c>
      <c r="B1152" s="14" t="s">
        <v>18954</v>
      </c>
      <c r="C1152" s="14" t="s">
        <v>16090</v>
      </c>
      <c r="D1152" s="14">
        <v>2</v>
      </c>
      <c r="E1152" s="14">
        <v>1378</v>
      </c>
      <c r="F1152" s="14">
        <v>31</v>
      </c>
      <c r="G1152" s="14">
        <v>15605</v>
      </c>
      <c r="H1152" s="14">
        <v>0.772431943861457</v>
      </c>
      <c r="I1152" s="14">
        <v>0.970904040548081</v>
      </c>
      <c r="J1152" s="14">
        <v>0.730605365419729</v>
      </c>
      <c r="K1152" s="14" t="s">
        <v>18955</v>
      </c>
    </row>
    <row r="1153" spans="1:11">
      <c r="A1153" s="14" t="s">
        <v>18956</v>
      </c>
      <c r="B1153" s="14" t="s">
        <v>18957</v>
      </c>
      <c r="C1153" s="14" t="s">
        <v>16090</v>
      </c>
      <c r="D1153" s="14">
        <v>2</v>
      </c>
      <c r="E1153" s="14">
        <v>1378</v>
      </c>
      <c r="F1153" s="14">
        <v>31</v>
      </c>
      <c r="G1153" s="14">
        <v>15605</v>
      </c>
      <c r="H1153" s="14">
        <v>0.772431943861457</v>
      </c>
      <c r="I1153" s="14">
        <v>0.970904040548081</v>
      </c>
      <c r="J1153" s="14">
        <v>0.730605365419729</v>
      </c>
      <c r="K1153" s="14" t="s">
        <v>18958</v>
      </c>
    </row>
    <row r="1154" spans="1:11">
      <c r="A1154" s="14" t="s">
        <v>18959</v>
      </c>
      <c r="B1154" s="14" t="s">
        <v>18960</v>
      </c>
      <c r="C1154" s="14" t="s">
        <v>16096</v>
      </c>
      <c r="D1154" s="14">
        <v>2</v>
      </c>
      <c r="E1154" s="14">
        <v>1378</v>
      </c>
      <c r="F1154" s="14">
        <v>31</v>
      </c>
      <c r="G1154" s="14">
        <v>15605</v>
      </c>
      <c r="H1154" s="14">
        <v>0.772431943861457</v>
      </c>
      <c r="I1154" s="14">
        <v>0.970904040548081</v>
      </c>
      <c r="J1154" s="14">
        <v>0.730605365419729</v>
      </c>
      <c r="K1154" s="14" t="s">
        <v>18961</v>
      </c>
    </row>
    <row r="1155" spans="1:11">
      <c r="A1155" s="14" t="s">
        <v>18962</v>
      </c>
      <c r="B1155" s="14" t="s">
        <v>18963</v>
      </c>
      <c r="C1155" s="14" t="s">
        <v>16086</v>
      </c>
      <c r="D1155" s="14">
        <v>4</v>
      </c>
      <c r="E1155" s="14">
        <v>1378</v>
      </c>
      <c r="F1155" s="14">
        <v>59</v>
      </c>
      <c r="G1155" s="14">
        <v>15605</v>
      </c>
      <c r="H1155" s="14">
        <v>0.776821799221922</v>
      </c>
      <c r="I1155" s="14">
        <v>0.975574991564045</v>
      </c>
      <c r="J1155" s="14">
        <v>0.767754790780055</v>
      </c>
      <c r="K1155" s="14" t="s">
        <v>18964</v>
      </c>
    </row>
    <row r="1156" spans="1:11">
      <c r="A1156" s="14" t="s">
        <v>18965</v>
      </c>
      <c r="B1156" s="14" t="s">
        <v>18966</v>
      </c>
      <c r="C1156" s="14" t="s">
        <v>16090</v>
      </c>
      <c r="D1156" s="14">
        <v>6</v>
      </c>
      <c r="E1156" s="14">
        <v>1378</v>
      </c>
      <c r="F1156" s="14">
        <v>86</v>
      </c>
      <c r="G1156" s="14">
        <v>15605</v>
      </c>
      <c r="H1156" s="14">
        <v>0.782107640329225</v>
      </c>
      <c r="I1156" s="14">
        <v>0.980958598266829</v>
      </c>
      <c r="J1156" s="14">
        <v>0.790073244000405</v>
      </c>
      <c r="K1156" s="14" t="s">
        <v>18967</v>
      </c>
    </row>
    <row r="1157" spans="1:11">
      <c r="A1157" s="14" t="s">
        <v>18968</v>
      </c>
      <c r="B1157" s="14" t="s">
        <v>18969</v>
      </c>
      <c r="C1157" s="14" t="s">
        <v>16090</v>
      </c>
      <c r="D1157" s="14">
        <v>15</v>
      </c>
      <c r="E1157" s="14">
        <v>1378</v>
      </c>
      <c r="F1157" s="14">
        <v>200</v>
      </c>
      <c r="G1157" s="14">
        <v>15605</v>
      </c>
      <c r="H1157" s="14">
        <v>0.782463522788803</v>
      </c>
      <c r="I1157" s="14">
        <v>0.980958598266829</v>
      </c>
      <c r="J1157" s="14">
        <v>0.849328737300435</v>
      </c>
      <c r="K1157" s="14" t="s">
        <v>18970</v>
      </c>
    </row>
    <row r="1158" spans="1:11">
      <c r="A1158" s="14" t="s">
        <v>18971</v>
      </c>
      <c r="B1158" s="14" t="s">
        <v>18972</v>
      </c>
      <c r="C1158" s="14" t="s">
        <v>16086</v>
      </c>
      <c r="D1158" s="14">
        <v>3</v>
      </c>
      <c r="E1158" s="14">
        <v>1378</v>
      </c>
      <c r="F1158" s="14">
        <v>46</v>
      </c>
      <c r="G1158" s="14">
        <v>15605</v>
      </c>
      <c r="H1158" s="14">
        <v>0.784681897668852</v>
      </c>
      <c r="I1158" s="14">
        <v>0.981608385811803</v>
      </c>
      <c r="J1158" s="14">
        <v>0.738546728087335</v>
      </c>
      <c r="K1158" s="14" t="s">
        <v>18973</v>
      </c>
    </row>
    <row r="1159" spans="1:11">
      <c r="A1159" s="14" t="s">
        <v>18974</v>
      </c>
      <c r="B1159" s="14" t="s">
        <v>18975</v>
      </c>
      <c r="C1159" s="14" t="s">
        <v>16086</v>
      </c>
      <c r="D1159" s="14">
        <v>9</v>
      </c>
      <c r="E1159" s="14">
        <v>1378</v>
      </c>
      <c r="F1159" s="14">
        <v>125</v>
      </c>
      <c r="G1159" s="14">
        <v>15605</v>
      </c>
      <c r="H1159" s="14">
        <v>0.784755625418613</v>
      </c>
      <c r="I1159" s="14">
        <v>0.981608385811803</v>
      </c>
      <c r="J1159" s="14">
        <v>0.815355587808418</v>
      </c>
      <c r="K1159" s="14" t="s">
        <v>18976</v>
      </c>
    </row>
    <row r="1160" spans="1:11">
      <c r="A1160" s="14" t="s">
        <v>18977</v>
      </c>
      <c r="B1160" s="14" t="s">
        <v>18978</v>
      </c>
      <c r="C1160" s="14" t="s">
        <v>16090</v>
      </c>
      <c r="D1160" s="14">
        <v>2</v>
      </c>
      <c r="E1160" s="14">
        <v>1378</v>
      </c>
      <c r="F1160" s="14">
        <v>32</v>
      </c>
      <c r="G1160" s="14">
        <v>15605</v>
      </c>
      <c r="H1160" s="14">
        <v>0.787533762170793</v>
      </c>
      <c r="I1160" s="14">
        <v>0.981608385811803</v>
      </c>
      <c r="J1160" s="14">
        <v>0.707773947750363</v>
      </c>
      <c r="K1160" s="14" t="s">
        <v>18979</v>
      </c>
    </row>
    <row r="1161" spans="1:11">
      <c r="A1161" s="14" t="s">
        <v>18980</v>
      </c>
      <c r="B1161" s="14" t="s">
        <v>18981</v>
      </c>
      <c r="C1161" s="14" t="s">
        <v>16086</v>
      </c>
      <c r="D1161" s="14">
        <v>2</v>
      </c>
      <c r="E1161" s="14">
        <v>1378</v>
      </c>
      <c r="F1161" s="14">
        <v>32</v>
      </c>
      <c r="G1161" s="14">
        <v>15605</v>
      </c>
      <c r="H1161" s="14">
        <v>0.787533762170793</v>
      </c>
      <c r="I1161" s="14">
        <v>0.981608385811803</v>
      </c>
      <c r="J1161" s="14">
        <v>0.707773947750363</v>
      </c>
      <c r="K1161" s="14" t="s">
        <v>18982</v>
      </c>
    </row>
    <row r="1162" spans="1:11">
      <c r="A1162" s="14" t="s">
        <v>18983</v>
      </c>
      <c r="B1162" s="14" t="s">
        <v>18984</v>
      </c>
      <c r="C1162" s="14" t="s">
        <v>16086</v>
      </c>
      <c r="D1162" s="14">
        <v>1</v>
      </c>
      <c r="E1162" s="14">
        <v>1378</v>
      </c>
      <c r="F1162" s="14">
        <v>17</v>
      </c>
      <c r="G1162" s="14">
        <v>15605</v>
      </c>
      <c r="H1162" s="14">
        <v>0.792472515893645</v>
      </c>
      <c r="I1162" s="14">
        <v>0.981608385811803</v>
      </c>
      <c r="J1162" s="14">
        <v>0.666140186117989</v>
      </c>
      <c r="K1162" s="14" t="s">
        <v>12499</v>
      </c>
    </row>
    <row r="1163" spans="1:11">
      <c r="A1163" s="14" t="s">
        <v>18985</v>
      </c>
      <c r="B1163" s="14" t="s">
        <v>18986</v>
      </c>
      <c r="C1163" s="14" t="s">
        <v>16096</v>
      </c>
      <c r="D1163" s="14">
        <v>1</v>
      </c>
      <c r="E1163" s="14">
        <v>1378</v>
      </c>
      <c r="F1163" s="14">
        <v>17</v>
      </c>
      <c r="G1163" s="14">
        <v>15605</v>
      </c>
      <c r="H1163" s="14">
        <v>0.792472515893645</v>
      </c>
      <c r="I1163" s="14">
        <v>0.981608385811803</v>
      </c>
      <c r="J1163" s="14">
        <v>0.666140186117989</v>
      </c>
      <c r="K1163" s="14" t="s">
        <v>13730</v>
      </c>
    </row>
    <row r="1164" spans="1:11">
      <c r="A1164" s="14" t="s">
        <v>18987</v>
      </c>
      <c r="B1164" s="14" t="s">
        <v>18988</v>
      </c>
      <c r="C1164" s="14" t="s">
        <v>16090</v>
      </c>
      <c r="D1164" s="14">
        <v>1</v>
      </c>
      <c r="E1164" s="14">
        <v>1378</v>
      </c>
      <c r="F1164" s="14">
        <v>17</v>
      </c>
      <c r="G1164" s="14">
        <v>15605</v>
      </c>
      <c r="H1164" s="14">
        <v>0.792472515893645</v>
      </c>
      <c r="I1164" s="14">
        <v>0.981608385811803</v>
      </c>
      <c r="J1164" s="14">
        <v>0.666140186117989</v>
      </c>
      <c r="K1164" s="14" t="s">
        <v>1676</v>
      </c>
    </row>
    <row r="1165" spans="1:11">
      <c r="A1165" s="14" t="s">
        <v>18989</v>
      </c>
      <c r="B1165" s="14" t="s">
        <v>18990</v>
      </c>
      <c r="C1165" s="14" t="s">
        <v>16090</v>
      </c>
      <c r="D1165" s="14">
        <v>1</v>
      </c>
      <c r="E1165" s="14">
        <v>1378</v>
      </c>
      <c r="F1165" s="14">
        <v>17</v>
      </c>
      <c r="G1165" s="14">
        <v>15605</v>
      </c>
      <c r="H1165" s="14">
        <v>0.792472515893645</v>
      </c>
      <c r="I1165" s="14">
        <v>0.981608385811803</v>
      </c>
      <c r="J1165" s="14">
        <v>0.666140186117989</v>
      </c>
      <c r="K1165" s="14" t="s">
        <v>1083</v>
      </c>
    </row>
    <row r="1166" spans="1:11">
      <c r="A1166" s="14" t="s">
        <v>18991</v>
      </c>
      <c r="B1166" s="14" t="s">
        <v>18992</v>
      </c>
      <c r="C1166" s="14" t="s">
        <v>16096</v>
      </c>
      <c r="D1166" s="14">
        <v>1</v>
      </c>
      <c r="E1166" s="14">
        <v>1378</v>
      </c>
      <c r="F1166" s="14">
        <v>17</v>
      </c>
      <c r="G1166" s="14">
        <v>15605</v>
      </c>
      <c r="H1166" s="14">
        <v>0.792472515893645</v>
      </c>
      <c r="I1166" s="14">
        <v>0.981608385811803</v>
      </c>
      <c r="J1166" s="14">
        <v>0.666140186117989</v>
      </c>
      <c r="K1166" s="14" t="s">
        <v>11038</v>
      </c>
    </row>
    <row r="1167" spans="1:11">
      <c r="A1167" s="14" t="s">
        <v>18993</v>
      </c>
      <c r="B1167" s="14" t="s">
        <v>18994</v>
      </c>
      <c r="C1167" s="14" t="s">
        <v>16090</v>
      </c>
      <c r="D1167" s="14">
        <v>1</v>
      </c>
      <c r="E1167" s="14">
        <v>1378</v>
      </c>
      <c r="F1167" s="14">
        <v>17</v>
      </c>
      <c r="G1167" s="14">
        <v>15605</v>
      </c>
      <c r="H1167" s="14">
        <v>0.792472515893645</v>
      </c>
      <c r="I1167" s="14">
        <v>0.981608385811803</v>
      </c>
      <c r="J1167" s="14">
        <v>0.666140186117989</v>
      </c>
      <c r="K1167" s="14" t="s">
        <v>14138</v>
      </c>
    </row>
    <row r="1168" spans="1:11">
      <c r="A1168" s="14" t="s">
        <v>18995</v>
      </c>
      <c r="B1168" s="14" t="s">
        <v>18996</v>
      </c>
      <c r="C1168" s="14" t="s">
        <v>16086</v>
      </c>
      <c r="D1168" s="14">
        <v>1</v>
      </c>
      <c r="E1168" s="14">
        <v>1378</v>
      </c>
      <c r="F1168" s="14">
        <v>17</v>
      </c>
      <c r="G1168" s="14">
        <v>15605</v>
      </c>
      <c r="H1168" s="14">
        <v>0.792472515893645</v>
      </c>
      <c r="I1168" s="14">
        <v>0.981608385811803</v>
      </c>
      <c r="J1168" s="14">
        <v>0.666140186117989</v>
      </c>
      <c r="K1168" s="14" t="s">
        <v>11618</v>
      </c>
    </row>
    <row r="1169" spans="1:11">
      <c r="A1169" s="14" t="s">
        <v>18997</v>
      </c>
      <c r="B1169" s="14" t="s">
        <v>18998</v>
      </c>
      <c r="C1169" s="14" t="s">
        <v>16090</v>
      </c>
      <c r="D1169" s="14">
        <v>1</v>
      </c>
      <c r="E1169" s="14">
        <v>1378</v>
      </c>
      <c r="F1169" s="14">
        <v>17</v>
      </c>
      <c r="G1169" s="14">
        <v>15605</v>
      </c>
      <c r="H1169" s="14">
        <v>0.792472515893645</v>
      </c>
      <c r="I1169" s="14">
        <v>0.981608385811803</v>
      </c>
      <c r="J1169" s="14">
        <v>0.666140186117989</v>
      </c>
      <c r="K1169" s="14" t="s">
        <v>12117</v>
      </c>
    </row>
    <row r="1170" spans="1:11">
      <c r="A1170" s="14" t="s">
        <v>18999</v>
      </c>
      <c r="B1170" s="14" t="s">
        <v>19000</v>
      </c>
      <c r="C1170" s="14" t="s">
        <v>16090</v>
      </c>
      <c r="D1170" s="14">
        <v>1</v>
      </c>
      <c r="E1170" s="14">
        <v>1378</v>
      </c>
      <c r="F1170" s="14">
        <v>17</v>
      </c>
      <c r="G1170" s="14">
        <v>15605</v>
      </c>
      <c r="H1170" s="14">
        <v>0.792472515893645</v>
      </c>
      <c r="I1170" s="14">
        <v>0.981608385811803</v>
      </c>
      <c r="J1170" s="14">
        <v>0.666140186117989</v>
      </c>
      <c r="K1170" s="14" t="s">
        <v>2715</v>
      </c>
    </row>
    <row r="1171" spans="1:11">
      <c r="A1171" s="14" t="s">
        <v>19001</v>
      </c>
      <c r="B1171" s="14" t="s">
        <v>19002</v>
      </c>
      <c r="C1171" s="14" t="s">
        <v>16090</v>
      </c>
      <c r="D1171" s="14">
        <v>1</v>
      </c>
      <c r="E1171" s="14">
        <v>1378</v>
      </c>
      <c r="F1171" s="14">
        <v>17</v>
      </c>
      <c r="G1171" s="14">
        <v>15605</v>
      </c>
      <c r="H1171" s="14">
        <v>0.792472515893645</v>
      </c>
      <c r="I1171" s="14">
        <v>0.981608385811803</v>
      </c>
      <c r="J1171" s="14">
        <v>0.666140186117989</v>
      </c>
      <c r="K1171" s="14" t="s">
        <v>15969</v>
      </c>
    </row>
    <row r="1172" spans="1:11">
      <c r="A1172" s="14" t="s">
        <v>19003</v>
      </c>
      <c r="B1172" s="14" t="s">
        <v>19004</v>
      </c>
      <c r="C1172" s="14" t="s">
        <v>16096</v>
      </c>
      <c r="D1172" s="14">
        <v>3</v>
      </c>
      <c r="E1172" s="14">
        <v>1378</v>
      </c>
      <c r="F1172" s="14">
        <v>47</v>
      </c>
      <c r="G1172" s="14">
        <v>15605</v>
      </c>
      <c r="H1172" s="14">
        <v>0.796886923897512</v>
      </c>
      <c r="I1172" s="14">
        <v>0.985390491719554</v>
      </c>
      <c r="J1172" s="14">
        <v>0.722832967915264</v>
      </c>
      <c r="K1172" s="14" t="s">
        <v>19005</v>
      </c>
    </row>
    <row r="1173" spans="1:11">
      <c r="A1173" s="14" t="s">
        <v>19006</v>
      </c>
      <c r="B1173" s="14" t="s">
        <v>19007</v>
      </c>
      <c r="C1173" s="14" t="s">
        <v>16096</v>
      </c>
      <c r="D1173" s="14">
        <v>3</v>
      </c>
      <c r="E1173" s="14">
        <v>1378</v>
      </c>
      <c r="F1173" s="14">
        <v>47</v>
      </c>
      <c r="G1173" s="14">
        <v>15605</v>
      </c>
      <c r="H1173" s="14">
        <v>0.796886923897512</v>
      </c>
      <c r="I1173" s="14">
        <v>0.985390491719554</v>
      </c>
      <c r="J1173" s="14">
        <v>0.722832967915264</v>
      </c>
      <c r="K1173" s="14" t="s">
        <v>19008</v>
      </c>
    </row>
    <row r="1174" spans="1:11">
      <c r="A1174" s="14" t="s">
        <v>19009</v>
      </c>
      <c r="B1174" s="14" t="s">
        <v>19010</v>
      </c>
      <c r="C1174" s="14" t="s">
        <v>16086</v>
      </c>
      <c r="D1174" s="14">
        <v>4</v>
      </c>
      <c r="E1174" s="14">
        <v>1378</v>
      </c>
      <c r="F1174" s="14">
        <v>61</v>
      </c>
      <c r="G1174" s="14">
        <v>15605</v>
      </c>
      <c r="H1174" s="14">
        <v>0.798701671074917</v>
      </c>
      <c r="I1174" s="14">
        <v>0.985950570943291</v>
      </c>
      <c r="J1174" s="14">
        <v>0.742582502557758</v>
      </c>
      <c r="K1174" s="14" t="s">
        <v>19011</v>
      </c>
    </row>
    <row r="1175" spans="1:11">
      <c r="A1175" s="14" t="s">
        <v>19012</v>
      </c>
      <c r="B1175" s="14" t="s">
        <v>19013</v>
      </c>
      <c r="C1175" s="14" t="s">
        <v>16090</v>
      </c>
      <c r="D1175" s="14">
        <v>4</v>
      </c>
      <c r="E1175" s="14">
        <v>1378</v>
      </c>
      <c r="F1175" s="14">
        <v>61</v>
      </c>
      <c r="G1175" s="14">
        <v>15605</v>
      </c>
      <c r="H1175" s="14">
        <v>0.798701671074917</v>
      </c>
      <c r="I1175" s="14">
        <v>0.985950570943291</v>
      </c>
      <c r="J1175" s="14">
        <v>0.742582502557758</v>
      </c>
      <c r="K1175" s="14" t="s">
        <v>19014</v>
      </c>
    </row>
    <row r="1176" spans="1:11">
      <c r="A1176" s="14" t="s">
        <v>19015</v>
      </c>
      <c r="B1176" s="14" t="s">
        <v>19016</v>
      </c>
      <c r="C1176" s="14" t="s">
        <v>16086</v>
      </c>
      <c r="D1176" s="14">
        <v>2</v>
      </c>
      <c r="E1176" s="14">
        <v>1378</v>
      </c>
      <c r="F1176" s="14">
        <v>33</v>
      </c>
      <c r="G1176" s="14">
        <v>15605</v>
      </c>
      <c r="H1176" s="14">
        <v>0.801745324500973</v>
      </c>
      <c r="I1176" s="14">
        <v>0.988023174363753</v>
      </c>
      <c r="J1176" s="14">
        <v>0.686326252363988</v>
      </c>
      <c r="K1176" s="14" t="s">
        <v>19017</v>
      </c>
    </row>
    <row r="1177" spans="1:11">
      <c r="A1177" s="14" t="s">
        <v>19018</v>
      </c>
      <c r="B1177" s="14" t="s">
        <v>19019</v>
      </c>
      <c r="C1177" s="14" t="s">
        <v>16086</v>
      </c>
      <c r="D1177" s="14">
        <v>2</v>
      </c>
      <c r="E1177" s="14">
        <v>1378</v>
      </c>
      <c r="F1177" s="14">
        <v>33</v>
      </c>
      <c r="G1177" s="14">
        <v>15605</v>
      </c>
      <c r="H1177" s="14">
        <v>0.801745324500973</v>
      </c>
      <c r="I1177" s="14">
        <v>0.988023174363753</v>
      </c>
      <c r="J1177" s="14">
        <v>0.686326252363988</v>
      </c>
      <c r="K1177" s="14" t="s">
        <v>18262</v>
      </c>
    </row>
    <row r="1178" spans="1:11">
      <c r="A1178" s="14" t="s">
        <v>19020</v>
      </c>
      <c r="B1178" s="14" t="s">
        <v>19021</v>
      </c>
      <c r="C1178" s="14" t="s">
        <v>16086</v>
      </c>
      <c r="D1178" s="14">
        <v>3</v>
      </c>
      <c r="E1178" s="14">
        <v>1378</v>
      </c>
      <c r="F1178" s="14">
        <v>48</v>
      </c>
      <c r="G1178" s="14">
        <v>15605</v>
      </c>
      <c r="H1178" s="14">
        <v>0.808507787317619</v>
      </c>
      <c r="I1178" s="14">
        <v>0.98827002192121</v>
      </c>
      <c r="J1178" s="14">
        <v>0.707773947750363</v>
      </c>
      <c r="K1178" s="14" t="s">
        <v>19022</v>
      </c>
    </row>
    <row r="1179" spans="1:11">
      <c r="A1179" s="14" t="s">
        <v>19023</v>
      </c>
      <c r="B1179" s="14" t="s">
        <v>19024</v>
      </c>
      <c r="C1179" s="14" t="s">
        <v>16090</v>
      </c>
      <c r="D1179" s="14">
        <v>1</v>
      </c>
      <c r="E1179" s="14">
        <v>1378</v>
      </c>
      <c r="F1179" s="14">
        <v>18</v>
      </c>
      <c r="G1179" s="14">
        <v>15605</v>
      </c>
      <c r="H1179" s="14">
        <v>0.810818222404971</v>
      </c>
      <c r="I1179" s="14">
        <v>0.98827002192121</v>
      </c>
      <c r="J1179" s="14">
        <v>0.629132398000323</v>
      </c>
      <c r="K1179" s="14" t="s">
        <v>3295</v>
      </c>
    </row>
    <row r="1180" spans="1:11">
      <c r="A1180" s="14" t="s">
        <v>19025</v>
      </c>
      <c r="B1180" s="14" t="s">
        <v>19026</v>
      </c>
      <c r="C1180" s="14" t="s">
        <v>16090</v>
      </c>
      <c r="D1180" s="14">
        <v>1</v>
      </c>
      <c r="E1180" s="14">
        <v>1378</v>
      </c>
      <c r="F1180" s="14">
        <v>18</v>
      </c>
      <c r="G1180" s="14">
        <v>15605</v>
      </c>
      <c r="H1180" s="14">
        <v>0.810818222404971</v>
      </c>
      <c r="I1180" s="14">
        <v>0.98827002192121</v>
      </c>
      <c r="J1180" s="14">
        <v>0.629132398000323</v>
      </c>
      <c r="K1180" s="14" t="s">
        <v>3795</v>
      </c>
    </row>
    <row r="1181" spans="1:11">
      <c r="A1181" s="14" t="s">
        <v>19027</v>
      </c>
      <c r="B1181" s="14" t="s">
        <v>19028</v>
      </c>
      <c r="C1181" s="14" t="s">
        <v>16090</v>
      </c>
      <c r="D1181" s="14">
        <v>1</v>
      </c>
      <c r="E1181" s="14">
        <v>1378</v>
      </c>
      <c r="F1181" s="14">
        <v>18</v>
      </c>
      <c r="G1181" s="14">
        <v>15605</v>
      </c>
      <c r="H1181" s="14">
        <v>0.810818222404971</v>
      </c>
      <c r="I1181" s="14">
        <v>0.98827002192121</v>
      </c>
      <c r="J1181" s="14">
        <v>0.629132398000323</v>
      </c>
      <c r="K1181" s="14" t="s">
        <v>9090</v>
      </c>
    </row>
    <row r="1182" spans="1:11">
      <c r="A1182" s="14" t="s">
        <v>19029</v>
      </c>
      <c r="B1182" s="14" t="s">
        <v>19030</v>
      </c>
      <c r="C1182" s="14" t="s">
        <v>16090</v>
      </c>
      <c r="D1182" s="14">
        <v>1</v>
      </c>
      <c r="E1182" s="14">
        <v>1378</v>
      </c>
      <c r="F1182" s="14">
        <v>18</v>
      </c>
      <c r="G1182" s="14">
        <v>15605</v>
      </c>
      <c r="H1182" s="14">
        <v>0.810818222404971</v>
      </c>
      <c r="I1182" s="14">
        <v>0.98827002192121</v>
      </c>
      <c r="J1182" s="14">
        <v>0.629132398000323</v>
      </c>
      <c r="K1182" s="14" t="s">
        <v>408</v>
      </c>
    </row>
    <row r="1183" spans="1:11">
      <c r="A1183" s="14" t="s">
        <v>19031</v>
      </c>
      <c r="B1183" s="14" t="s">
        <v>19032</v>
      </c>
      <c r="C1183" s="14" t="s">
        <v>16090</v>
      </c>
      <c r="D1183" s="14">
        <v>1</v>
      </c>
      <c r="E1183" s="14">
        <v>1378</v>
      </c>
      <c r="F1183" s="14">
        <v>18</v>
      </c>
      <c r="G1183" s="14">
        <v>15605</v>
      </c>
      <c r="H1183" s="14">
        <v>0.810818222404971</v>
      </c>
      <c r="I1183" s="14">
        <v>0.98827002192121</v>
      </c>
      <c r="J1183" s="14">
        <v>0.629132398000323</v>
      </c>
      <c r="K1183" s="14" t="s">
        <v>11890</v>
      </c>
    </row>
    <row r="1184" spans="1:11">
      <c r="A1184" s="14" t="s">
        <v>19033</v>
      </c>
      <c r="B1184" s="14" t="s">
        <v>19034</v>
      </c>
      <c r="C1184" s="14" t="s">
        <v>16096</v>
      </c>
      <c r="D1184" s="14">
        <v>1</v>
      </c>
      <c r="E1184" s="14">
        <v>1378</v>
      </c>
      <c r="F1184" s="14">
        <v>18</v>
      </c>
      <c r="G1184" s="14">
        <v>15605</v>
      </c>
      <c r="H1184" s="14">
        <v>0.810818222404971</v>
      </c>
      <c r="I1184" s="14">
        <v>0.98827002192121</v>
      </c>
      <c r="J1184" s="14">
        <v>0.629132398000323</v>
      </c>
      <c r="K1184" s="14" t="s">
        <v>10246</v>
      </c>
    </row>
    <row r="1185" spans="1:11">
      <c r="A1185" s="14" t="s">
        <v>19035</v>
      </c>
      <c r="B1185" s="14" t="s">
        <v>19036</v>
      </c>
      <c r="C1185" s="14" t="s">
        <v>16090</v>
      </c>
      <c r="D1185" s="14">
        <v>1</v>
      </c>
      <c r="E1185" s="14">
        <v>1378</v>
      </c>
      <c r="F1185" s="14">
        <v>18</v>
      </c>
      <c r="G1185" s="14">
        <v>15605</v>
      </c>
      <c r="H1185" s="14">
        <v>0.810818222404971</v>
      </c>
      <c r="I1185" s="14">
        <v>0.98827002192121</v>
      </c>
      <c r="J1185" s="14">
        <v>0.629132398000323</v>
      </c>
      <c r="K1185" s="14" t="s">
        <v>15402</v>
      </c>
    </row>
    <row r="1186" spans="1:11">
      <c r="A1186" s="14" t="s">
        <v>19037</v>
      </c>
      <c r="B1186" s="14" t="s">
        <v>19038</v>
      </c>
      <c r="C1186" s="14" t="s">
        <v>16090</v>
      </c>
      <c r="D1186" s="14">
        <v>1</v>
      </c>
      <c r="E1186" s="14">
        <v>1378</v>
      </c>
      <c r="F1186" s="14">
        <v>18</v>
      </c>
      <c r="G1186" s="14">
        <v>15605</v>
      </c>
      <c r="H1186" s="14">
        <v>0.810818222404971</v>
      </c>
      <c r="I1186" s="14">
        <v>0.98827002192121</v>
      </c>
      <c r="J1186" s="14">
        <v>0.629132398000323</v>
      </c>
      <c r="K1186" s="14" t="s">
        <v>512</v>
      </c>
    </row>
    <row r="1187" spans="1:11">
      <c r="A1187" s="14" t="s">
        <v>19039</v>
      </c>
      <c r="B1187" s="14" t="s">
        <v>19040</v>
      </c>
      <c r="C1187" s="14" t="s">
        <v>16090</v>
      </c>
      <c r="D1187" s="14">
        <v>1</v>
      </c>
      <c r="E1187" s="14">
        <v>1378</v>
      </c>
      <c r="F1187" s="14">
        <v>18</v>
      </c>
      <c r="G1187" s="14">
        <v>15605</v>
      </c>
      <c r="H1187" s="14">
        <v>0.810818222404971</v>
      </c>
      <c r="I1187" s="14">
        <v>0.98827002192121</v>
      </c>
      <c r="J1187" s="14">
        <v>0.629132398000323</v>
      </c>
      <c r="K1187" s="14" t="s">
        <v>14050</v>
      </c>
    </row>
    <row r="1188" spans="1:11">
      <c r="A1188" s="14" t="s">
        <v>19041</v>
      </c>
      <c r="B1188" s="14" t="s">
        <v>19042</v>
      </c>
      <c r="C1188" s="14" t="s">
        <v>16090</v>
      </c>
      <c r="D1188" s="14">
        <v>1</v>
      </c>
      <c r="E1188" s="14">
        <v>1378</v>
      </c>
      <c r="F1188" s="14">
        <v>18</v>
      </c>
      <c r="G1188" s="14">
        <v>15605</v>
      </c>
      <c r="H1188" s="14">
        <v>0.810818222404971</v>
      </c>
      <c r="I1188" s="14">
        <v>0.98827002192121</v>
      </c>
      <c r="J1188" s="14">
        <v>0.629132398000323</v>
      </c>
      <c r="K1188" s="14" t="s">
        <v>13025</v>
      </c>
    </row>
    <row r="1189" spans="1:11">
      <c r="A1189" s="14" t="s">
        <v>19043</v>
      </c>
      <c r="B1189" s="14" t="s">
        <v>19044</v>
      </c>
      <c r="C1189" s="14" t="s">
        <v>16090</v>
      </c>
      <c r="D1189" s="14">
        <v>1</v>
      </c>
      <c r="E1189" s="14">
        <v>1378</v>
      </c>
      <c r="F1189" s="14">
        <v>18</v>
      </c>
      <c r="G1189" s="14">
        <v>15605</v>
      </c>
      <c r="H1189" s="14">
        <v>0.810818222404971</v>
      </c>
      <c r="I1189" s="14">
        <v>0.98827002192121</v>
      </c>
      <c r="J1189" s="14">
        <v>0.629132398000323</v>
      </c>
      <c r="K1189" s="14" t="s">
        <v>7475</v>
      </c>
    </row>
    <row r="1190" spans="1:11">
      <c r="A1190" s="14" t="s">
        <v>19045</v>
      </c>
      <c r="B1190" s="14" t="s">
        <v>19046</v>
      </c>
      <c r="C1190" s="14" t="s">
        <v>16086</v>
      </c>
      <c r="D1190" s="14">
        <v>1</v>
      </c>
      <c r="E1190" s="14">
        <v>1378</v>
      </c>
      <c r="F1190" s="14">
        <v>18</v>
      </c>
      <c r="G1190" s="14">
        <v>15605</v>
      </c>
      <c r="H1190" s="14">
        <v>0.810818222404971</v>
      </c>
      <c r="I1190" s="14">
        <v>0.98827002192121</v>
      </c>
      <c r="J1190" s="14">
        <v>0.629132398000323</v>
      </c>
      <c r="K1190" s="14" t="s">
        <v>5416</v>
      </c>
    </row>
    <row r="1191" spans="1:11">
      <c r="A1191" s="14" t="s">
        <v>19047</v>
      </c>
      <c r="B1191" s="14" t="s">
        <v>19048</v>
      </c>
      <c r="C1191" s="14" t="s">
        <v>16086</v>
      </c>
      <c r="D1191" s="14">
        <v>2</v>
      </c>
      <c r="E1191" s="14">
        <v>1378</v>
      </c>
      <c r="F1191" s="14">
        <v>34</v>
      </c>
      <c r="G1191" s="14">
        <v>15605</v>
      </c>
      <c r="H1191" s="14">
        <v>0.815105968167681</v>
      </c>
      <c r="I1191" s="14">
        <v>0.989332306711485</v>
      </c>
      <c r="J1191" s="14">
        <v>0.666140186117989</v>
      </c>
      <c r="K1191" s="14" t="s">
        <v>19049</v>
      </c>
    </row>
    <row r="1192" spans="1:11">
      <c r="A1192" s="14" t="s">
        <v>19050</v>
      </c>
      <c r="B1192" s="14" t="s">
        <v>19051</v>
      </c>
      <c r="C1192" s="14" t="s">
        <v>16090</v>
      </c>
      <c r="D1192" s="14">
        <v>2</v>
      </c>
      <c r="E1192" s="14">
        <v>1378</v>
      </c>
      <c r="F1192" s="14">
        <v>34</v>
      </c>
      <c r="G1192" s="14">
        <v>15605</v>
      </c>
      <c r="H1192" s="14">
        <v>0.815105968167681</v>
      </c>
      <c r="I1192" s="14">
        <v>0.989332306711485</v>
      </c>
      <c r="J1192" s="14">
        <v>0.666140186117989</v>
      </c>
      <c r="K1192" s="14" t="s">
        <v>19052</v>
      </c>
    </row>
    <row r="1193" spans="1:11">
      <c r="A1193" s="14" t="s">
        <v>19053</v>
      </c>
      <c r="B1193" s="14" t="s">
        <v>19054</v>
      </c>
      <c r="C1193" s="14" t="s">
        <v>16096</v>
      </c>
      <c r="D1193" s="14">
        <v>2</v>
      </c>
      <c r="E1193" s="14">
        <v>1378</v>
      </c>
      <c r="F1193" s="14">
        <v>34</v>
      </c>
      <c r="G1193" s="14">
        <v>15605</v>
      </c>
      <c r="H1193" s="14">
        <v>0.815105968167681</v>
      </c>
      <c r="I1193" s="14">
        <v>0.989332306711485</v>
      </c>
      <c r="J1193" s="14">
        <v>0.666140186117989</v>
      </c>
      <c r="K1193" s="14" t="s">
        <v>19055</v>
      </c>
    </row>
    <row r="1194" spans="1:11">
      <c r="A1194" s="14" t="s">
        <v>19056</v>
      </c>
      <c r="B1194" s="14" t="s">
        <v>19057</v>
      </c>
      <c r="C1194" s="14" t="s">
        <v>16090</v>
      </c>
      <c r="D1194" s="14">
        <v>2</v>
      </c>
      <c r="E1194" s="14">
        <v>1378</v>
      </c>
      <c r="F1194" s="14">
        <v>34</v>
      </c>
      <c r="G1194" s="14">
        <v>15605</v>
      </c>
      <c r="H1194" s="14">
        <v>0.815105968167681</v>
      </c>
      <c r="I1194" s="14">
        <v>0.989332306711485</v>
      </c>
      <c r="J1194" s="14">
        <v>0.666140186117989</v>
      </c>
      <c r="K1194" s="14" t="s">
        <v>19058</v>
      </c>
    </row>
    <row r="1195" spans="1:11">
      <c r="A1195" s="14" t="s">
        <v>19059</v>
      </c>
      <c r="B1195" s="14" t="s">
        <v>19060</v>
      </c>
      <c r="C1195" s="14" t="s">
        <v>16090</v>
      </c>
      <c r="D1195" s="14">
        <v>2</v>
      </c>
      <c r="E1195" s="14">
        <v>1378</v>
      </c>
      <c r="F1195" s="14">
        <v>34</v>
      </c>
      <c r="G1195" s="14">
        <v>15605</v>
      </c>
      <c r="H1195" s="14">
        <v>0.815105968167681</v>
      </c>
      <c r="I1195" s="14">
        <v>0.989332306711485</v>
      </c>
      <c r="J1195" s="14">
        <v>0.666140186117989</v>
      </c>
      <c r="K1195" s="14" t="s">
        <v>19061</v>
      </c>
    </row>
    <row r="1196" spans="1:11">
      <c r="A1196" s="14" t="s">
        <v>19062</v>
      </c>
      <c r="B1196" s="14" t="s">
        <v>19063</v>
      </c>
      <c r="C1196" s="14" t="s">
        <v>16090</v>
      </c>
      <c r="D1196" s="14">
        <v>4</v>
      </c>
      <c r="E1196" s="14">
        <v>1378</v>
      </c>
      <c r="F1196" s="14">
        <v>63</v>
      </c>
      <c r="G1196" s="14">
        <v>15605</v>
      </c>
      <c r="H1196" s="14">
        <v>0.818814658738379</v>
      </c>
      <c r="I1196" s="14">
        <v>0.993001361686074</v>
      </c>
      <c r="J1196" s="14">
        <v>0.719008454857511</v>
      </c>
      <c r="K1196" s="14" t="s">
        <v>19011</v>
      </c>
    </row>
    <row r="1197" spans="1:11">
      <c r="A1197" s="14" t="s">
        <v>19064</v>
      </c>
      <c r="B1197" s="14" t="s">
        <v>19065</v>
      </c>
      <c r="C1197" s="14" t="s">
        <v>16086</v>
      </c>
      <c r="D1197" s="14">
        <v>1</v>
      </c>
      <c r="E1197" s="14">
        <v>1378</v>
      </c>
      <c r="F1197" s="14">
        <v>19</v>
      </c>
      <c r="G1197" s="14">
        <v>15605</v>
      </c>
      <c r="H1197" s="14">
        <v>0.827543216921296</v>
      </c>
      <c r="I1197" s="14">
        <v>0.993296574547648</v>
      </c>
      <c r="J1197" s="14">
        <v>0.596020166526621</v>
      </c>
      <c r="K1197" s="14" t="s">
        <v>9090</v>
      </c>
    </row>
    <row r="1198" spans="1:11">
      <c r="A1198" s="14" t="s">
        <v>19066</v>
      </c>
      <c r="B1198" s="14" t="s">
        <v>19067</v>
      </c>
      <c r="C1198" s="14" t="s">
        <v>16086</v>
      </c>
      <c r="D1198" s="14">
        <v>1</v>
      </c>
      <c r="E1198" s="14">
        <v>1378</v>
      </c>
      <c r="F1198" s="14">
        <v>19</v>
      </c>
      <c r="G1198" s="14">
        <v>15605</v>
      </c>
      <c r="H1198" s="14">
        <v>0.827543216921296</v>
      </c>
      <c r="I1198" s="14">
        <v>0.993296574547648</v>
      </c>
      <c r="J1198" s="14">
        <v>0.596020166526621</v>
      </c>
      <c r="K1198" s="14" t="s">
        <v>3795</v>
      </c>
    </row>
    <row r="1199" spans="1:11">
      <c r="A1199" s="14" t="s">
        <v>19068</v>
      </c>
      <c r="B1199" s="14" t="s">
        <v>19069</v>
      </c>
      <c r="C1199" s="14" t="s">
        <v>16086</v>
      </c>
      <c r="D1199" s="14">
        <v>1</v>
      </c>
      <c r="E1199" s="14">
        <v>1378</v>
      </c>
      <c r="F1199" s="14">
        <v>19</v>
      </c>
      <c r="G1199" s="14">
        <v>15605</v>
      </c>
      <c r="H1199" s="14">
        <v>0.827543216921296</v>
      </c>
      <c r="I1199" s="14">
        <v>0.993296574547648</v>
      </c>
      <c r="J1199" s="14">
        <v>0.596020166526621</v>
      </c>
      <c r="K1199" s="14" t="s">
        <v>1282</v>
      </c>
    </row>
    <row r="1200" spans="1:11">
      <c r="A1200" s="14" t="s">
        <v>19070</v>
      </c>
      <c r="B1200" s="14" t="s">
        <v>19071</v>
      </c>
      <c r="C1200" s="14" t="s">
        <v>16086</v>
      </c>
      <c r="D1200" s="14">
        <v>1</v>
      </c>
      <c r="E1200" s="14">
        <v>1378</v>
      </c>
      <c r="F1200" s="14">
        <v>19</v>
      </c>
      <c r="G1200" s="14">
        <v>15605</v>
      </c>
      <c r="H1200" s="14">
        <v>0.827543216921296</v>
      </c>
      <c r="I1200" s="14">
        <v>0.993296574547648</v>
      </c>
      <c r="J1200" s="14">
        <v>0.596020166526621</v>
      </c>
      <c r="K1200" s="14" t="s">
        <v>9126</v>
      </c>
    </row>
    <row r="1201" spans="1:11">
      <c r="A1201" s="14" t="s">
        <v>19072</v>
      </c>
      <c r="B1201" s="14" t="s">
        <v>19073</v>
      </c>
      <c r="C1201" s="14" t="s">
        <v>16090</v>
      </c>
      <c r="D1201" s="14">
        <v>1</v>
      </c>
      <c r="E1201" s="14">
        <v>1378</v>
      </c>
      <c r="F1201" s="14">
        <v>19</v>
      </c>
      <c r="G1201" s="14">
        <v>15605</v>
      </c>
      <c r="H1201" s="14">
        <v>0.827543216921296</v>
      </c>
      <c r="I1201" s="14">
        <v>0.993296574547648</v>
      </c>
      <c r="J1201" s="14">
        <v>0.596020166526621</v>
      </c>
      <c r="K1201" s="14" t="s">
        <v>2204</v>
      </c>
    </row>
    <row r="1202" spans="1:11">
      <c r="A1202" s="14" t="s">
        <v>19074</v>
      </c>
      <c r="B1202" s="14" t="s">
        <v>19075</v>
      </c>
      <c r="C1202" s="14" t="s">
        <v>16086</v>
      </c>
      <c r="D1202" s="14">
        <v>1</v>
      </c>
      <c r="E1202" s="14">
        <v>1378</v>
      </c>
      <c r="F1202" s="14">
        <v>19</v>
      </c>
      <c r="G1202" s="14">
        <v>15605</v>
      </c>
      <c r="H1202" s="14">
        <v>0.827543216921296</v>
      </c>
      <c r="I1202" s="14">
        <v>0.993296574547648</v>
      </c>
      <c r="J1202" s="14">
        <v>0.596020166526621</v>
      </c>
      <c r="K1202" s="14" t="s">
        <v>1083</v>
      </c>
    </row>
    <row r="1203" spans="1:11">
      <c r="A1203" s="14" t="s">
        <v>19076</v>
      </c>
      <c r="B1203" s="14" t="s">
        <v>19077</v>
      </c>
      <c r="C1203" s="14" t="s">
        <v>16086</v>
      </c>
      <c r="D1203" s="14">
        <v>1</v>
      </c>
      <c r="E1203" s="14">
        <v>1378</v>
      </c>
      <c r="F1203" s="14">
        <v>19</v>
      </c>
      <c r="G1203" s="14">
        <v>15605</v>
      </c>
      <c r="H1203" s="14">
        <v>0.827543216921296</v>
      </c>
      <c r="I1203" s="14">
        <v>0.993296574547648</v>
      </c>
      <c r="J1203" s="14">
        <v>0.596020166526621</v>
      </c>
      <c r="K1203" s="14" t="s">
        <v>14138</v>
      </c>
    </row>
    <row r="1204" spans="1:11">
      <c r="A1204" s="14" t="s">
        <v>19078</v>
      </c>
      <c r="B1204" s="14" t="s">
        <v>19079</v>
      </c>
      <c r="C1204" s="14" t="s">
        <v>16086</v>
      </c>
      <c r="D1204" s="14">
        <v>1</v>
      </c>
      <c r="E1204" s="14">
        <v>1378</v>
      </c>
      <c r="F1204" s="14">
        <v>19</v>
      </c>
      <c r="G1204" s="14">
        <v>15605</v>
      </c>
      <c r="H1204" s="14">
        <v>0.827543216921296</v>
      </c>
      <c r="I1204" s="14">
        <v>0.993296574547648</v>
      </c>
      <c r="J1204" s="14">
        <v>0.596020166526621</v>
      </c>
      <c r="K1204" s="14" t="s">
        <v>15318</v>
      </c>
    </row>
    <row r="1205" spans="1:11">
      <c r="A1205" s="14" t="s">
        <v>19080</v>
      </c>
      <c r="B1205" s="14" t="s">
        <v>19081</v>
      </c>
      <c r="C1205" s="14" t="s">
        <v>16090</v>
      </c>
      <c r="D1205" s="14">
        <v>1</v>
      </c>
      <c r="E1205" s="14">
        <v>1378</v>
      </c>
      <c r="F1205" s="14">
        <v>19</v>
      </c>
      <c r="G1205" s="14">
        <v>15605</v>
      </c>
      <c r="H1205" s="14">
        <v>0.827543216921296</v>
      </c>
      <c r="I1205" s="14">
        <v>0.993296574547648</v>
      </c>
      <c r="J1205" s="14">
        <v>0.596020166526621</v>
      </c>
      <c r="K1205" s="14" t="s">
        <v>12499</v>
      </c>
    </row>
    <row r="1206" spans="1:11">
      <c r="A1206" s="14" t="s">
        <v>19082</v>
      </c>
      <c r="B1206" s="14" t="s">
        <v>19083</v>
      </c>
      <c r="C1206" s="14" t="s">
        <v>16086</v>
      </c>
      <c r="D1206" s="14">
        <v>1</v>
      </c>
      <c r="E1206" s="14">
        <v>1378</v>
      </c>
      <c r="F1206" s="14">
        <v>19</v>
      </c>
      <c r="G1206" s="14">
        <v>15605</v>
      </c>
      <c r="H1206" s="14">
        <v>0.827543216921296</v>
      </c>
      <c r="I1206" s="14">
        <v>0.993296574547648</v>
      </c>
      <c r="J1206" s="14">
        <v>0.596020166526621</v>
      </c>
      <c r="K1206" s="14" t="s">
        <v>14260</v>
      </c>
    </row>
    <row r="1207" spans="1:11">
      <c r="A1207" s="14" t="s">
        <v>19084</v>
      </c>
      <c r="B1207" s="14" t="s">
        <v>19085</v>
      </c>
      <c r="C1207" s="14" t="s">
        <v>16090</v>
      </c>
      <c r="D1207" s="14">
        <v>1</v>
      </c>
      <c r="E1207" s="14">
        <v>1378</v>
      </c>
      <c r="F1207" s="14">
        <v>19</v>
      </c>
      <c r="G1207" s="14">
        <v>15605</v>
      </c>
      <c r="H1207" s="14">
        <v>0.827543216921296</v>
      </c>
      <c r="I1207" s="14">
        <v>0.993296574547648</v>
      </c>
      <c r="J1207" s="14">
        <v>0.596020166526621</v>
      </c>
      <c r="K1207" s="14" t="s">
        <v>14428</v>
      </c>
    </row>
    <row r="1208" spans="1:11">
      <c r="A1208" s="14" t="s">
        <v>13955</v>
      </c>
      <c r="B1208" s="14" t="s">
        <v>13956</v>
      </c>
      <c r="C1208" s="14" t="s">
        <v>16096</v>
      </c>
      <c r="D1208" s="14">
        <v>34</v>
      </c>
      <c r="E1208" s="14">
        <v>1378</v>
      </c>
      <c r="F1208" s="14">
        <v>443</v>
      </c>
      <c r="G1208" s="14">
        <v>15605</v>
      </c>
      <c r="H1208" s="14">
        <v>0.829743793066161</v>
      </c>
      <c r="I1208" s="14">
        <v>0.993296574547648</v>
      </c>
      <c r="J1208" s="14">
        <v>0.869140017102026</v>
      </c>
      <c r="K1208" s="14" t="s">
        <v>19086</v>
      </c>
    </row>
    <row r="1209" spans="1:11">
      <c r="A1209" s="14" t="s">
        <v>19087</v>
      </c>
      <c r="B1209" s="14" t="s">
        <v>19088</v>
      </c>
      <c r="C1209" s="14" t="s">
        <v>16090</v>
      </c>
      <c r="D1209" s="14">
        <v>3</v>
      </c>
      <c r="E1209" s="14">
        <v>1378</v>
      </c>
      <c r="F1209" s="14">
        <v>50</v>
      </c>
      <c r="G1209" s="14">
        <v>15605</v>
      </c>
      <c r="H1209" s="14">
        <v>0.830068219873926</v>
      </c>
      <c r="I1209" s="14">
        <v>0.993296574547648</v>
      </c>
      <c r="J1209" s="14">
        <v>0.679462989840348</v>
      </c>
      <c r="K1209" s="14" t="s">
        <v>16287</v>
      </c>
    </row>
    <row r="1210" spans="1:11">
      <c r="A1210" s="14" t="s">
        <v>406</v>
      </c>
      <c r="B1210" s="14" t="s">
        <v>407</v>
      </c>
      <c r="C1210" s="14" t="s">
        <v>16086</v>
      </c>
      <c r="D1210" s="14">
        <v>174</v>
      </c>
      <c r="E1210" s="14">
        <v>1378</v>
      </c>
      <c r="F1210" s="14">
        <v>2099</v>
      </c>
      <c r="G1210" s="14">
        <v>15605</v>
      </c>
      <c r="H1210" s="14">
        <v>0.83640913835256</v>
      </c>
      <c r="I1210" s="14">
        <v>0.993296574547648</v>
      </c>
      <c r="J1210" s="14">
        <v>0.938753058855174</v>
      </c>
      <c r="K1210" s="14" t="s">
        <v>19089</v>
      </c>
    </row>
    <row r="1211" spans="1:11">
      <c r="A1211" s="14" t="s">
        <v>19090</v>
      </c>
      <c r="B1211" s="14" t="s">
        <v>19091</v>
      </c>
      <c r="C1211" s="14" t="s">
        <v>16096</v>
      </c>
      <c r="D1211" s="14">
        <v>4</v>
      </c>
      <c r="E1211" s="14">
        <v>1378</v>
      </c>
      <c r="F1211" s="14">
        <v>65</v>
      </c>
      <c r="G1211" s="14">
        <v>15605</v>
      </c>
      <c r="H1211" s="14">
        <v>0.83724238204898</v>
      </c>
      <c r="I1211" s="14">
        <v>0.993296574547648</v>
      </c>
      <c r="J1211" s="14">
        <v>0.696885117784973</v>
      </c>
      <c r="K1211" s="14" t="s">
        <v>19092</v>
      </c>
    </row>
    <row r="1212" spans="1:11">
      <c r="A1212" s="14" t="s">
        <v>19093</v>
      </c>
      <c r="B1212" s="14" t="s">
        <v>19094</v>
      </c>
      <c r="C1212" s="14" t="s">
        <v>16086</v>
      </c>
      <c r="D1212" s="14">
        <v>5</v>
      </c>
      <c r="E1212" s="14">
        <v>1378</v>
      </c>
      <c r="F1212" s="14">
        <v>79</v>
      </c>
      <c r="G1212" s="14">
        <v>15605</v>
      </c>
      <c r="H1212" s="14">
        <v>0.838009716085014</v>
      </c>
      <c r="I1212" s="14">
        <v>0.993296574547648</v>
      </c>
      <c r="J1212" s="14">
        <v>0.716733111645937</v>
      </c>
      <c r="K1212" s="14" t="s">
        <v>19095</v>
      </c>
    </row>
    <row r="1213" spans="1:11">
      <c r="A1213" s="14" t="s">
        <v>19096</v>
      </c>
      <c r="B1213" s="14" t="s">
        <v>19097</v>
      </c>
      <c r="C1213" s="14" t="s">
        <v>16086</v>
      </c>
      <c r="D1213" s="14">
        <v>2</v>
      </c>
      <c r="E1213" s="14">
        <v>1378</v>
      </c>
      <c r="F1213" s="14">
        <v>36</v>
      </c>
      <c r="G1213" s="14">
        <v>15605</v>
      </c>
      <c r="H1213" s="14">
        <v>0.839431538699927</v>
      </c>
      <c r="I1213" s="14">
        <v>0.993296574547648</v>
      </c>
      <c r="J1213" s="14">
        <v>0.629132398000323</v>
      </c>
      <c r="K1213" s="14" t="s">
        <v>19098</v>
      </c>
    </row>
    <row r="1214" spans="1:11">
      <c r="A1214" s="14" t="s">
        <v>19099</v>
      </c>
      <c r="B1214" s="14" t="s">
        <v>19100</v>
      </c>
      <c r="C1214" s="14" t="s">
        <v>16090</v>
      </c>
      <c r="D1214" s="14">
        <v>2</v>
      </c>
      <c r="E1214" s="14">
        <v>1378</v>
      </c>
      <c r="F1214" s="14">
        <v>36</v>
      </c>
      <c r="G1214" s="14">
        <v>15605</v>
      </c>
      <c r="H1214" s="14">
        <v>0.839431538699927</v>
      </c>
      <c r="I1214" s="14">
        <v>0.993296574547648</v>
      </c>
      <c r="J1214" s="14">
        <v>0.629132398000323</v>
      </c>
      <c r="K1214" s="14" t="s">
        <v>19101</v>
      </c>
    </row>
    <row r="1215" spans="1:11">
      <c r="A1215" s="14" t="s">
        <v>19102</v>
      </c>
      <c r="B1215" s="14" t="s">
        <v>19103</v>
      </c>
      <c r="C1215" s="14" t="s">
        <v>16090</v>
      </c>
      <c r="D1215" s="14">
        <v>2</v>
      </c>
      <c r="E1215" s="14">
        <v>1378</v>
      </c>
      <c r="F1215" s="14">
        <v>36</v>
      </c>
      <c r="G1215" s="14">
        <v>15605</v>
      </c>
      <c r="H1215" s="14">
        <v>0.839431538699927</v>
      </c>
      <c r="I1215" s="14">
        <v>0.993296574547648</v>
      </c>
      <c r="J1215" s="14">
        <v>0.629132398000323</v>
      </c>
      <c r="K1215" s="14" t="s">
        <v>19104</v>
      </c>
    </row>
    <row r="1216" spans="1:11">
      <c r="A1216" s="14" t="s">
        <v>19105</v>
      </c>
      <c r="B1216" s="14" t="s">
        <v>19106</v>
      </c>
      <c r="C1216" s="14" t="s">
        <v>16090</v>
      </c>
      <c r="D1216" s="14">
        <v>2</v>
      </c>
      <c r="E1216" s="14">
        <v>1378</v>
      </c>
      <c r="F1216" s="14">
        <v>36</v>
      </c>
      <c r="G1216" s="14">
        <v>15605</v>
      </c>
      <c r="H1216" s="14">
        <v>0.839431538699927</v>
      </c>
      <c r="I1216" s="14">
        <v>0.993296574547648</v>
      </c>
      <c r="J1216" s="14">
        <v>0.629132398000323</v>
      </c>
      <c r="K1216" s="14" t="s">
        <v>19107</v>
      </c>
    </row>
    <row r="1217" spans="1:11">
      <c r="A1217" s="14" t="s">
        <v>19108</v>
      </c>
      <c r="B1217" s="14" t="s">
        <v>19109</v>
      </c>
      <c r="C1217" s="14" t="s">
        <v>16086</v>
      </c>
      <c r="D1217" s="14">
        <v>2</v>
      </c>
      <c r="E1217" s="14">
        <v>1378</v>
      </c>
      <c r="F1217" s="14">
        <v>36</v>
      </c>
      <c r="G1217" s="14">
        <v>15605</v>
      </c>
      <c r="H1217" s="14">
        <v>0.839431538699927</v>
      </c>
      <c r="I1217" s="14">
        <v>0.993296574547648</v>
      </c>
      <c r="J1217" s="14">
        <v>0.629132398000323</v>
      </c>
      <c r="K1217" s="14" t="s">
        <v>19098</v>
      </c>
    </row>
    <row r="1218" spans="1:11">
      <c r="A1218" s="14" t="s">
        <v>19110</v>
      </c>
      <c r="B1218" s="14" t="s">
        <v>19111</v>
      </c>
      <c r="C1218" s="14" t="s">
        <v>16096</v>
      </c>
      <c r="D1218" s="14">
        <v>1</v>
      </c>
      <c r="E1218" s="14">
        <v>1378</v>
      </c>
      <c r="F1218" s="14">
        <v>20</v>
      </c>
      <c r="G1218" s="14">
        <v>15605</v>
      </c>
      <c r="H1218" s="14">
        <v>0.842790582960206</v>
      </c>
      <c r="I1218" s="14">
        <v>0.993296574547648</v>
      </c>
      <c r="J1218" s="14">
        <v>0.56621915820029</v>
      </c>
      <c r="K1218" s="14" t="s">
        <v>15402</v>
      </c>
    </row>
    <row r="1219" spans="1:11">
      <c r="A1219" s="14" t="s">
        <v>19112</v>
      </c>
      <c r="B1219" s="14" t="s">
        <v>19113</v>
      </c>
      <c r="C1219" s="14" t="s">
        <v>16096</v>
      </c>
      <c r="D1219" s="14">
        <v>1</v>
      </c>
      <c r="E1219" s="14">
        <v>1378</v>
      </c>
      <c r="F1219" s="14">
        <v>20</v>
      </c>
      <c r="G1219" s="14">
        <v>15605</v>
      </c>
      <c r="H1219" s="14">
        <v>0.842790582960206</v>
      </c>
      <c r="I1219" s="14">
        <v>0.993296574547648</v>
      </c>
      <c r="J1219" s="14">
        <v>0.56621915820029</v>
      </c>
      <c r="K1219" s="14" t="s">
        <v>14375</v>
      </c>
    </row>
    <row r="1220" spans="1:11">
      <c r="A1220" s="14" t="s">
        <v>19114</v>
      </c>
      <c r="B1220" s="14" t="s">
        <v>19115</v>
      </c>
      <c r="C1220" s="14" t="s">
        <v>16090</v>
      </c>
      <c r="D1220" s="14">
        <v>1</v>
      </c>
      <c r="E1220" s="14">
        <v>1378</v>
      </c>
      <c r="F1220" s="14">
        <v>20</v>
      </c>
      <c r="G1220" s="14">
        <v>15605</v>
      </c>
      <c r="H1220" s="14">
        <v>0.842790582960206</v>
      </c>
      <c r="I1220" s="14">
        <v>0.993296574547648</v>
      </c>
      <c r="J1220" s="14">
        <v>0.56621915820029</v>
      </c>
      <c r="K1220" s="14" t="s">
        <v>13890</v>
      </c>
    </row>
    <row r="1221" spans="1:11">
      <c r="A1221" s="14" t="s">
        <v>19116</v>
      </c>
      <c r="B1221" s="14" t="s">
        <v>19117</v>
      </c>
      <c r="C1221" s="14" t="s">
        <v>16086</v>
      </c>
      <c r="D1221" s="14">
        <v>1</v>
      </c>
      <c r="E1221" s="14">
        <v>1378</v>
      </c>
      <c r="F1221" s="14">
        <v>20</v>
      </c>
      <c r="G1221" s="14">
        <v>15605</v>
      </c>
      <c r="H1221" s="14">
        <v>0.842790582960206</v>
      </c>
      <c r="I1221" s="14">
        <v>0.993296574547648</v>
      </c>
      <c r="J1221" s="14">
        <v>0.56621915820029</v>
      </c>
      <c r="K1221" s="14" t="s">
        <v>9090</v>
      </c>
    </row>
    <row r="1222" spans="1:11">
      <c r="A1222" s="14" t="s">
        <v>19118</v>
      </c>
      <c r="B1222" s="14" t="s">
        <v>19119</v>
      </c>
      <c r="C1222" s="14" t="s">
        <v>16086</v>
      </c>
      <c r="D1222" s="14">
        <v>1</v>
      </c>
      <c r="E1222" s="14">
        <v>1378</v>
      </c>
      <c r="F1222" s="14">
        <v>20</v>
      </c>
      <c r="G1222" s="14">
        <v>15605</v>
      </c>
      <c r="H1222" s="14">
        <v>0.842790582960206</v>
      </c>
      <c r="I1222" s="14">
        <v>0.993296574547648</v>
      </c>
      <c r="J1222" s="14">
        <v>0.56621915820029</v>
      </c>
      <c r="K1222" s="14" t="s">
        <v>11953</v>
      </c>
    </row>
    <row r="1223" spans="1:11">
      <c r="A1223" s="14" t="s">
        <v>19120</v>
      </c>
      <c r="B1223" s="14" t="s">
        <v>19121</v>
      </c>
      <c r="C1223" s="14" t="s">
        <v>16090</v>
      </c>
      <c r="D1223" s="14">
        <v>1</v>
      </c>
      <c r="E1223" s="14">
        <v>1378</v>
      </c>
      <c r="F1223" s="14">
        <v>20</v>
      </c>
      <c r="G1223" s="14">
        <v>15605</v>
      </c>
      <c r="H1223" s="14">
        <v>0.842790582960206</v>
      </c>
      <c r="I1223" s="14">
        <v>0.993296574547648</v>
      </c>
      <c r="J1223" s="14">
        <v>0.56621915820029</v>
      </c>
      <c r="K1223" s="14" t="s">
        <v>3255</v>
      </c>
    </row>
    <row r="1224" spans="1:11">
      <c r="A1224" s="14" t="s">
        <v>19122</v>
      </c>
      <c r="B1224" s="14" t="s">
        <v>19123</v>
      </c>
      <c r="C1224" s="14" t="s">
        <v>16090</v>
      </c>
      <c r="D1224" s="14">
        <v>1</v>
      </c>
      <c r="E1224" s="14">
        <v>1378</v>
      </c>
      <c r="F1224" s="14">
        <v>20</v>
      </c>
      <c r="G1224" s="14">
        <v>15605</v>
      </c>
      <c r="H1224" s="14">
        <v>0.842790582960206</v>
      </c>
      <c r="I1224" s="14">
        <v>0.993296574547648</v>
      </c>
      <c r="J1224" s="14">
        <v>0.56621915820029</v>
      </c>
      <c r="K1224" s="14" t="s">
        <v>7183</v>
      </c>
    </row>
    <row r="1225" spans="1:11">
      <c r="A1225" s="14" t="s">
        <v>19124</v>
      </c>
      <c r="B1225" s="14" t="s">
        <v>19125</v>
      </c>
      <c r="C1225" s="14" t="s">
        <v>16090</v>
      </c>
      <c r="D1225" s="14">
        <v>1</v>
      </c>
      <c r="E1225" s="14">
        <v>1378</v>
      </c>
      <c r="F1225" s="14">
        <v>20</v>
      </c>
      <c r="G1225" s="14">
        <v>15605</v>
      </c>
      <c r="H1225" s="14">
        <v>0.842790582960206</v>
      </c>
      <c r="I1225" s="14">
        <v>0.993296574547648</v>
      </c>
      <c r="J1225" s="14">
        <v>0.56621915820029</v>
      </c>
      <c r="K1225" s="14" t="s">
        <v>14138</v>
      </c>
    </row>
    <row r="1226" spans="1:11">
      <c r="A1226" s="14" t="s">
        <v>19126</v>
      </c>
      <c r="B1226" s="14" t="s">
        <v>19127</v>
      </c>
      <c r="C1226" s="14" t="s">
        <v>16096</v>
      </c>
      <c r="D1226" s="14">
        <v>1</v>
      </c>
      <c r="E1226" s="14">
        <v>1378</v>
      </c>
      <c r="F1226" s="14">
        <v>20</v>
      </c>
      <c r="G1226" s="14">
        <v>15605</v>
      </c>
      <c r="H1226" s="14">
        <v>0.842790582960206</v>
      </c>
      <c r="I1226" s="14">
        <v>0.993296574547648</v>
      </c>
      <c r="J1226" s="14">
        <v>0.56621915820029</v>
      </c>
      <c r="K1226" s="14" t="s">
        <v>15941</v>
      </c>
    </row>
    <row r="1227" spans="1:11">
      <c r="A1227" s="14" t="s">
        <v>19128</v>
      </c>
      <c r="B1227" s="14" t="s">
        <v>19129</v>
      </c>
      <c r="C1227" s="14" t="s">
        <v>16090</v>
      </c>
      <c r="D1227" s="14">
        <v>1</v>
      </c>
      <c r="E1227" s="14">
        <v>1378</v>
      </c>
      <c r="F1227" s="14">
        <v>20</v>
      </c>
      <c r="G1227" s="14">
        <v>15605</v>
      </c>
      <c r="H1227" s="14">
        <v>0.842790582960206</v>
      </c>
      <c r="I1227" s="14">
        <v>0.993296574547648</v>
      </c>
      <c r="J1227" s="14">
        <v>0.56621915820029</v>
      </c>
      <c r="K1227" s="14" t="s">
        <v>5922</v>
      </c>
    </row>
    <row r="1228" spans="1:11">
      <c r="A1228" s="14" t="s">
        <v>19130</v>
      </c>
      <c r="B1228" s="14" t="s">
        <v>19131</v>
      </c>
      <c r="C1228" s="14" t="s">
        <v>16090</v>
      </c>
      <c r="D1228" s="14">
        <v>1</v>
      </c>
      <c r="E1228" s="14">
        <v>1378</v>
      </c>
      <c r="F1228" s="14">
        <v>20</v>
      </c>
      <c r="G1228" s="14">
        <v>15605</v>
      </c>
      <c r="H1228" s="14">
        <v>0.842790582960206</v>
      </c>
      <c r="I1228" s="14">
        <v>0.993296574547648</v>
      </c>
      <c r="J1228" s="14">
        <v>0.56621915820029</v>
      </c>
      <c r="K1228" s="14" t="s">
        <v>15666</v>
      </c>
    </row>
    <row r="1229" spans="1:11">
      <c r="A1229" s="14" t="s">
        <v>19132</v>
      </c>
      <c r="B1229" s="14" t="s">
        <v>19133</v>
      </c>
      <c r="C1229" s="14" t="s">
        <v>16090</v>
      </c>
      <c r="D1229" s="14">
        <v>1</v>
      </c>
      <c r="E1229" s="14">
        <v>1378</v>
      </c>
      <c r="F1229" s="14">
        <v>20</v>
      </c>
      <c r="G1229" s="14">
        <v>15605</v>
      </c>
      <c r="H1229" s="14">
        <v>0.842790582960206</v>
      </c>
      <c r="I1229" s="14">
        <v>0.993296574547648</v>
      </c>
      <c r="J1229" s="14">
        <v>0.56621915820029</v>
      </c>
      <c r="K1229" s="14" t="s">
        <v>13730</v>
      </c>
    </row>
    <row r="1230" spans="1:11">
      <c r="A1230" s="14" t="s">
        <v>19134</v>
      </c>
      <c r="B1230" s="14" t="s">
        <v>19135</v>
      </c>
      <c r="C1230" s="14" t="s">
        <v>16090</v>
      </c>
      <c r="D1230" s="14">
        <v>1</v>
      </c>
      <c r="E1230" s="14">
        <v>1378</v>
      </c>
      <c r="F1230" s="14">
        <v>20</v>
      </c>
      <c r="G1230" s="14">
        <v>15605</v>
      </c>
      <c r="H1230" s="14">
        <v>0.842790582960206</v>
      </c>
      <c r="I1230" s="14">
        <v>0.993296574547648</v>
      </c>
      <c r="J1230" s="14">
        <v>0.56621915820029</v>
      </c>
      <c r="K1230" s="14" t="s">
        <v>14434</v>
      </c>
    </row>
    <row r="1231" spans="1:11">
      <c r="A1231" s="14" t="s">
        <v>19136</v>
      </c>
      <c r="B1231" s="14" t="s">
        <v>19137</v>
      </c>
      <c r="C1231" s="14" t="s">
        <v>16086</v>
      </c>
      <c r="D1231" s="14">
        <v>4</v>
      </c>
      <c r="E1231" s="14">
        <v>1378</v>
      </c>
      <c r="F1231" s="14">
        <v>66</v>
      </c>
      <c r="G1231" s="14">
        <v>15605</v>
      </c>
      <c r="H1231" s="14">
        <v>0.845851850612291</v>
      </c>
      <c r="I1231" s="14">
        <v>0.993296574547648</v>
      </c>
      <c r="J1231" s="14">
        <v>0.686326252363988</v>
      </c>
      <c r="K1231" s="14" t="s">
        <v>19138</v>
      </c>
    </row>
    <row r="1232" spans="1:11">
      <c r="A1232" s="14" t="s">
        <v>19139</v>
      </c>
      <c r="B1232" s="14" t="s">
        <v>19140</v>
      </c>
      <c r="C1232" s="14" t="s">
        <v>16090</v>
      </c>
      <c r="D1232" s="14">
        <v>6</v>
      </c>
      <c r="E1232" s="14">
        <v>1378</v>
      </c>
      <c r="F1232" s="14">
        <v>94</v>
      </c>
      <c r="G1232" s="14">
        <v>15605</v>
      </c>
      <c r="H1232" s="14">
        <v>0.847847467464051</v>
      </c>
      <c r="I1232" s="14">
        <v>0.993296574547648</v>
      </c>
      <c r="J1232" s="14">
        <v>0.722832967915264</v>
      </c>
      <c r="K1232" s="14" t="s">
        <v>19141</v>
      </c>
    </row>
    <row r="1233" spans="1:11">
      <c r="A1233" s="14" t="s">
        <v>19142</v>
      </c>
      <c r="B1233" s="14" t="s">
        <v>19143</v>
      </c>
      <c r="C1233" s="14" t="s">
        <v>16090</v>
      </c>
      <c r="D1233" s="14">
        <v>3</v>
      </c>
      <c r="E1233" s="14">
        <v>1378</v>
      </c>
      <c r="F1233" s="14">
        <v>52</v>
      </c>
      <c r="G1233" s="14">
        <v>15605</v>
      </c>
      <c r="H1233" s="14">
        <v>0.849510368350544</v>
      </c>
      <c r="I1233" s="14">
        <v>0.993296574547648</v>
      </c>
      <c r="J1233" s="14">
        <v>0.653329797923412</v>
      </c>
      <c r="K1233" s="14" t="s">
        <v>19144</v>
      </c>
    </row>
    <row r="1234" spans="1:11">
      <c r="A1234" s="14" t="s">
        <v>19145</v>
      </c>
      <c r="B1234" s="14" t="s">
        <v>19146</v>
      </c>
      <c r="C1234" s="14" t="s">
        <v>16086</v>
      </c>
      <c r="D1234" s="14">
        <v>3</v>
      </c>
      <c r="E1234" s="14">
        <v>1378</v>
      </c>
      <c r="F1234" s="14">
        <v>52</v>
      </c>
      <c r="G1234" s="14">
        <v>15605</v>
      </c>
      <c r="H1234" s="14">
        <v>0.849510368350544</v>
      </c>
      <c r="I1234" s="14">
        <v>0.993296574547648</v>
      </c>
      <c r="J1234" s="14">
        <v>0.653329797923412</v>
      </c>
      <c r="K1234" s="14" t="s">
        <v>19147</v>
      </c>
    </row>
    <row r="1235" spans="1:11">
      <c r="A1235" s="14" t="s">
        <v>19148</v>
      </c>
      <c r="B1235" s="14" t="s">
        <v>19149</v>
      </c>
      <c r="C1235" s="14" t="s">
        <v>16086</v>
      </c>
      <c r="D1235" s="14">
        <v>3</v>
      </c>
      <c r="E1235" s="14">
        <v>1378</v>
      </c>
      <c r="F1235" s="14">
        <v>52</v>
      </c>
      <c r="G1235" s="14">
        <v>15605</v>
      </c>
      <c r="H1235" s="14">
        <v>0.849510368350544</v>
      </c>
      <c r="I1235" s="14">
        <v>0.993296574547648</v>
      </c>
      <c r="J1235" s="14">
        <v>0.653329797923412</v>
      </c>
      <c r="K1235" s="14" t="s">
        <v>19150</v>
      </c>
    </row>
    <row r="1236" spans="1:11">
      <c r="A1236" s="14" t="s">
        <v>19151</v>
      </c>
      <c r="B1236" s="14" t="s">
        <v>19152</v>
      </c>
      <c r="C1236" s="14" t="s">
        <v>16090</v>
      </c>
      <c r="D1236" s="14">
        <v>3</v>
      </c>
      <c r="E1236" s="14">
        <v>1378</v>
      </c>
      <c r="F1236" s="14">
        <v>52</v>
      </c>
      <c r="G1236" s="14">
        <v>15605</v>
      </c>
      <c r="H1236" s="14">
        <v>0.849510368350544</v>
      </c>
      <c r="I1236" s="14">
        <v>0.993296574547648</v>
      </c>
      <c r="J1236" s="14">
        <v>0.653329797923412</v>
      </c>
      <c r="K1236" s="14" t="s">
        <v>19153</v>
      </c>
    </row>
    <row r="1237" spans="1:11">
      <c r="A1237" s="14" t="s">
        <v>19154</v>
      </c>
      <c r="B1237" s="14" t="s">
        <v>19155</v>
      </c>
      <c r="C1237" s="14" t="s">
        <v>16096</v>
      </c>
      <c r="D1237" s="14">
        <v>1</v>
      </c>
      <c r="E1237" s="14">
        <v>1378</v>
      </c>
      <c r="F1237" s="14">
        <v>21</v>
      </c>
      <c r="G1237" s="14">
        <v>15605</v>
      </c>
      <c r="H1237" s="14">
        <v>0.856690780373156</v>
      </c>
      <c r="I1237" s="14">
        <v>0.993296574547648</v>
      </c>
      <c r="J1237" s="14">
        <v>0.539256341143134</v>
      </c>
      <c r="K1237" s="14" t="s">
        <v>5365</v>
      </c>
    </row>
    <row r="1238" spans="1:11">
      <c r="A1238" s="14" t="s">
        <v>19156</v>
      </c>
      <c r="B1238" s="14" t="s">
        <v>19157</v>
      </c>
      <c r="C1238" s="14" t="s">
        <v>16090</v>
      </c>
      <c r="D1238" s="14">
        <v>1</v>
      </c>
      <c r="E1238" s="14">
        <v>1378</v>
      </c>
      <c r="F1238" s="14">
        <v>21</v>
      </c>
      <c r="G1238" s="14">
        <v>15605</v>
      </c>
      <c r="H1238" s="14">
        <v>0.856690780373156</v>
      </c>
      <c r="I1238" s="14">
        <v>0.993296574547648</v>
      </c>
      <c r="J1238" s="14">
        <v>0.539256341143134</v>
      </c>
      <c r="K1238" s="14" t="s">
        <v>1083</v>
      </c>
    </row>
    <row r="1239" spans="1:11">
      <c r="A1239" s="14" t="s">
        <v>19158</v>
      </c>
      <c r="B1239" s="14" t="s">
        <v>19159</v>
      </c>
      <c r="C1239" s="14" t="s">
        <v>16086</v>
      </c>
      <c r="D1239" s="14">
        <v>1</v>
      </c>
      <c r="E1239" s="14">
        <v>1378</v>
      </c>
      <c r="F1239" s="14">
        <v>21</v>
      </c>
      <c r="G1239" s="14">
        <v>15605</v>
      </c>
      <c r="H1239" s="14">
        <v>0.856690780373156</v>
      </c>
      <c r="I1239" s="14">
        <v>0.993296574547648</v>
      </c>
      <c r="J1239" s="14">
        <v>0.539256341143134</v>
      </c>
      <c r="K1239" s="14" t="s">
        <v>13090</v>
      </c>
    </row>
    <row r="1240" spans="1:11">
      <c r="A1240" s="14" t="s">
        <v>19160</v>
      </c>
      <c r="B1240" s="14" t="s">
        <v>19161</v>
      </c>
      <c r="C1240" s="14" t="s">
        <v>16096</v>
      </c>
      <c r="D1240" s="14">
        <v>1</v>
      </c>
      <c r="E1240" s="14">
        <v>1378</v>
      </c>
      <c r="F1240" s="14">
        <v>21</v>
      </c>
      <c r="G1240" s="14">
        <v>15605</v>
      </c>
      <c r="H1240" s="14">
        <v>0.856690780373156</v>
      </c>
      <c r="I1240" s="14">
        <v>0.993296574547648</v>
      </c>
      <c r="J1240" s="14">
        <v>0.539256341143134</v>
      </c>
      <c r="K1240" s="14" t="s">
        <v>4385</v>
      </c>
    </row>
    <row r="1241" spans="1:11">
      <c r="A1241" s="14" t="s">
        <v>19162</v>
      </c>
      <c r="B1241" s="14" t="s">
        <v>19163</v>
      </c>
      <c r="C1241" s="14" t="s">
        <v>16090</v>
      </c>
      <c r="D1241" s="14">
        <v>1</v>
      </c>
      <c r="E1241" s="14">
        <v>1378</v>
      </c>
      <c r="F1241" s="14">
        <v>21</v>
      </c>
      <c r="G1241" s="14">
        <v>15605</v>
      </c>
      <c r="H1241" s="14">
        <v>0.856690780373156</v>
      </c>
      <c r="I1241" s="14">
        <v>0.993296574547648</v>
      </c>
      <c r="J1241" s="14">
        <v>0.539256341143134</v>
      </c>
      <c r="K1241" s="14" t="s">
        <v>3795</v>
      </c>
    </row>
    <row r="1242" spans="1:11">
      <c r="A1242" s="14" t="s">
        <v>19164</v>
      </c>
      <c r="B1242" s="14" t="s">
        <v>19165</v>
      </c>
      <c r="C1242" s="14" t="s">
        <v>16090</v>
      </c>
      <c r="D1242" s="14">
        <v>1</v>
      </c>
      <c r="E1242" s="14">
        <v>1378</v>
      </c>
      <c r="F1242" s="14">
        <v>21</v>
      </c>
      <c r="G1242" s="14">
        <v>15605</v>
      </c>
      <c r="H1242" s="14">
        <v>0.856690780373156</v>
      </c>
      <c r="I1242" s="14">
        <v>0.993296574547648</v>
      </c>
      <c r="J1242" s="14">
        <v>0.539256341143134</v>
      </c>
      <c r="K1242" s="14" t="s">
        <v>12621</v>
      </c>
    </row>
    <row r="1243" spans="1:11">
      <c r="A1243" s="14" t="s">
        <v>19166</v>
      </c>
      <c r="B1243" s="14" t="s">
        <v>19167</v>
      </c>
      <c r="C1243" s="14" t="s">
        <v>16090</v>
      </c>
      <c r="D1243" s="14">
        <v>1</v>
      </c>
      <c r="E1243" s="14">
        <v>1378</v>
      </c>
      <c r="F1243" s="14">
        <v>21</v>
      </c>
      <c r="G1243" s="14">
        <v>15605</v>
      </c>
      <c r="H1243" s="14">
        <v>0.856690780373156</v>
      </c>
      <c r="I1243" s="14">
        <v>0.993296574547648</v>
      </c>
      <c r="J1243" s="14">
        <v>0.539256341143134</v>
      </c>
      <c r="K1243" s="14" t="s">
        <v>6661</v>
      </c>
    </row>
    <row r="1244" spans="1:11">
      <c r="A1244" s="14" t="s">
        <v>19168</v>
      </c>
      <c r="B1244" s="14" t="s">
        <v>19169</v>
      </c>
      <c r="C1244" s="14" t="s">
        <v>16090</v>
      </c>
      <c r="D1244" s="14">
        <v>1</v>
      </c>
      <c r="E1244" s="14">
        <v>1378</v>
      </c>
      <c r="F1244" s="14">
        <v>21</v>
      </c>
      <c r="G1244" s="14">
        <v>15605</v>
      </c>
      <c r="H1244" s="14">
        <v>0.856690780373156</v>
      </c>
      <c r="I1244" s="14">
        <v>0.993296574547648</v>
      </c>
      <c r="J1244" s="14">
        <v>0.539256341143134</v>
      </c>
      <c r="K1244" s="14" t="s">
        <v>8892</v>
      </c>
    </row>
    <row r="1245" spans="1:11">
      <c r="A1245" s="14" t="s">
        <v>19170</v>
      </c>
      <c r="B1245" s="14" t="s">
        <v>19171</v>
      </c>
      <c r="C1245" s="14" t="s">
        <v>16090</v>
      </c>
      <c r="D1245" s="14">
        <v>1</v>
      </c>
      <c r="E1245" s="14">
        <v>1378</v>
      </c>
      <c r="F1245" s="14">
        <v>21</v>
      </c>
      <c r="G1245" s="14">
        <v>15605</v>
      </c>
      <c r="H1245" s="14">
        <v>0.856690780373156</v>
      </c>
      <c r="I1245" s="14">
        <v>0.993296574547648</v>
      </c>
      <c r="J1245" s="14">
        <v>0.539256341143134</v>
      </c>
      <c r="K1245" s="14" t="s">
        <v>10920</v>
      </c>
    </row>
    <row r="1246" spans="1:11">
      <c r="A1246" s="14" t="s">
        <v>19172</v>
      </c>
      <c r="B1246" s="14" t="s">
        <v>19173</v>
      </c>
      <c r="C1246" s="14" t="s">
        <v>16090</v>
      </c>
      <c r="D1246" s="14">
        <v>1</v>
      </c>
      <c r="E1246" s="14">
        <v>1378</v>
      </c>
      <c r="F1246" s="14">
        <v>21</v>
      </c>
      <c r="G1246" s="14">
        <v>15605</v>
      </c>
      <c r="H1246" s="14">
        <v>0.856690780373156</v>
      </c>
      <c r="I1246" s="14">
        <v>0.993296574547648</v>
      </c>
      <c r="J1246" s="14">
        <v>0.539256341143134</v>
      </c>
      <c r="K1246" s="14" t="s">
        <v>5462</v>
      </c>
    </row>
    <row r="1247" spans="1:11">
      <c r="A1247" s="14" t="s">
        <v>19174</v>
      </c>
      <c r="B1247" s="14" t="s">
        <v>19175</v>
      </c>
      <c r="C1247" s="14" t="s">
        <v>16096</v>
      </c>
      <c r="D1247" s="14">
        <v>1</v>
      </c>
      <c r="E1247" s="14">
        <v>1378</v>
      </c>
      <c r="F1247" s="14">
        <v>21</v>
      </c>
      <c r="G1247" s="14">
        <v>15605</v>
      </c>
      <c r="H1247" s="14">
        <v>0.856690780373156</v>
      </c>
      <c r="I1247" s="14">
        <v>0.993296574547648</v>
      </c>
      <c r="J1247" s="14">
        <v>0.539256341143134</v>
      </c>
      <c r="K1247" s="14" t="s">
        <v>10337</v>
      </c>
    </row>
    <row r="1248" spans="1:11">
      <c r="A1248" s="14" t="s">
        <v>19176</v>
      </c>
      <c r="B1248" s="14" t="s">
        <v>19177</v>
      </c>
      <c r="C1248" s="14" t="s">
        <v>16090</v>
      </c>
      <c r="D1248" s="14">
        <v>1</v>
      </c>
      <c r="E1248" s="14">
        <v>1378</v>
      </c>
      <c r="F1248" s="14">
        <v>21</v>
      </c>
      <c r="G1248" s="14">
        <v>15605</v>
      </c>
      <c r="H1248" s="14">
        <v>0.856690780373156</v>
      </c>
      <c r="I1248" s="14">
        <v>0.993296574547648</v>
      </c>
      <c r="J1248" s="14">
        <v>0.539256341143134</v>
      </c>
      <c r="K1248" s="14" t="s">
        <v>1724</v>
      </c>
    </row>
    <row r="1249" spans="1:11">
      <c r="A1249" s="14" t="s">
        <v>19178</v>
      </c>
      <c r="B1249" s="14" t="s">
        <v>19179</v>
      </c>
      <c r="C1249" s="14" t="s">
        <v>16090</v>
      </c>
      <c r="D1249" s="14">
        <v>1</v>
      </c>
      <c r="E1249" s="14">
        <v>1378</v>
      </c>
      <c r="F1249" s="14">
        <v>21</v>
      </c>
      <c r="G1249" s="14">
        <v>15605</v>
      </c>
      <c r="H1249" s="14">
        <v>0.856690780373156</v>
      </c>
      <c r="I1249" s="14">
        <v>0.993296574547648</v>
      </c>
      <c r="J1249" s="14">
        <v>0.539256341143134</v>
      </c>
      <c r="K1249" s="14" t="s">
        <v>5922</v>
      </c>
    </row>
    <row r="1250" spans="1:11">
      <c r="A1250" s="14" t="s">
        <v>19180</v>
      </c>
      <c r="B1250" s="14" t="s">
        <v>19181</v>
      </c>
      <c r="C1250" s="14" t="s">
        <v>16090</v>
      </c>
      <c r="D1250" s="14">
        <v>1</v>
      </c>
      <c r="E1250" s="14">
        <v>1378</v>
      </c>
      <c r="F1250" s="14">
        <v>21</v>
      </c>
      <c r="G1250" s="14">
        <v>15605</v>
      </c>
      <c r="H1250" s="14">
        <v>0.856690780373156</v>
      </c>
      <c r="I1250" s="14">
        <v>0.993296574547648</v>
      </c>
      <c r="J1250" s="14">
        <v>0.539256341143134</v>
      </c>
      <c r="K1250" s="14" t="s">
        <v>15666</v>
      </c>
    </row>
    <row r="1251" spans="1:11">
      <c r="A1251" s="14" t="s">
        <v>19182</v>
      </c>
      <c r="B1251" s="14" t="s">
        <v>19183</v>
      </c>
      <c r="C1251" s="14" t="s">
        <v>16090</v>
      </c>
      <c r="D1251" s="14">
        <v>8</v>
      </c>
      <c r="E1251" s="14">
        <v>1378</v>
      </c>
      <c r="F1251" s="14">
        <v>123</v>
      </c>
      <c r="G1251" s="14">
        <v>15605</v>
      </c>
      <c r="H1251" s="14">
        <v>0.860587501218367</v>
      </c>
      <c r="I1251" s="14">
        <v>0.993296574547648</v>
      </c>
      <c r="J1251" s="14">
        <v>0.736545246439402</v>
      </c>
      <c r="K1251" s="14" t="s">
        <v>19184</v>
      </c>
    </row>
    <row r="1252" spans="1:11">
      <c r="A1252" s="14" t="s">
        <v>19185</v>
      </c>
      <c r="B1252" s="14" t="s">
        <v>19186</v>
      </c>
      <c r="C1252" s="14" t="s">
        <v>16090</v>
      </c>
      <c r="D1252" s="14">
        <v>2</v>
      </c>
      <c r="E1252" s="14">
        <v>1378</v>
      </c>
      <c r="F1252" s="14">
        <v>38</v>
      </c>
      <c r="G1252" s="14">
        <v>15605</v>
      </c>
      <c r="H1252" s="14">
        <v>0.860820013430929</v>
      </c>
      <c r="I1252" s="14">
        <v>0.993296574547648</v>
      </c>
      <c r="J1252" s="14">
        <v>0.596020166526621</v>
      </c>
      <c r="K1252" s="14" t="s">
        <v>19187</v>
      </c>
    </row>
    <row r="1253" spans="1:11">
      <c r="A1253" s="14" t="s">
        <v>19188</v>
      </c>
      <c r="B1253" s="14" t="s">
        <v>19189</v>
      </c>
      <c r="C1253" s="14" t="s">
        <v>16090</v>
      </c>
      <c r="D1253" s="14">
        <v>2</v>
      </c>
      <c r="E1253" s="14">
        <v>1378</v>
      </c>
      <c r="F1253" s="14">
        <v>38</v>
      </c>
      <c r="G1253" s="14">
        <v>15605</v>
      </c>
      <c r="H1253" s="14">
        <v>0.860820013430929</v>
      </c>
      <c r="I1253" s="14">
        <v>0.993296574547648</v>
      </c>
      <c r="J1253" s="14">
        <v>0.596020166526621</v>
      </c>
      <c r="K1253" s="14" t="s">
        <v>19190</v>
      </c>
    </row>
    <row r="1254" spans="1:11">
      <c r="A1254" s="14" t="s">
        <v>19191</v>
      </c>
      <c r="B1254" s="14" t="s">
        <v>19192</v>
      </c>
      <c r="C1254" s="14" t="s">
        <v>16090</v>
      </c>
      <c r="D1254" s="14">
        <v>2</v>
      </c>
      <c r="E1254" s="14">
        <v>1378</v>
      </c>
      <c r="F1254" s="14">
        <v>38</v>
      </c>
      <c r="G1254" s="14">
        <v>15605</v>
      </c>
      <c r="H1254" s="14">
        <v>0.860820013430929</v>
      </c>
      <c r="I1254" s="14">
        <v>0.993296574547648</v>
      </c>
      <c r="J1254" s="14">
        <v>0.596020166526621</v>
      </c>
      <c r="K1254" s="14" t="s">
        <v>19193</v>
      </c>
    </row>
    <row r="1255" spans="1:11">
      <c r="A1255" s="14" t="s">
        <v>19194</v>
      </c>
      <c r="B1255" s="14" t="s">
        <v>19195</v>
      </c>
      <c r="C1255" s="14" t="s">
        <v>16096</v>
      </c>
      <c r="D1255" s="14">
        <v>4</v>
      </c>
      <c r="E1255" s="14">
        <v>1378</v>
      </c>
      <c r="F1255" s="14">
        <v>68</v>
      </c>
      <c r="G1255" s="14">
        <v>15605</v>
      </c>
      <c r="H1255" s="14">
        <v>0.861919961476481</v>
      </c>
      <c r="I1255" s="14">
        <v>0.993296574547648</v>
      </c>
      <c r="J1255" s="14">
        <v>0.666140186117989</v>
      </c>
      <c r="K1255" s="14" t="s">
        <v>19196</v>
      </c>
    </row>
    <row r="1256" spans="1:11">
      <c r="A1256" s="14" t="s">
        <v>19197</v>
      </c>
      <c r="B1256" s="14" t="s">
        <v>19198</v>
      </c>
      <c r="C1256" s="14" t="s">
        <v>16086</v>
      </c>
      <c r="D1256" s="14">
        <v>4</v>
      </c>
      <c r="E1256" s="14">
        <v>1378</v>
      </c>
      <c r="F1256" s="14">
        <v>68</v>
      </c>
      <c r="G1256" s="14">
        <v>15605</v>
      </c>
      <c r="H1256" s="14">
        <v>0.861919961476481</v>
      </c>
      <c r="I1256" s="14">
        <v>0.993296574547648</v>
      </c>
      <c r="J1256" s="14">
        <v>0.666140186117989</v>
      </c>
      <c r="K1256" s="14" t="s">
        <v>19199</v>
      </c>
    </row>
    <row r="1257" spans="1:11">
      <c r="A1257" s="14" t="s">
        <v>19200</v>
      </c>
      <c r="B1257" s="14" t="s">
        <v>19201</v>
      </c>
      <c r="C1257" s="14" t="s">
        <v>16096</v>
      </c>
      <c r="D1257" s="14">
        <v>3</v>
      </c>
      <c r="E1257" s="14">
        <v>1378</v>
      </c>
      <c r="F1257" s="14">
        <v>54</v>
      </c>
      <c r="G1257" s="14">
        <v>15605</v>
      </c>
      <c r="H1257" s="14">
        <v>0.866985806379181</v>
      </c>
      <c r="I1257" s="14">
        <v>0.993296574547648</v>
      </c>
      <c r="J1257" s="14">
        <v>0.629132398000323</v>
      </c>
      <c r="K1257" s="14" t="s">
        <v>19202</v>
      </c>
    </row>
    <row r="1258" spans="1:11">
      <c r="A1258" s="14" t="s">
        <v>19203</v>
      </c>
      <c r="B1258" s="14" t="s">
        <v>19204</v>
      </c>
      <c r="C1258" s="14" t="s">
        <v>16096</v>
      </c>
      <c r="D1258" s="14">
        <v>10</v>
      </c>
      <c r="E1258" s="14">
        <v>1378</v>
      </c>
      <c r="F1258" s="14">
        <v>151</v>
      </c>
      <c r="G1258" s="14">
        <v>15605</v>
      </c>
      <c r="H1258" s="14">
        <v>0.86808315646028</v>
      </c>
      <c r="I1258" s="14">
        <v>0.993296574547648</v>
      </c>
      <c r="J1258" s="14">
        <v>0.749959149934159</v>
      </c>
      <c r="K1258" s="14" t="s">
        <v>19205</v>
      </c>
    </row>
    <row r="1259" spans="1:11">
      <c r="A1259" s="14" t="s">
        <v>19206</v>
      </c>
      <c r="B1259" s="14" t="s">
        <v>19207</v>
      </c>
      <c r="C1259" s="14" t="s">
        <v>16086</v>
      </c>
      <c r="D1259" s="14">
        <v>1</v>
      </c>
      <c r="E1259" s="14">
        <v>1378</v>
      </c>
      <c r="F1259" s="14">
        <v>22</v>
      </c>
      <c r="G1259" s="14">
        <v>15605</v>
      </c>
      <c r="H1259" s="14">
        <v>0.869362758340674</v>
      </c>
      <c r="I1259" s="14">
        <v>0.993296574547648</v>
      </c>
      <c r="J1259" s="14">
        <v>0.514744689272991</v>
      </c>
      <c r="K1259" s="14" t="s">
        <v>4872</v>
      </c>
    </row>
    <row r="1260" spans="1:11">
      <c r="A1260" s="14" t="s">
        <v>19208</v>
      </c>
      <c r="B1260" s="14" t="s">
        <v>19209</v>
      </c>
      <c r="C1260" s="14" t="s">
        <v>16086</v>
      </c>
      <c r="D1260" s="14">
        <v>1</v>
      </c>
      <c r="E1260" s="14">
        <v>1378</v>
      </c>
      <c r="F1260" s="14">
        <v>22</v>
      </c>
      <c r="G1260" s="14">
        <v>15605</v>
      </c>
      <c r="H1260" s="14">
        <v>0.869362758340674</v>
      </c>
      <c r="I1260" s="14">
        <v>0.993296574547648</v>
      </c>
      <c r="J1260" s="14">
        <v>0.514744689272991</v>
      </c>
      <c r="K1260" s="14" t="s">
        <v>6344</v>
      </c>
    </row>
    <row r="1261" spans="1:11">
      <c r="A1261" s="14" t="s">
        <v>19210</v>
      </c>
      <c r="B1261" s="14" t="s">
        <v>19211</v>
      </c>
      <c r="C1261" s="14" t="s">
        <v>16090</v>
      </c>
      <c r="D1261" s="14">
        <v>1</v>
      </c>
      <c r="E1261" s="14">
        <v>1378</v>
      </c>
      <c r="F1261" s="14">
        <v>22</v>
      </c>
      <c r="G1261" s="14">
        <v>15605</v>
      </c>
      <c r="H1261" s="14">
        <v>0.869362758340674</v>
      </c>
      <c r="I1261" s="14">
        <v>0.993296574547648</v>
      </c>
      <c r="J1261" s="14">
        <v>0.514744689272991</v>
      </c>
      <c r="K1261" s="14" t="s">
        <v>10483</v>
      </c>
    </row>
    <row r="1262" spans="1:11">
      <c r="A1262" s="14" t="s">
        <v>19212</v>
      </c>
      <c r="B1262" s="14" t="s">
        <v>19213</v>
      </c>
      <c r="C1262" s="14" t="s">
        <v>16090</v>
      </c>
      <c r="D1262" s="14">
        <v>1</v>
      </c>
      <c r="E1262" s="14">
        <v>1378</v>
      </c>
      <c r="F1262" s="14">
        <v>22</v>
      </c>
      <c r="G1262" s="14">
        <v>15605</v>
      </c>
      <c r="H1262" s="14">
        <v>0.869362758340674</v>
      </c>
      <c r="I1262" s="14">
        <v>0.993296574547648</v>
      </c>
      <c r="J1262" s="14">
        <v>0.514744689272991</v>
      </c>
      <c r="K1262" s="14" t="s">
        <v>4169</v>
      </c>
    </row>
    <row r="1263" spans="1:11">
      <c r="A1263" s="14" t="s">
        <v>19214</v>
      </c>
      <c r="B1263" s="14" t="s">
        <v>19215</v>
      </c>
      <c r="C1263" s="14" t="s">
        <v>16090</v>
      </c>
      <c r="D1263" s="14">
        <v>1</v>
      </c>
      <c r="E1263" s="14">
        <v>1378</v>
      </c>
      <c r="F1263" s="14">
        <v>22</v>
      </c>
      <c r="G1263" s="14">
        <v>15605</v>
      </c>
      <c r="H1263" s="14">
        <v>0.869362758340674</v>
      </c>
      <c r="I1263" s="14">
        <v>0.993296574547648</v>
      </c>
      <c r="J1263" s="14">
        <v>0.514744689272991</v>
      </c>
      <c r="K1263" s="14" t="s">
        <v>7269</v>
      </c>
    </row>
    <row r="1264" spans="1:11">
      <c r="A1264" s="14" t="s">
        <v>19216</v>
      </c>
      <c r="B1264" s="14" t="s">
        <v>19217</v>
      </c>
      <c r="C1264" s="14" t="s">
        <v>16086</v>
      </c>
      <c r="D1264" s="14">
        <v>1</v>
      </c>
      <c r="E1264" s="14">
        <v>1378</v>
      </c>
      <c r="F1264" s="14">
        <v>22</v>
      </c>
      <c r="G1264" s="14">
        <v>15605</v>
      </c>
      <c r="H1264" s="14">
        <v>0.869362758340674</v>
      </c>
      <c r="I1264" s="14">
        <v>0.993296574547648</v>
      </c>
      <c r="J1264" s="14">
        <v>0.514744689272991</v>
      </c>
      <c r="K1264" s="14" t="s">
        <v>15074</v>
      </c>
    </row>
    <row r="1265" spans="1:11">
      <c r="A1265" s="14" t="s">
        <v>19218</v>
      </c>
      <c r="B1265" s="14" t="s">
        <v>19219</v>
      </c>
      <c r="C1265" s="14" t="s">
        <v>16090</v>
      </c>
      <c r="D1265" s="14">
        <v>1</v>
      </c>
      <c r="E1265" s="14">
        <v>1378</v>
      </c>
      <c r="F1265" s="14">
        <v>22</v>
      </c>
      <c r="G1265" s="14">
        <v>15605</v>
      </c>
      <c r="H1265" s="14">
        <v>0.869362758340674</v>
      </c>
      <c r="I1265" s="14">
        <v>0.993296574547648</v>
      </c>
      <c r="J1265" s="14">
        <v>0.514744689272991</v>
      </c>
      <c r="K1265" s="14" t="s">
        <v>9169</v>
      </c>
    </row>
    <row r="1266" spans="1:11">
      <c r="A1266" s="14" t="s">
        <v>19220</v>
      </c>
      <c r="B1266" s="14" t="s">
        <v>19221</v>
      </c>
      <c r="C1266" s="14" t="s">
        <v>16086</v>
      </c>
      <c r="D1266" s="14">
        <v>1</v>
      </c>
      <c r="E1266" s="14">
        <v>1378</v>
      </c>
      <c r="F1266" s="14">
        <v>22</v>
      </c>
      <c r="G1266" s="14">
        <v>15605</v>
      </c>
      <c r="H1266" s="14">
        <v>0.869362758340674</v>
      </c>
      <c r="I1266" s="14">
        <v>0.993296574547648</v>
      </c>
      <c r="J1266" s="14">
        <v>0.514744689272991</v>
      </c>
      <c r="K1266" s="14" t="s">
        <v>6411</v>
      </c>
    </row>
    <row r="1267" spans="1:11">
      <c r="A1267" s="14" t="s">
        <v>19222</v>
      </c>
      <c r="B1267" s="14" t="s">
        <v>19223</v>
      </c>
      <c r="C1267" s="14" t="s">
        <v>16090</v>
      </c>
      <c r="D1267" s="14">
        <v>1</v>
      </c>
      <c r="E1267" s="14">
        <v>1378</v>
      </c>
      <c r="F1267" s="14">
        <v>22</v>
      </c>
      <c r="G1267" s="14">
        <v>15605</v>
      </c>
      <c r="H1267" s="14">
        <v>0.869362758340674</v>
      </c>
      <c r="I1267" s="14">
        <v>0.993296574547648</v>
      </c>
      <c r="J1267" s="14">
        <v>0.514744689272991</v>
      </c>
      <c r="K1267" s="14" t="s">
        <v>14370</v>
      </c>
    </row>
    <row r="1268" spans="1:11">
      <c r="A1268" s="14" t="s">
        <v>19224</v>
      </c>
      <c r="B1268" s="14" t="s">
        <v>19225</v>
      </c>
      <c r="C1268" s="14" t="s">
        <v>16090</v>
      </c>
      <c r="D1268" s="14">
        <v>1</v>
      </c>
      <c r="E1268" s="14">
        <v>1378</v>
      </c>
      <c r="F1268" s="14">
        <v>22</v>
      </c>
      <c r="G1268" s="14">
        <v>15605</v>
      </c>
      <c r="H1268" s="14">
        <v>0.869362758340674</v>
      </c>
      <c r="I1268" s="14">
        <v>0.993296574547648</v>
      </c>
      <c r="J1268" s="14">
        <v>0.514744689272991</v>
      </c>
      <c r="K1268" s="14" t="s">
        <v>15176</v>
      </c>
    </row>
    <row r="1269" spans="1:11">
      <c r="A1269" s="14" t="s">
        <v>19226</v>
      </c>
      <c r="B1269" s="14" t="s">
        <v>19227</v>
      </c>
      <c r="C1269" s="14" t="s">
        <v>16090</v>
      </c>
      <c r="D1269" s="14">
        <v>2</v>
      </c>
      <c r="E1269" s="14">
        <v>1378</v>
      </c>
      <c r="F1269" s="14">
        <v>39</v>
      </c>
      <c r="G1269" s="14">
        <v>15605</v>
      </c>
      <c r="H1269" s="14">
        <v>0.870506459323871</v>
      </c>
      <c r="I1269" s="14">
        <v>0.993296574547648</v>
      </c>
      <c r="J1269" s="14">
        <v>0.580737598154144</v>
      </c>
      <c r="K1269" s="14" t="s">
        <v>19228</v>
      </c>
    </row>
    <row r="1270" spans="1:11">
      <c r="A1270" s="14" t="s">
        <v>14388</v>
      </c>
      <c r="B1270" s="14" t="s">
        <v>14389</v>
      </c>
      <c r="C1270" s="14" t="s">
        <v>16086</v>
      </c>
      <c r="D1270" s="14">
        <v>2</v>
      </c>
      <c r="E1270" s="14">
        <v>1378</v>
      </c>
      <c r="F1270" s="14">
        <v>39</v>
      </c>
      <c r="G1270" s="14">
        <v>15605</v>
      </c>
      <c r="H1270" s="14">
        <v>0.870506459323871</v>
      </c>
      <c r="I1270" s="14">
        <v>0.993296574547648</v>
      </c>
      <c r="J1270" s="14">
        <v>0.580737598154144</v>
      </c>
      <c r="K1270" s="14" t="s">
        <v>19052</v>
      </c>
    </row>
    <row r="1271" spans="1:11">
      <c r="A1271" s="14" t="s">
        <v>19229</v>
      </c>
      <c r="B1271" s="14" t="s">
        <v>19230</v>
      </c>
      <c r="C1271" s="14" t="s">
        <v>16096</v>
      </c>
      <c r="D1271" s="14">
        <v>2</v>
      </c>
      <c r="E1271" s="14">
        <v>1378</v>
      </c>
      <c r="F1271" s="14">
        <v>39</v>
      </c>
      <c r="G1271" s="14">
        <v>15605</v>
      </c>
      <c r="H1271" s="14">
        <v>0.870506459323871</v>
      </c>
      <c r="I1271" s="14">
        <v>0.993296574547648</v>
      </c>
      <c r="J1271" s="14">
        <v>0.580737598154144</v>
      </c>
      <c r="K1271" s="14" t="s">
        <v>19231</v>
      </c>
    </row>
    <row r="1272" spans="1:11">
      <c r="A1272" s="14" t="s">
        <v>19232</v>
      </c>
      <c r="B1272" s="14" t="s">
        <v>19233</v>
      </c>
      <c r="C1272" s="14" t="s">
        <v>16096</v>
      </c>
      <c r="D1272" s="14">
        <v>2</v>
      </c>
      <c r="E1272" s="14">
        <v>1378</v>
      </c>
      <c r="F1272" s="14">
        <v>40</v>
      </c>
      <c r="G1272" s="14">
        <v>15605</v>
      </c>
      <c r="H1272" s="14">
        <v>0.879569018108559</v>
      </c>
      <c r="I1272" s="14">
        <v>0.999999999990164</v>
      </c>
      <c r="J1272" s="14">
        <v>0.56621915820029</v>
      </c>
      <c r="K1272" s="14" t="s">
        <v>19234</v>
      </c>
    </row>
    <row r="1273" spans="1:11">
      <c r="A1273" s="14" t="s">
        <v>19235</v>
      </c>
      <c r="B1273" s="14" t="s">
        <v>19236</v>
      </c>
      <c r="C1273" s="14" t="s">
        <v>16090</v>
      </c>
      <c r="D1273" s="14">
        <v>2</v>
      </c>
      <c r="E1273" s="14">
        <v>1378</v>
      </c>
      <c r="F1273" s="14">
        <v>40</v>
      </c>
      <c r="G1273" s="14">
        <v>15605</v>
      </c>
      <c r="H1273" s="14">
        <v>0.879569018108559</v>
      </c>
      <c r="I1273" s="14">
        <v>0.999999999990164</v>
      </c>
      <c r="J1273" s="14">
        <v>0.56621915820029</v>
      </c>
      <c r="K1273" s="14" t="s">
        <v>19237</v>
      </c>
    </row>
    <row r="1274" spans="1:11">
      <c r="A1274" s="14" t="s">
        <v>19238</v>
      </c>
      <c r="B1274" s="14" t="s">
        <v>19239</v>
      </c>
      <c r="C1274" s="14" t="s">
        <v>16090</v>
      </c>
      <c r="D1274" s="14">
        <v>2</v>
      </c>
      <c r="E1274" s="14">
        <v>1378</v>
      </c>
      <c r="F1274" s="14">
        <v>40</v>
      </c>
      <c r="G1274" s="14">
        <v>15605</v>
      </c>
      <c r="H1274" s="14">
        <v>0.879569018108559</v>
      </c>
      <c r="I1274" s="14">
        <v>0.999999999990164</v>
      </c>
      <c r="J1274" s="14">
        <v>0.56621915820029</v>
      </c>
      <c r="K1274" s="14" t="s">
        <v>19240</v>
      </c>
    </row>
    <row r="1275" spans="1:11">
      <c r="A1275" s="14" t="s">
        <v>19241</v>
      </c>
      <c r="B1275" s="14" t="s">
        <v>19242</v>
      </c>
      <c r="C1275" s="14" t="s">
        <v>16086</v>
      </c>
      <c r="D1275" s="14">
        <v>5</v>
      </c>
      <c r="E1275" s="14">
        <v>1378</v>
      </c>
      <c r="F1275" s="14">
        <v>85</v>
      </c>
      <c r="G1275" s="14">
        <v>15605</v>
      </c>
      <c r="H1275" s="14">
        <v>0.880575709508884</v>
      </c>
      <c r="I1275" s="14">
        <v>0.999999999990164</v>
      </c>
      <c r="J1275" s="14">
        <v>0.666140186117989</v>
      </c>
      <c r="K1275" s="14" t="s">
        <v>19243</v>
      </c>
    </row>
    <row r="1276" spans="1:11">
      <c r="A1276" s="14" t="s">
        <v>19244</v>
      </c>
      <c r="B1276" s="14" t="s">
        <v>19245</v>
      </c>
      <c r="C1276" s="14" t="s">
        <v>16086</v>
      </c>
      <c r="D1276" s="14">
        <v>1</v>
      </c>
      <c r="E1276" s="14">
        <v>1378</v>
      </c>
      <c r="F1276" s="14">
        <v>23</v>
      </c>
      <c r="G1276" s="14">
        <v>15605</v>
      </c>
      <c r="H1276" s="14">
        <v>0.880914970302847</v>
      </c>
      <c r="I1276" s="14">
        <v>0.999999999990164</v>
      </c>
      <c r="J1276" s="14">
        <v>0.492364485391557</v>
      </c>
      <c r="K1276" s="14" t="s">
        <v>11618</v>
      </c>
    </row>
    <row r="1277" spans="1:11">
      <c r="A1277" s="14" t="s">
        <v>19246</v>
      </c>
      <c r="B1277" s="14" t="s">
        <v>19247</v>
      </c>
      <c r="C1277" s="14" t="s">
        <v>16086</v>
      </c>
      <c r="D1277" s="14">
        <v>3</v>
      </c>
      <c r="E1277" s="14">
        <v>1378</v>
      </c>
      <c r="F1277" s="14">
        <v>56</v>
      </c>
      <c r="G1277" s="14">
        <v>15605</v>
      </c>
      <c r="H1277" s="14">
        <v>0.882646610703398</v>
      </c>
      <c r="I1277" s="14">
        <v>0.999999999990164</v>
      </c>
      <c r="J1277" s="14">
        <v>0.606663383786025</v>
      </c>
      <c r="K1277" s="14" t="s">
        <v>19248</v>
      </c>
    </row>
    <row r="1278" spans="1:11">
      <c r="A1278" s="14" t="s">
        <v>19249</v>
      </c>
      <c r="B1278" s="14" t="s">
        <v>19250</v>
      </c>
      <c r="C1278" s="14" t="s">
        <v>16090</v>
      </c>
      <c r="D1278" s="14">
        <v>5</v>
      </c>
      <c r="E1278" s="14">
        <v>1378</v>
      </c>
      <c r="F1278" s="14">
        <v>86</v>
      </c>
      <c r="G1278" s="14">
        <v>15605</v>
      </c>
      <c r="H1278" s="14">
        <v>0.886653985384172</v>
      </c>
      <c r="I1278" s="14">
        <v>0.999999999990164</v>
      </c>
      <c r="J1278" s="14">
        <v>0.658394370000338</v>
      </c>
      <c r="K1278" s="14" t="s">
        <v>19251</v>
      </c>
    </row>
    <row r="1279" spans="1:11">
      <c r="A1279" s="14" t="s">
        <v>19252</v>
      </c>
      <c r="B1279" s="14" t="s">
        <v>19253</v>
      </c>
      <c r="C1279" s="14" t="s">
        <v>16096</v>
      </c>
      <c r="D1279" s="14">
        <v>2</v>
      </c>
      <c r="E1279" s="14">
        <v>1378</v>
      </c>
      <c r="F1279" s="14">
        <v>41</v>
      </c>
      <c r="G1279" s="14">
        <v>15605</v>
      </c>
      <c r="H1279" s="14">
        <v>0.888042245951826</v>
      </c>
      <c r="I1279" s="14">
        <v>0.999999999990164</v>
      </c>
      <c r="J1279" s="14">
        <v>0.552408934829551</v>
      </c>
      <c r="K1279" s="14" t="s">
        <v>19254</v>
      </c>
    </row>
    <row r="1280" spans="1:11">
      <c r="A1280" s="14" t="s">
        <v>15924</v>
      </c>
      <c r="B1280" s="14" t="s">
        <v>15925</v>
      </c>
      <c r="C1280" s="14" t="s">
        <v>16090</v>
      </c>
      <c r="D1280" s="14">
        <v>18</v>
      </c>
      <c r="E1280" s="14">
        <v>1378</v>
      </c>
      <c r="F1280" s="14">
        <v>260</v>
      </c>
      <c r="G1280" s="14">
        <v>15605</v>
      </c>
      <c r="H1280" s="14">
        <v>0.888688505671822</v>
      </c>
      <c r="I1280" s="14">
        <v>0.999999999990164</v>
      </c>
      <c r="J1280" s="14">
        <v>0.783995757508094</v>
      </c>
      <c r="K1280" s="14" t="s">
        <v>19255</v>
      </c>
    </row>
    <row r="1281" spans="1:11">
      <c r="A1281" s="14" t="s">
        <v>19256</v>
      </c>
      <c r="B1281" s="14" t="s">
        <v>19257</v>
      </c>
      <c r="C1281" s="14" t="s">
        <v>16086</v>
      </c>
      <c r="D1281" s="14">
        <v>7</v>
      </c>
      <c r="E1281" s="14">
        <v>1378</v>
      </c>
      <c r="F1281" s="14">
        <v>115</v>
      </c>
      <c r="G1281" s="14">
        <v>15605</v>
      </c>
      <c r="H1281" s="14">
        <v>0.891336368605143</v>
      </c>
      <c r="I1281" s="14">
        <v>0.999999999990164</v>
      </c>
      <c r="J1281" s="14">
        <v>0.689310279548179</v>
      </c>
      <c r="K1281" s="14" t="s">
        <v>19258</v>
      </c>
    </row>
    <row r="1282" spans="1:11">
      <c r="A1282" s="14" t="s">
        <v>19259</v>
      </c>
      <c r="B1282" s="14" t="s">
        <v>19260</v>
      </c>
      <c r="C1282" s="14" t="s">
        <v>16086</v>
      </c>
      <c r="D1282" s="14">
        <v>1</v>
      </c>
      <c r="E1282" s="14">
        <v>1378</v>
      </c>
      <c r="F1282" s="14">
        <v>24</v>
      </c>
      <c r="G1282" s="14">
        <v>15605</v>
      </c>
      <c r="H1282" s="14">
        <v>0.891446299459739</v>
      </c>
      <c r="I1282" s="14">
        <v>0.999999999990164</v>
      </c>
      <c r="J1282" s="14">
        <v>0.471849298500242</v>
      </c>
      <c r="K1282" s="14" t="s">
        <v>15246</v>
      </c>
    </row>
    <row r="1283" spans="1:11">
      <c r="A1283" s="14" t="s">
        <v>19261</v>
      </c>
      <c r="B1283" s="14" t="s">
        <v>19262</v>
      </c>
      <c r="C1283" s="14" t="s">
        <v>16096</v>
      </c>
      <c r="D1283" s="14">
        <v>1</v>
      </c>
      <c r="E1283" s="14">
        <v>1378</v>
      </c>
      <c r="F1283" s="14">
        <v>24</v>
      </c>
      <c r="G1283" s="14">
        <v>15605</v>
      </c>
      <c r="H1283" s="14">
        <v>0.891446299459739</v>
      </c>
      <c r="I1283" s="14">
        <v>0.999999999990164</v>
      </c>
      <c r="J1283" s="14">
        <v>0.471849298500242</v>
      </c>
      <c r="K1283" s="14" t="s">
        <v>11408</v>
      </c>
    </row>
    <row r="1284" spans="1:11">
      <c r="A1284" s="14" t="s">
        <v>19263</v>
      </c>
      <c r="B1284" s="14" t="s">
        <v>19264</v>
      </c>
      <c r="C1284" s="14" t="s">
        <v>16096</v>
      </c>
      <c r="D1284" s="14">
        <v>1</v>
      </c>
      <c r="E1284" s="14">
        <v>1378</v>
      </c>
      <c r="F1284" s="14">
        <v>24</v>
      </c>
      <c r="G1284" s="14">
        <v>15605</v>
      </c>
      <c r="H1284" s="14">
        <v>0.891446299459739</v>
      </c>
      <c r="I1284" s="14">
        <v>0.999999999990164</v>
      </c>
      <c r="J1284" s="14">
        <v>0.471849298500242</v>
      </c>
      <c r="K1284" s="14" t="s">
        <v>9950</v>
      </c>
    </row>
    <row r="1285" spans="1:11">
      <c r="A1285" s="14" t="s">
        <v>19265</v>
      </c>
      <c r="B1285" s="14" t="s">
        <v>19266</v>
      </c>
      <c r="C1285" s="14" t="s">
        <v>16086</v>
      </c>
      <c r="D1285" s="14">
        <v>1</v>
      </c>
      <c r="E1285" s="14">
        <v>1378</v>
      </c>
      <c r="F1285" s="14">
        <v>24</v>
      </c>
      <c r="G1285" s="14">
        <v>15605</v>
      </c>
      <c r="H1285" s="14">
        <v>0.891446299459739</v>
      </c>
      <c r="I1285" s="14">
        <v>0.999999999990164</v>
      </c>
      <c r="J1285" s="14">
        <v>0.471849298500242</v>
      </c>
      <c r="K1285" s="14" t="s">
        <v>15359</v>
      </c>
    </row>
    <row r="1286" spans="1:11">
      <c r="A1286" s="14" t="s">
        <v>19267</v>
      </c>
      <c r="B1286" s="14" t="s">
        <v>19268</v>
      </c>
      <c r="C1286" s="14" t="s">
        <v>16090</v>
      </c>
      <c r="D1286" s="14">
        <v>1</v>
      </c>
      <c r="E1286" s="14">
        <v>1378</v>
      </c>
      <c r="F1286" s="14">
        <v>24</v>
      </c>
      <c r="G1286" s="14">
        <v>15605</v>
      </c>
      <c r="H1286" s="14">
        <v>0.891446299459739</v>
      </c>
      <c r="I1286" s="14">
        <v>0.999999999990164</v>
      </c>
      <c r="J1286" s="14">
        <v>0.471849298500242</v>
      </c>
      <c r="K1286" s="14" t="s">
        <v>11948</v>
      </c>
    </row>
    <row r="1287" spans="1:11">
      <c r="A1287" s="14" t="s">
        <v>19269</v>
      </c>
      <c r="B1287" s="14" t="s">
        <v>19270</v>
      </c>
      <c r="C1287" s="14" t="s">
        <v>16090</v>
      </c>
      <c r="D1287" s="14">
        <v>1</v>
      </c>
      <c r="E1287" s="14">
        <v>1378</v>
      </c>
      <c r="F1287" s="14">
        <v>24</v>
      </c>
      <c r="G1287" s="14">
        <v>15605</v>
      </c>
      <c r="H1287" s="14">
        <v>0.891446299459739</v>
      </c>
      <c r="I1287" s="14">
        <v>0.999999999990164</v>
      </c>
      <c r="J1287" s="14">
        <v>0.471849298500242</v>
      </c>
      <c r="K1287" s="14" t="s">
        <v>15538</v>
      </c>
    </row>
    <row r="1288" spans="1:11">
      <c r="A1288" s="14" t="s">
        <v>19271</v>
      </c>
      <c r="B1288" s="14" t="s">
        <v>19272</v>
      </c>
      <c r="C1288" s="14" t="s">
        <v>16090</v>
      </c>
      <c r="D1288" s="14">
        <v>1</v>
      </c>
      <c r="E1288" s="14">
        <v>1378</v>
      </c>
      <c r="F1288" s="14">
        <v>24</v>
      </c>
      <c r="G1288" s="14">
        <v>15605</v>
      </c>
      <c r="H1288" s="14">
        <v>0.891446299459739</v>
      </c>
      <c r="I1288" s="14">
        <v>0.999999999990164</v>
      </c>
      <c r="J1288" s="14">
        <v>0.471849298500242</v>
      </c>
      <c r="K1288" s="14" t="s">
        <v>2647</v>
      </c>
    </row>
    <row r="1289" spans="1:11">
      <c r="A1289" s="14" t="s">
        <v>19273</v>
      </c>
      <c r="B1289" s="14" t="s">
        <v>19274</v>
      </c>
      <c r="C1289" s="14" t="s">
        <v>16090</v>
      </c>
      <c r="D1289" s="14">
        <v>1</v>
      </c>
      <c r="E1289" s="14">
        <v>1378</v>
      </c>
      <c r="F1289" s="14">
        <v>24</v>
      </c>
      <c r="G1289" s="14">
        <v>15605</v>
      </c>
      <c r="H1289" s="14">
        <v>0.891446299459739</v>
      </c>
      <c r="I1289" s="14">
        <v>0.999999999990164</v>
      </c>
      <c r="J1289" s="14">
        <v>0.471849298500242</v>
      </c>
      <c r="K1289" s="14" t="s">
        <v>8527</v>
      </c>
    </row>
    <row r="1290" spans="1:11">
      <c r="A1290" s="14" t="s">
        <v>19275</v>
      </c>
      <c r="B1290" s="14" t="s">
        <v>19276</v>
      </c>
      <c r="C1290" s="14" t="s">
        <v>16096</v>
      </c>
      <c r="D1290" s="14">
        <v>2</v>
      </c>
      <c r="E1290" s="14">
        <v>1378</v>
      </c>
      <c r="F1290" s="14">
        <v>42</v>
      </c>
      <c r="G1290" s="14">
        <v>15605</v>
      </c>
      <c r="H1290" s="14">
        <v>0.895959465853925</v>
      </c>
      <c r="I1290" s="14">
        <v>0.999999999990164</v>
      </c>
      <c r="J1290" s="14">
        <v>0.539256341143134</v>
      </c>
      <c r="K1290" s="14" t="s">
        <v>19277</v>
      </c>
    </row>
    <row r="1291" spans="1:11">
      <c r="A1291" s="14" t="s">
        <v>19278</v>
      </c>
      <c r="B1291" s="14" t="s">
        <v>19279</v>
      </c>
      <c r="C1291" s="14" t="s">
        <v>16086</v>
      </c>
      <c r="D1291" s="14">
        <v>6</v>
      </c>
      <c r="E1291" s="14">
        <v>1378</v>
      </c>
      <c r="F1291" s="14">
        <v>102</v>
      </c>
      <c r="G1291" s="14">
        <v>15605</v>
      </c>
      <c r="H1291" s="14">
        <v>0.896445497465673</v>
      </c>
      <c r="I1291" s="14">
        <v>0.999999999990164</v>
      </c>
      <c r="J1291" s="14">
        <v>0.666140186117989</v>
      </c>
      <c r="K1291" s="14" t="s">
        <v>19280</v>
      </c>
    </row>
    <row r="1292" spans="1:11">
      <c r="A1292" s="14" t="s">
        <v>19281</v>
      </c>
      <c r="B1292" s="14" t="s">
        <v>19282</v>
      </c>
      <c r="C1292" s="14" t="s">
        <v>16096</v>
      </c>
      <c r="D1292" s="14">
        <v>8</v>
      </c>
      <c r="E1292" s="14">
        <v>1378</v>
      </c>
      <c r="F1292" s="14">
        <v>130</v>
      </c>
      <c r="G1292" s="14">
        <v>15605</v>
      </c>
      <c r="H1292" s="14">
        <v>0.897045836916535</v>
      </c>
      <c r="I1292" s="14">
        <v>0.999999999990164</v>
      </c>
      <c r="J1292" s="14">
        <v>0.696885117784973</v>
      </c>
      <c r="K1292" s="14" t="s">
        <v>19283</v>
      </c>
    </row>
    <row r="1293" spans="1:11">
      <c r="A1293" s="14" t="s">
        <v>19284</v>
      </c>
      <c r="B1293" s="14" t="s">
        <v>19285</v>
      </c>
      <c r="C1293" s="14" t="s">
        <v>16096</v>
      </c>
      <c r="D1293" s="14">
        <v>45</v>
      </c>
      <c r="E1293" s="14">
        <v>1378</v>
      </c>
      <c r="F1293" s="14">
        <v>601</v>
      </c>
      <c r="G1293" s="14">
        <v>15605</v>
      </c>
      <c r="H1293" s="14">
        <v>0.897766891078907</v>
      </c>
      <c r="I1293" s="14">
        <v>0.999999999990164</v>
      </c>
      <c r="J1293" s="14">
        <v>0.847915544725892</v>
      </c>
      <c r="K1293" s="14" t="s">
        <v>19286</v>
      </c>
    </row>
    <row r="1294" spans="1:11">
      <c r="A1294" s="14" t="s">
        <v>19287</v>
      </c>
      <c r="B1294" s="14" t="s">
        <v>19288</v>
      </c>
      <c r="C1294" s="14" t="s">
        <v>16090</v>
      </c>
      <c r="D1294" s="14">
        <v>1</v>
      </c>
      <c r="E1294" s="14">
        <v>1378</v>
      </c>
      <c r="F1294" s="14">
        <v>25</v>
      </c>
      <c r="G1294" s="14">
        <v>15605</v>
      </c>
      <c r="H1294" s="14">
        <v>0.901046902716556</v>
      </c>
      <c r="I1294" s="14">
        <v>0.999999999990164</v>
      </c>
      <c r="J1294" s="14">
        <v>0.452975326560232</v>
      </c>
      <c r="K1294" s="14" t="s">
        <v>8158</v>
      </c>
    </row>
    <row r="1295" spans="1:11">
      <c r="A1295" s="14" t="s">
        <v>19289</v>
      </c>
      <c r="B1295" s="14" t="s">
        <v>19290</v>
      </c>
      <c r="C1295" s="14" t="s">
        <v>16090</v>
      </c>
      <c r="D1295" s="14">
        <v>1</v>
      </c>
      <c r="E1295" s="14">
        <v>1378</v>
      </c>
      <c r="F1295" s="14">
        <v>25</v>
      </c>
      <c r="G1295" s="14">
        <v>15605</v>
      </c>
      <c r="H1295" s="14">
        <v>0.901046902716556</v>
      </c>
      <c r="I1295" s="14">
        <v>0.999999999990164</v>
      </c>
      <c r="J1295" s="14">
        <v>0.452975326560232</v>
      </c>
      <c r="K1295" s="14" t="s">
        <v>7695</v>
      </c>
    </row>
    <row r="1296" spans="1:11">
      <c r="A1296" s="14" t="s">
        <v>19291</v>
      </c>
      <c r="B1296" s="14" t="s">
        <v>19292</v>
      </c>
      <c r="C1296" s="14" t="s">
        <v>16090</v>
      </c>
      <c r="D1296" s="14">
        <v>1</v>
      </c>
      <c r="E1296" s="14">
        <v>1378</v>
      </c>
      <c r="F1296" s="14">
        <v>25</v>
      </c>
      <c r="G1296" s="14">
        <v>15605</v>
      </c>
      <c r="H1296" s="14">
        <v>0.901046902716556</v>
      </c>
      <c r="I1296" s="14">
        <v>0.999999999990164</v>
      </c>
      <c r="J1296" s="14">
        <v>0.452975326560232</v>
      </c>
      <c r="K1296" s="14" t="s">
        <v>9734</v>
      </c>
    </row>
    <row r="1297" spans="1:11">
      <c r="A1297" s="14" t="s">
        <v>19293</v>
      </c>
      <c r="B1297" s="14" t="s">
        <v>19294</v>
      </c>
      <c r="C1297" s="14" t="s">
        <v>16086</v>
      </c>
      <c r="D1297" s="14">
        <v>1</v>
      </c>
      <c r="E1297" s="14">
        <v>1378</v>
      </c>
      <c r="F1297" s="14">
        <v>25</v>
      </c>
      <c r="G1297" s="14">
        <v>15605</v>
      </c>
      <c r="H1297" s="14">
        <v>0.901046902716556</v>
      </c>
      <c r="I1297" s="14">
        <v>0.999999999990164</v>
      </c>
      <c r="J1297" s="14">
        <v>0.452975326560232</v>
      </c>
      <c r="K1297" s="14" t="s">
        <v>4156</v>
      </c>
    </row>
    <row r="1298" spans="1:11">
      <c r="A1298" s="14" t="s">
        <v>19295</v>
      </c>
      <c r="B1298" s="14" t="s">
        <v>19296</v>
      </c>
      <c r="C1298" s="14" t="s">
        <v>16090</v>
      </c>
      <c r="D1298" s="14">
        <v>1</v>
      </c>
      <c r="E1298" s="14">
        <v>1378</v>
      </c>
      <c r="F1298" s="14">
        <v>25</v>
      </c>
      <c r="G1298" s="14">
        <v>15605</v>
      </c>
      <c r="H1298" s="14">
        <v>0.901046902716556</v>
      </c>
      <c r="I1298" s="14">
        <v>0.999999999990164</v>
      </c>
      <c r="J1298" s="14">
        <v>0.452975326560232</v>
      </c>
      <c r="K1298" s="14" t="s">
        <v>11618</v>
      </c>
    </row>
    <row r="1299" spans="1:11">
      <c r="A1299" s="14" t="s">
        <v>19297</v>
      </c>
      <c r="B1299" s="14" t="s">
        <v>19298</v>
      </c>
      <c r="C1299" s="14" t="s">
        <v>16090</v>
      </c>
      <c r="D1299" s="14">
        <v>1</v>
      </c>
      <c r="E1299" s="14">
        <v>1378</v>
      </c>
      <c r="F1299" s="14">
        <v>25</v>
      </c>
      <c r="G1299" s="14">
        <v>15605</v>
      </c>
      <c r="H1299" s="14">
        <v>0.901046902716556</v>
      </c>
      <c r="I1299" s="14">
        <v>0.999999999990164</v>
      </c>
      <c r="J1299" s="14">
        <v>0.452975326560232</v>
      </c>
      <c r="K1299" s="14" t="s">
        <v>2530</v>
      </c>
    </row>
    <row r="1300" spans="1:11">
      <c r="A1300" s="14" t="s">
        <v>19299</v>
      </c>
      <c r="B1300" s="14" t="s">
        <v>19300</v>
      </c>
      <c r="C1300" s="14" t="s">
        <v>16090</v>
      </c>
      <c r="D1300" s="14">
        <v>1</v>
      </c>
      <c r="E1300" s="14">
        <v>1378</v>
      </c>
      <c r="F1300" s="14">
        <v>25</v>
      </c>
      <c r="G1300" s="14">
        <v>15605</v>
      </c>
      <c r="H1300" s="14">
        <v>0.901046902716556</v>
      </c>
      <c r="I1300" s="14">
        <v>0.999999999990164</v>
      </c>
      <c r="J1300" s="14">
        <v>0.452975326560232</v>
      </c>
      <c r="K1300" s="14" t="s">
        <v>9950</v>
      </c>
    </row>
    <row r="1301" spans="1:11">
      <c r="A1301" s="14" t="s">
        <v>19301</v>
      </c>
      <c r="B1301" s="14" t="s">
        <v>19302</v>
      </c>
      <c r="C1301" s="14" t="s">
        <v>16090</v>
      </c>
      <c r="D1301" s="14">
        <v>1</v>
      </c>
      <c r="E1301" s="14">
        <v>1378</v>
      </c>
      <c r="F1301" s="14">
        <v>25</v>
      </c>
      <c r="G1301" s="14">
        <v>15605</v>
      </c>
      <c r="H1301" s="14">
        <v>0.901046902716556</v>
      </c>
      <c r="I1301" s="14">
        <v>0.999999999990164</v>
      </c>
      <c r="J1301" s="14">
        <v>0.452975326560232</v>
      </c>
      <c r="K1301" s="14" t="s">
        <v>4758</v>
      </c>
    </row>
    <row r="1302" spans="1:11">
      <c r="A1302" s="14" t="s">
        <v>19303</v>
      </c>
      <c r="B1302" s="14" t="s">
        <v>19304</v>
      </c>
      <c r="C1302" s="14" t="s">
        <v>16086</v>
      </c>
      <c r="D1302" s="14">
        <v>4</v>
      </c>
      <c r="E1302" s="14">
        <v>1378</v>
      </c>
      <c r="F1302" s="14">
        <v>74</v>
      </c>
      <c r="G1302" s="14">
        <v>15605</v>
      </c>
      <c r="H1302" s="14">
        <v>0.901779868894827</v>
      </c>
      <c r="I1302" s="14">
        <v>0.999999999990164</v>
      </c>
      <c r="J1302" s="14">
        <v>0.612128819675989</v>
      </c>
      <c r="K1302" s="14" t="s">
        <v>19305</v>
      </c>
    </row>
    <row r="1303" spans="1:11">
      <c r="A1303" s="14" t="s">
        <v>19306</v>
      </c>
      <c r="B1303" s="14" t="s">
        <v>19307</v>
      </c>
      <c r="C1303" s="14" t="s">
        <v>16090</v>
      </c>
      <c r="D1303" s="14">
        <v>2</v>
      </c>
      <c r="E1303" s="14">
        <v>1378</v>
      </c>
      <c r="F1303" s="14">
        <v>43</v>
      </c>
      <c r="G1303" s="14">
        <v>15605</v>
      </c>
      <c r="H1303" s="14">
        <v>0.903352715866143</v>
      </c>
      <c r="I1303" s="14">
        <v>0.999999999990164</v>
      </c>
      <c r="J1303" s="14">
        <v>0.52671549600027</v>
      </c>
      <c r="K1303" s="14" t="s">
        <v>19308</v>
      </c>
    </row>
    <row r="1304" spans="1:11">
      <c r="A1304" s="14" t="s">
        <v>19309</v>
      </c>
      <c r="B1304" s="14" t="s">
        <v>19310</v>
      </c>
      <c r="C1304" s="14" t="s">
        <v>16090</v>
      </c>
      <c r="D1304" s="14">
        <v>2</v>
      </c>
      <c r="E1304" s="14">
        <v>1378</v>
      </c>
      <c r="F1304" s="14">
        <v>43</v>
      </c>
      <c r="G1304" s="14">
        <v>15605</v>
      </c>
      <c r="H1304" s="14">
        <v>0.903352715866143</v>
      </c>
      <c r="I1304" s="14">
        <v>0.999999999990164</v>
      </c>
      <c r="J1304" s="14">
        <v>0.52671549600027</v>
      </c>
      <c r="K1304" s="14" t="s">
        <v>19311</v>
      </c>
    </row>
    <row r="1305" spans="1:11">
      <c r="A1305" s="14" t="s">
        <v>19312</v>
      </c>
      <c r="B1305" s="14" t="s">
        <v>19313</v>
      </c>
      <c r="C1305" s="14" t="s">
        <v>16086</v>
      </c>
      <c r="D1305" s="14">
        <v>3</v>
      </c>
      <c r="E1305" s="14">
        <v>1378</v>
      </c>
      <c r="F1305" s="14">
        <v>60</v>
      </c>
      <c r="G1305" s="14">
        <v>15605</v>
      </c>
      <c r="H1305" s="14">
        <v>0.909117835353872</v>
      </c>
      <c r="I1305" s="14">
        <v>0.999999999990164</v>
      </c>
      <c r="J1305" s="14">
        <v>0.56621915820029</v>
      </c>
      <c r="K1305" s="14" t="s">
        <v>19314</v>
      </c>
    </row>
    <row r="1306" spans="1:11">
      <c r="A1306" s="14" t="s">
        <v>19315</v>
      </c>
      <c r="B1306" s="14" t="s">
        <v>19316</v>
      </c>
      <c r="C1306" s="14" t="s">
        <v>16090</v>
      </c>
      <c r="D1306" s="14">
        <v>1</v>
      </c>
      <c r="E1306" s="14">
        <v>1378</v>
      </c>
      <c r="F1306" s="14">
        <v>26</v>
      </c>
      <c r="G1306" s="14">
        <v>15605</v>
      </c>
      <c r="H1306" s="14">
        <v>0.90979898025549</v>
      </c>
      <c r="I1306" s="14">
        <v>0.999999999990164</v>
      </c>
      <c r="J1306" s="14">
        <v>0.435553198615608</v>
      </c>
      <c r="K1306" s="14" t="s">
        <v>15318</v>
      </c>
    </row>
    <row r="1307" spans="1:11">
      <c r="A1307" s="14" t="s">
        <v>19317</v>
      </c>
      <c r="B1307" s="14" t="s">
        <v>19318</v>
      </c>
      <c r="C1307" s="14" t="s">
        <v>16090</v>
      </c>
      <c r="D1307" s="14">
        <v>1</v>
      </c>
      <c r="E1307" s="14">
        <v>1378</v>
      </c>
      <c r="F1307" s="14">
        <v>26</v>
      </c>
      <c r="G1307" s="14">
        <v>15605</v>
      </c>
      <c r="H1307" s="14">
        <v>0.90979898025549</v>
      </c>
      <c r="I1307" s="14">
        <v>0.999999999990164</v>
      </c>
      <c r="J1307" s="14">
        <v>0.435553198615608</v>
      </c>
      <c r="K1307" s="14" t="s">
        <v>4385</v>
      </c>
    </row>
    <row r="1308" spans="1:11">
      <c r="A1308" s="14" t="s">
        <v>19319</v>
      </c>
      <c r="B1308" s="14" t="s">
        <v>19320</v>
      </c>
      <c r="C1308" s="14" t="s">
        <v>16090</v>
      </c>
      <c r="D1308" s="14">
        <v>1</v>
      </c>
      <c r="E1308" s="14">
        <v>1378</v>
      </c>
      <c r="F1308" s="14">
        <v>26</v>
      </c>
      <c r="G1308" s="14">
        <v>15605</v>
      </c>
      <c r="H1308" s="14">
        <v>0.90979898025549</v>
      </c>
      <c r="I1308" s="14">
        <v>0.999999999990164</v>
      </c>
      <c r="J1308" s="14">
        <v>0.435553198615608</v>
      </c>
      <c r="K1308" s="14" t="s">
        <v>10759</v>
      </c>
    </row>
    <row r="1309" spans="1:11">
      <c r="A1309" s="14" t="s">
        <v>19321</v>
      </c>
      <c r="B1309" s="14" t="s">
        <v>19322</v>
      </c>
      <c r="C1309" s="14" t="s">
        <v>16090</v>
      </c>
      <c r="D1309" s="14">
        <v>1</v>
      </c>
      <c r="E1309" s="14">
        <v>1378</v>
      </c>
      <c r="F1309" s="14">
        <v>26</v>
      </c>
      <c r="G1309" s="14">
        <v>15605</v>
      </c>
      <c r="H1309" s="14">
        <v>0.90979898025549</v>
      </c>
      <c r="I1309" s="14">
        <v>0.999999999990164</v>
      </c>
      <c r="J1309" s="14">
        <v>0.435553198615608</v>
      </c>
      <c r="K1309" s="14" t="s">
        <v>2435</v>
      </c>
    </row>
    <row r="1310" spans="1:11">
      <c r="A1310" s="14" t="s">
        <v>19323</v>
      </c>
      <c r="B1310" s="14" t="s">
        <v>19324</v>
      </c>
      <c r="C1310" s="14" t="s">
        <v>16090</v>
      </c>
      <c r="D1310" s="14">
        <v>1</v>
      </c>
      <c r="E1310" s="14">
        <v>1378</v>
      </c>
      <c r="F1310" s="14">
        <v>26</v>
      </c>
      <c r="G1310" s="14">
        <v>15605</v>
      </c>
      <c r="H1310" s="14">
        <v>0.90979898025549</v>
      </c>
      <c r="I1310" s="14">
        <v>0.999999999990164</v>
      </c>
      <c r="J1310" s="14">
        <v>0.435553198615608</v>
      </c>
      <c r="K1310" s="14" t="s">
        <v>3540</v>
      </c>
    </row>
    <row r="1311" spans="1:11">
      <c r="A1311" s="14" t="s">
        <v>19325</v>
      </c>
      <c r="B1311" s="14" t="s">
        <v>19326</v>
      </c>
      <c r="C1311" s="14" t="s">
        <v>16086</v>
      </c>
      <c r="D1311" s="14">
        <v>1</v>
      </c>
      <c r="E1311" s="14">
        <v>1378</v>
      </c>
      <c r="F1311" s="14">
        <v>26</v>
      </c>
      <c r="G1311" s="14">
        <v>15605</v>
      </c>
      <c r="H1311" s="14">
        <v>0.90979898025549</v>
      </c>
      <c r="I1311" s="14">
        <v>0.999999999990164</v>
      </c>
      <c r="J1311" s="14">
        <v>0.435553198615608</v>
      </c>
      <c r="K1311" s="14" t="s">
        <v>8063</v>
      </c>
    </row>
    <row r="1312" spans="1:11">
      <c r="A1312" s="14" t="s">
        <v>19327</v>
      </c>
      <c r="B1312" s="14" t="s">
        <v>19328</v>
      </c>
      <c r="C1312" s="14" t="s">
        <v>16096</v>
      </c>
      <c r="D1312" s="14">
        <v>1</v>
      </c>
      <c r="E1312" s="14">
        <v>1378</v>
      </c>
      <c r="F1312" s="14">
        <v>26</v>
      </c>
      <c r="G1312" s="14">
        <v>15605</v>
      </c>
      <c r="H1312" s="14">
        <v>0.90979898025549</v>
      </c>
      <c r="I1312" s="14">
        <v>0.999999999990164</v>
      </c>
      <c r="J1312" s="14">
        <v>0.435553198615608</v>
      </c>
      <c r="K1312" s="14" t="s">
        <v>12678</v>
      </c>
    </row>
    <row r="1313" spans="1:11">
      <c r="A1313" s="14" t="s">
        <v>19329</v>
      </c>
      <c r="B1313" s="14" t="s">
        <v>19330</v>
      </c>
      <c r="C1313" s="14" t="s">
        <v>16086</v>
      </c>
      <c r="D1313" s="14">
        <v>4</v>
      </c>
      <c r="E1313" s="14">
        <v>1378</v>
      </c>
      <c r="F1313" s="14">
        <v>77</v>
      </c>
      <c r="G1313" s="14">
        <v>15605</v>
      </c>
      <c r="H1313" s="14">
        <v>0.917607104576366</v>
      </c>
      <c r="I1313" s="14">
        <v>0.999999999990164</v>
      </c>
      <c r="J1313" s="14">
        <v>0.588279644883418</v>
      </c>
      <c r="K1313" s="14" t="s">
        <v>19331</v>
      </c>
    </row>
    <row r="1314" spans="1:11">
      <c r="A1314" s="14" t="s">
        <v>19332</v>
      </c>
      <c r="B1314" s="14" t="s">
        <v>19333</v>
      </c>
      <c r="C1314" s="14" t="s">
        <v>16096</v>
      </c>
      <c r="D1314" s="14">
        <v>1</v>
      </c>
      <c r="E1314" s="14">
        <v>1378</v>
      </c>
      <c r="F1314" s="14">
        <v>27</v>
      </c>
      <c r="G1314" s="14">
        <v>15605</v>
      </c>
      <c r="H1314" s="14">
        <v>0.91777747728405</v>
      </c>
      <c r="I1314" s="14">
        <v>0.999999999990164</v>
      </c>
      <c r="J1314" s="14">
        <v>0.419421598666882</v>
      </c>
      <c r="K1314" s="14" t="s">
        <v>15084</v>
      </c>
    </row>
    <row r="1315" spans="1:11">
      <c r="A1315" s="14" t="s">
        <v>19334</v>
      </c>
      <c r="B1315" s="14" t="s">
        <v>19335</v>
      </c>
      <c r="C1315" s="14" t="s">
        <v>16086</v>
      </c>
      <c r="D1315" s="14">
        <v>1</v>
      </c>
      <c r="E1315" s="14">
        <v>1378</v>
      </c>
      <c r="F1315" s="14">
        <v>27</v>
      </c>
      <c r="G1315" s="14">
        <v>15605</v>
      </c>
      <c r="H1315" s="14">
        <v>0.91777747728405</v>
      </c>
      <c r="I1315" s="14">
        <v>0.999999999990164</v>
      </c>
      <c r="J1315" s="14">
        <v>0.419421598666882</v>
      </c>
      <c r="K1315" s="14" t="s">
        <v>11918</v>
      </c>
    </row>
    <row r="1316" spans="1:11">
      <c r="A1316" s="14" t="s">
        <v>19336</v>
      </c>
      <c r="B1316" s="14" t="s">
        <v>19337</v>
      </c>
      <c r="C1316" s="14" t="s">
        <v>16090</v>
      </c>
      <c r="D1316" s="14">
        <v>5</v>
      </c>
      <c r="E1316" s="14">
        <v>1378</v>
      </c>
      <c r="F1316" s="14">
        <v>92</v>
      </c>
      <c r="G1316" s="14">
        <v>15605</v>
      </c>
      <c r="H1316" s="14">
        <v>0.91780671082515</v>
      </c>
      <c r="I1316" s="14">
        <v>0.999999999990164</v>
      </c>
      <c r="J1316" s="14">
        <v>0.615455606739446</v>
      </c>
      <c r="K1316" s="14" t="s">
        <v>19338</v>
      </c>
    </row>
    <row r="1317" spans="1:11">
      <c r="A1317" s="14" t="s">
        <v>19339</v>
      </c>
      <c r="B1317" s="14" t="s">
        <v>19340</v>
      </c>
      <c r="C1317" s="14" t="s">
        <v>16086</v>
      </c>
      <c r="D1317" s="14">
        <v>2</v>
      </c>
      <c r="E1317" s="14">
        <v>1378</v>
      </c>
      <c r="F1317" s="14">
        <v>46</v>
      </c>
      <c r="G1317" s="14">
        <v>15605</v>
      </c>
      <c r="H1317" s="14">
        <v>0.922689167357605</v>
      </c>
      <c r="I1317" s="14">
        <v>0.999999999990164</v>
      </c>
      <c r="J1317" s="14">
        <v>0.492364485391557</v>
      </c>
      <c r="K1317" s="14" t="s">
        <v>19341</v>
      </c>
    </row>
    <row r="1318" spans="1:11">
      <c r="A1318" s="14" t="s">
        <v>19342</v>
      </c>
      <c r="B1318" s="14" t="s">
        <v>19343</v>
      </c>
      <c r="C1318" s="14" t="s">
        <v>16090</v>
      </c>
      <c r="D1318" s="14">
        <v>2</v>
      </c>
      <c r="E1318" s="14">
        <v>1378</v>
      </c>
      <c r="F1318" s="14">
        <v>46</v>
      </c>
      <c r="G1318" s="14">
        <v>15605</v>
      </c>
      <c r="H1318" s="14">
        <v>0.922689167357605</v>
      </c>
      <c r="I1318" s="14">
        <v>0.999999999990164</v>
      </c>
      <c r="J1318" s="14">
        <v>0.492364485391557</v>
      </c>
      <c r="K1318" s="14" t="s">
        <v>17137</v>
      </c>
    </row>
    <row r="1319" spans="1:11">
      <c r="A1319" s="14" t="s">
        <v>19344</v>
      </c>
      <c r="B1319" s="14" t="s">
        <v>19345</v>
      </c>
      <c r="C1319" s="14" t="s">
        <v>16090</v>
      </c>
      <c r="D1319" s="14">
        <v>2</v>
      </c>
      <c r="E1319" s="14">
        <v>1378</v>
      </c>
      <c r="F1319" s="14">
        <v>46</v>
      </c>
      <c r="G1319" s="14">
        <v>15605</v>
      </c>
      <c r="H1319" s="14">
        <v>0.922689167357605</v>
      </c>
      <c r="I1319" s="14">
        <v>0.999999999990164</v>
      </c>
      <c r="J1319" s="14">
        <v>0.492364485391557</v>
      </c>
      <c r="K1319" s="14" t="s">
        <v>19346</v>
      </c>
    </row>
    <row r="1320" spans="1:11">
      <c r="A1320" s="14" t="s">
        <v>19347</v>
      </c>
      <c r="B1320" s="14" t="s">
        <v>19348</v>
      </c>
      <c r="C1320" s="14" t="s">
        <v>16090</v>
      </c>
      <c r="D1320" s="14">
        <v>1</v>
      </c>
      <c r="E1320" s="14">
        <v>1378</v>
      </c>
      <c r="F1320" s="14">
        <v>28</v>
      </c>
      <c r="G1320" s="14">
        <v>15605</v>
      </c>
      <c r="H1320" s="14">
        <v>0.925050723933336</v>
      </c>
      <c r="I1320" s="14">
        <v>0.999999999990164</v>
      </c>
      <c r="J1320" s="14">
        <v>0.40444225585735</v>
      </c>
      <c r="K1320" s="14" t="s">
        <v>8063</v>
      </c>
    </row>
    <row r="1321" spans="1:11">
      <c r="A1321" s="14" t="s">
        <v>19349</v>
      </c>
      <c r="B1321" s="14" t="s">
        <v>19350</v>
      </c>
      <c r="C1321" s="14" t="s">
        <v>16086</v>
      </c>
      <c r="D1321" s="14">
        <v>2</v>
      </c>
      <c r="E1321" s="14">
        <v>1378</v>
      </c>
      <c r="F1321" s="14">
        <v>47</v>
      </c>
      <c r="G1321" s="14">
        <v>15605</v>
      </c>
      <c r="H1321" s="14">
        <v>0.928280378178054</v>
      </c>
      <c r="I1321" s="14">
        <v>0.999999999990164</v>
      </c>
      <c r="J1321" s="14">
        <v>0.481888645276843</v>
      </c>
      <c r="K1321" s="14" t="s">
        <v>19308</v>
      </c>
    </row>
    <row r="1322" spans="1:11">
      <c r="A1322" s="14" t="s">
        <v>19351</v>
      </c>
      <c r="B1322" s="14" t="s">
        <v>19352</v>
      </c>
      <c r="C1322" s="14" t="s">
        <v>16086</v>
      </c>
      <c r="D1322" s="14">
        <v>1</v>
      </c>
      <c r="E1322" s="14">
        <v>1378</v>
      </c>
      <c r="F1322" s="14">
        <v>29</v>
      </c>
      <c r="G1322" s="14">
        <v>15605</v>
      </c>
      <c r="H1322" s="14">
        <v>0.931681018753896</v>
      </c>
      <c r="I1322" s="14">
        <v>0.999999999990164</v>
      </c>
      <c r="J1322" s="14">
        <v>0.390495971172614</v>
      </c>
      <c r="K1322" s="14" t="s">
        <v>9805</v>
      </c>
    </row>
    <row r="1323" spans="1:11">
      <c r="A1323" s="14" t="s">
        <v>19353</v>
      </c>
      <c r="B1323" s="14" t="s">
        <v>19354</v>
      </c>
      <c r="C1323" s="14" t="s">
        <v>16096</v>
      </c>
      <c r="D1323" s="14">
        <v>1</v>
      </c>
      <c r="E1323" s="14">
        <v>1378</v>
      </c>
      <c r="F1323" s="14">
        <v>29</v>
      </c>
      <c r="G1323" s="14">
        <v>15605</v>
      </c>
      <c r="H1323" s="14">
        <v>0.931681018753896</v>
      </c>
      <c r="I1323" s="14">
        <v>0.999999999990164</v>
      </c>
      <c r="J1323" s="14">
        <v>0.390495971172614</v>
      </c>
      <c r="K1323" s="14" t="s">
        <v>4758</v>
      </c>
    </row>
    <row r="1324" spans="1:11">
      <c r="A1324" s="14" t="s">
        <v>19355</v>
      </c>
      <c r="B1324" s="14" t="s">
        <v>19356</v>
      </c>
      <c r="C1324" s="14" t="s">
        <v>16096</v>
      </c>
      <c r="D1324" s="14">
        <v>7</v>
      </c>
      <c r="E1324" s="14">
        <v>1378</v>
      </c>
      <c r="F1324" s="14">
        <v>125</v>
      </c>
      <c r="G1324" s="14">
        <v>15605</v>
      </c>
      <c r="H1324" s="14">
        <v>0.932778936185525</v>
      </c>
      <c r="I1324" s="14">
        <v>0.999999999990164</v>
      </c>
      <c r="J1324" s="14">
        <v>0.634165457184325</v>
      </c>
      <c r="K1324" s="14" t="s">
        <v>19357</v>
      </c>
    </row>
    <row r="1325" spans="1:11">
      <c r="A1325" s="14" t="s">
        <v>19358</v>
      </c>
      <c r="B1325" s="14" t="s">
        <v>19359</v>
      </c>
      <c r="C1325" s="14" t="s">
        <v>16096</v>
      </c>
      <c r="D1325" s="14">
        <v>1</v>
      </c>
      <c r="E1325" s="14">
        <v>1378</v>
      </c>
      <c r="F1325" s="14">
        <v>30</v>
      </c>
      <c r="G1325" s="14">
        <v>15605</v>
      </c>
      <c r="H1325" s="14">
        <v>0.937725160777338</v>
      </c>
      <c r="I1325" s="14">
        <v>0.999999999990164</v>
      </c>
      <c r="J1325" s="14">
        <v>0.377479438800194</v>
      </c>
      <c r="K1325" s="14" t="s">
        <v>10920</v>
      </c>
    </row>
    <row r="1326" spans="1:11">
      <c r="A1326" s="14" t="s">
        <v>19360</v>
      </c>
      <c r="B1326" s="14" t="s">
        <v>19361</v>
      </c>
      <c r="C1326" s="14" t="s">
        <v>16090</v>
      </c>
      <c r="D1326" s="14">
        <v>1</v>
      </c>
      <c r="E1326" s="14">
        <v>1378</v>
      </c>
      <c r="F1326" s="14">
        <v>30</v>
      </c>
      <c r="G1326" s="14">
        <v>15605</v>
      </c>
      <c r="H1326" s="14">
        <v>0.937725160777338</v>
      </c>
      <c r="I1326" s="14">
        <v>0.999999999990164</v>
      </c>
      <c r="J1326" s="14">
        <v>0.377479438800194</v>
      </c>
      <c r="K1326" s="14" t="s">
        <v>6369</v>
      </c>
    </row>
    <row r="1327" spans="1:11">
      <c r="A1327" s="14" t="s">
        <v>19362</v>
      </c>
      <c r="B1327" s="14" t="s">
        <v>19363</v>
      </c>
      <c r="C1327" s="14" t="s">
        <v>16090</v>
      </c>
      <c r="D1327" s="14">
        <v>1</v>
      </c>
      <c r="E1327" s="14">
        <v>1378</v>
      </c>
      <c r="F1327" s="14">
        <v>30</v>
      </c>
      <c r="G1327" s="14">
        <v>15605</v>
      </c>
      <c r="H1327" s="14">
        <v>0.937725160777338</v>
      </c>
      <c r="I1327" s="14">
        <v>0.999999999990164</v>
      </c>
      <c r="J1327" s="14">
        <v>0.377479438800194</v>
      </c>
      <c r="K1327" s="14" t="s">
        <v>15253</v>
      </c>
    </row>
    <row r="1328" spans="1:11">
      <c r="A1328" s="14" t="s">
        <v>19364</v>
      </c>
      <c r="B1328" s="14" t="s">
        <v>19365</v>
      </c>
      <c r="C1328" s="14" t="s">
        <v>16090</v>
      </c>
      <c r="D1328" s="14">
        <v>1</v>
      </c>
      <c r="E1328" s="14">
        <v>1378</v>
      </c>
      <c r="F1328" s="14">
        <v>30</v>
      </c>
      <c r="G1328" s="14">
        <v>15605</v>
      </c>
      <c r="H1328" s="14">
        <v>0.937725160777338</v>
      </c>
      <c r="I1328" s="14">
        <v>0.999999999990164</v>
      </c>
      <c r="J1328" s="14">
        <v>0.377479438800194</v>
      </c>
      <c r="K1328" s="14" t="s">
        <v>5540</v>
      </c>
    </row>
    <row r="1329" spans="1:11">
      <c r="A1329" s="14" t="s">
        <v>19366</v>
      </c>
      <c r="B1329" s="14" t="s">
        <v>19367</v>
      </c>
      <c r="C1329" s="14" t="s">
        <v>16086</v>
      </c>
      <c r="D1329" s="14">
        <v>1</v>
      </c>
      <c r="E1329" s="14">
        <v>1378</v>
      </c>
      <c r="F1329" s="14">
        <v>30</v>
      </c>
      <c r="G1329" s="14">
        <v>15605</v>
      </c>
      <c r="H1329" s="14">
        <v>0.937725160777338</v>
      </c>
      <c r="I1329" s="14">
        <v>0.999999999990164</v>
      </c>
      <c r="J1329" s="14">
        <v>0.377479438800194</v>
      </c>
      <c r="K1329" s="14" t="s">
        <v>12643</v>
      </c>
    </row>
    <row r="1330" spans="1:11">
      <c r="A1330" s="14" t="s">
        <v>19368</v>
      </c>
      <c r="B1330" s="14" t="s">
        <v>19369</v>
      </c>
      <c r="C1330" s="14" t="s">
        <v>16096</v>
      </c>
      <c r="D1330" s="14">
        <v>6</v>
      </c>
      <c r="E1330" s="14">
        <v>1378</v>
      </c>
      <c r="F1330" s="14">
        <v>112</v>
      </c>
      <c r="G1330" s="14">
        <v>15605</v>
      </c>
      <c r="H1330" s="14">
        <v>0.937986662383999</v>
      </c>
      <c r="I1330" s="14">
        <v>0.999999999990164</v>
      </c>
      <c r="J1330" s="14">
        <v>0.606663383786025</v>
      </c>
      <c r="K1330" s="14" t="s">
        <v>19370</v>
      </c>
    </row>
    <row r="1331" spans="1:11">
      <c r="A1331" s="14" t="s">
        <v>19371</v>
      </c>
      <c r="B1331" s="14" t="s">
        <v>19372</v>
      </c>
      <c r="C1331" s="14" t="s">
        <v>16090</v>
      </c>
      <c r="D1331" s="14">
        <v>2</v>
      </c>
      <c r="E1331" s="14">
        <v>1378</v>
      </c>
      <c r="F1331" s="14">
        <v>49</v>
      </c>
      <c r="G1331" s="14">
        <v>15605</v>
      </c>
      <c r="H1331" s="14">
        <v>0.938335785923647</v>
      </c>
      <c r="I1331" s="14">
        <v>0.999999999990164</v>
      </c>
      <c r="J1331" s="14">
        <v>0.462219720979829</v>
      </c>
      <c r="K1331" s="14" t="s">
        <v>19373</v>
      </c>
    </row>
    <row r="1332" spans="1:11">
      <c r="A1332" s="14" t="s">
        <v>19374</v>
      </c>
      <c r="B1332" s="14" t="s">
        <v>19375</v>
      </c>
      <c r="C1332" s="14" t="s">
        <v>16090</v>
      </c>
      <c r="D1332" s="14">
        <v>3</v>
      </c>
      <c r="E1332" s="14">
        <v>1378</v>
      </c>
      <c r="F1332" s="14">
        <v>66</v>
      </c>
      <c r="G1332" s="14">
        <v>15605</v>
      </c>
      <c r="H1332" s="14">
        <v>0.938768515145092</v>
      </c>
      <c r="I1332" s="14">
        <v>0.999999999990164</v>
      </c>
      <c r="J1332" s="14">
        <v>0.514744689272991</v>
      </c>
      <c r="K1332" s="14" t="s">
        <v>19376</v>
      </c>
    </row>
    <row r="1333" spans="1:11">
      <c r="A1333" s="14" t="s">
        <v>19377</v>
      </c>
      <c r="B1333" s="14" t="s">
        <v>19378</v>
      </c>
      <c r="C1333" s="14" t="s">
        <v>16090</v>
      </c>
      <c r="D1333" s="14">
        <v>3</v>
      </c>
      <c r="E1333" s="14">
        <v>1378</v>
      </c>
      <c r="F1333" s="14">
        <v>66</v>
      </c>
      <c r="G1333" s="14">
        <v>15605</v>
      </c>
      <c r="H1333" s="14">
        <v>0.938768515145092</v>
      </c>
      <c r="I1333" s="14">
        <v>0.999999999990164</v>
      </c>
      <c r="J1333" s="14">
        <v>0.514744689272991</v>
      </c>
      <c r="K1333" s="14" t="s">
        <v>19379</v>
      </c>
    </row>
    <row r="1334" spans="1:11">
      <c r="A1334" s="14" t="s">
        <v>19380</v>
      </c>
      <c r="B1334" s="14" t="s">
        <v>19381</v>
      </c>
      <c r="C1334" s="14" t="s">
        <v>16096</v>
      </c>
      <c r="D1334" s="14">
        <v>3</v>
      </c>
      <c r="E1334" s="14">
        <v>1378</v>
      </c>
      <c r="F1334" s="14">
        <v>66</v>
      </c>
      <c r="G1334" s="14">
        <v>15605</v>
      </c>
      <c r="H1334" s="14">
        <v>0.938768515145092</v>
      </c>
      <c r="I1334" s="14">
        <v>0.999999999990164</v>
      </c>
      <c r="J1334" s="14">
        <v>0.514744689272991</v>
      </c>
      <c r="K1334" s="14" t="s">
        <v>19382</v>
      </c>
    </row>
    <row r="1335" spans="1:11">
      <c r="A1335" s="14" t="s">
        <v>19383</v>
      </c>
      <c r="B1335" s="14" t="s">
        <v>19384</v>
      </c>
      <c r="C1335" s="14" t="s">
        <v>16096</v>
      </c>
      <c r="D1335" s="14">
        <v>4</v>
      </c>
      <c r="E1335" s="14">
        <v>1378</v>
      </c>
      <c r="F1335" s="14">
        <v>82</v>
      </c>
      <c r="G1335" s="14">
        <v>15605</v>
      </c>
      <c r="H1335" s="14">
        <v>0.938969223894661</v>
      </c>
      <c r="I1335" s="14">
        <v>0.999999999990164</v>
      </c>
      <c r="J1335" s="14">
        <v>0.552408934829551</v>
      </c>
      <c r="K1335" s="14" t="s">
        <v>19305</v>
      </c>
    </row>
    <row r="1336" spans="1:11">
      <c r="A1336" s="14" t="s">
        <v>19385</v>
      </c>
      <c r="B1336" s="14" t="s">
        <v>19386</v>
      </c>
      <c r="C1336" s="14" t="s">
        <v>16086</v>
      </c>
      <c r="D1336" s="14">
        <v>7</v>
      </c>
      <c r="E1336" s="14">
        <v>1378</v>
      </c>
      <c r="F1336" s="14">
        <v>127</v>
      </c>
      <c r="G1336" s="14">
        <v>15605</v>
      </c>
      <c r="H1336" s="14">
        <v>0.939161894372294</v>
      </c>
      <c r="I1336" s="14">
        <v>0.999999999990164</v>
      </c>
      <c r="J1336" s="14">
        <v>0.624178599590871</v>
      </c>
      <c r="K1336" s="14" t="s">
        <v>19387</v>
      </c>
    </row>
    <row r="1337" spans="1:11">
      <c r="A1337" s="14" t="s">
        <v>19388</v>
      </c>
      <c r="B1337" s="14" t="s">
        <v>19389</v>
      </c>
      <c r="C1337" s="14" t="s">
        <v>16086</v>
      </c>
      <c r="D1337" s="14">
        <v>9</v>
      </c>
      <c r="E1337" s="14">
        <v>1378</v>
      </c>
      <c r="F1337" s="14">
        <v>157</v>
      </c>
      <c r="G1337" s="14">
        <v>15605</v>
      </c>
      <c r="H1337" s="14">
        <v>0.942968411822747</v>
      </c>
      <c r="I1337" s="14">
        <v>0.999999999990164</v>
      </c>
      <c r="J1337" s="14">
        <v>0.649168461630906</v>
      </c>
      <c r="K1337" s="14" t="s">
        <v>19390</v>
      </c>
    </row>
    <row r="1338" spans="1:11">
      <c r="A1338" s="14" t="s">
        <v>19391</v>
      </c>
      <c r="B1338" s="14" t="s">
        <v>19392</v>
      </c>
      <c r="C1338" s="14" t="s">
        <v>16086</v>
      </c>
      <c r="D1338" s="14">
        <v>1</v>
      </c>
      <c r="E1338" s="14">
        <v>1378</v>
      </c>
      <c r="F1338" s="14">
        <v>31</v>
      </c>
      <c r="G1338" s="14">
        <v>15605</v>
      </c>
      <c r="H1338" s="14">
        <v>0.943234934674534</v>
      </c>
      <c r="I1338" s="14">
        <v>0.999999999990164</v>
      </c>
      <c r="J1338" s="14">
        <v>0.365302682709865</v>
      </c>
      <c r="K1338" s="14" t="s">
        <v>9805</v>
      </c>
    </row>
    <row r="1339" spans="1:11">
      <c r="A1339" s="14" t="s">
        <v>19393</v>
      </c>
      <c r="B1339" s="14" t="s">
        <v>19394</v>
      </c>
      <c r="C1339" s="14" t="s">
        <v>16086</v>
      </c>
      <c r="D1339" s="14">
        <v>1</v>
      </c>
      <c r="E1339" s="14">
        <v>1378</v>
      </c>
      <c r="F1339" s="14">
        <v>31</v>
      </c>
      <c r="G1339" s="14">
        <v>15605</v>
      </c>
      <c r="H1339" s="14">
        <v>0.943234934674534</v>
      </c>
      <c r="I1339" s="14">
        <v>0.999999999990164</v>
      </c>
      <c r="J1339" s="14">
        <v>0.365302682709865</v>
      </c>
      <c r="K1339" s="14" t="s">
        <v>5922</v>
      </c>
    </row>
    <row r="1340" spans="1:11">
      <c r="A1340" s="14" t="s">
        <v>19395</v>
      </c>
      <c r="B1340" s="14" t="s">
        <v>19396</v>
      </c>
      <c r="C1340" s="14" t="s">
        <v>16090</v>
      </c>
      <c r="D1340" s="14">
        <v>1</v>
      </c>
      <c r="E1340" s="14">
        <v>1378</v>
      </c>
      <c r="F1340" s="14">
        <v>31</v>
      </c>
      <c r="G1340" s="14">
        <v>15605</v>
      </c>
      <c r="H1340" s="14">
        <v>0.943234934674534</v>
      </c>
      <c r="I1340" s="14">
        <v>0.999999999990164</v>
      </c>
      <c r="J1340" s="14">
        <v>0.365302682709865</v>
      </c>
      <c r="K1340" s="14" t="s">
        <v>298</v>
      </c>
    </row>
    <row r="1341" spans="1:11">
      <c r="A1341" s="14" t="s">
        <v>19397</v>
      </c>
      <c r="B1341" s="14" t="s">
        <v>19398</v>
      </c>
      <c r="C1341" s="14" t="s">
        <v>16090</v>
      </c>
      <c r="D1341" s="14">
        <v>1</v>
      </c>
      <c r="E1341" s="14">
        <v>1378</v>
      </c>
      <c r="F1341" s="14">
        <v>31</v>
      </c>
      <c r="G1341" s="14">
        <v>15605</v>
      </c>
      <c r="H1341" s="14">
        <v>0.943234934674534</v>
      </c>
      <c r="I1341" s="14">
        <v>0.999999999990164</v>
      </c>
      <c r="J1341" s="14">
        <v>0.365302682709865</v>
      </c>
      <c r="K1341" s="14" t="s">
        <v>14260</v>
      </c>
    </row>
    <row r="1342" spans="1:11">
      <c r="A1342" s="14" t="s">
        <v>13817</v>
      </c>
      <c r="B1342" s="14" t="s">
        <v>13818</v>
      </c>
      <c r="C1342" s="14" t="s">
        <v>16096</v>
      </c>
      <c r="D1342" s="14">
        <v>13</v>
      </c>
      <c r="E1342" s="14">
        <v>1378</v>
      </c>
      <c r="F1342" s="14">
        <v>213</v>
      </c>
      <c r="G1342" s="14">
        <v>15605</v>
      </c>
      <c r="H1342" s="14">
        <v>0.943923791497199</v>
      </c>
      <c r="I1342" s="14">
        <v>0.999999999990164</v>
      </c>
      <c r="J1342" s="14">
        <v>0.69115953583134</v>
      </c>
      <c r="K1342" s="14" t="s">
        <v>19399</v>
      </c>
    </row>
    <row r="1343" spans="1:11">
      <c r="A1343" s="14" t="s">
        <v>2154</v>
      </c>
      <c r="B1343" s="14" t="s">
        <v>2155</v>
      </c>
      <c r="C1343" s="14" t="s">
        <v>16096</v>
      </c>
      <c r="D1343" s="14">
        <v>2</v>
      </c>
      <c r="E1343" s="14">
        <v>1378</v>
      </c>
      <c r="F1343" s="14">
        <v>51</v>
      </c>
      <c r="G1343" s="14">
        <v>15605</v>
      </c>
      <c r="H1343" s="14">
        <v>0.947042945752399</v>
      </c>
      <c r="I1343" s="14">
        <v>0.999999999990164</v>
      </c>
      <c r="J1343" s="14">
        <v>0.444093457411992</v>
      </c>
      <c r="K1343" s="14" t="s">
        <v>19400</v>
      </c>
    </row>
    <row r="1344" spans="1:11">
      <c r="A1344" s="14" t="s">
        <v>19401</v>
      </c>
      <c r="B1344" s="14" t="s">
        <v>19402</v>
      </c>
      <c r="C1344" s="14" t="s">
        <v>16086</v>
      </c>
      <c r="D1344" s="14">
        <v>1</v>
      </c>
      <c r="E1344" s="14">
        <v>1378</v>
      </c>
      <c r="F1344" s="14">
        <v>32</v>
      </c>
      <c r="G1344" s="14">
        <v>15605</v>
      </c>
      <c r="H1344" s="14">
        <v>0.948257553142397</v>
      </c>
      <c r="I1344" s="14">
        <v>0.999999999990164</v>
      </c>
      <c r="J1344" s="14">
        <v>0.353886973875181</v>
      </c>
      <c r="K1344" s="14" t="s">
        <v>12621</v>
      </c>
    </row>
    <row r="1345" spans="1:11">
      <c r="A1345" s="14" t="s">
        <v>19403</v>
      </c>
      <c r="B1345" s="14" t="s">
        <v>19404</v>
      </c>
      <c r="C1345" s="14" t="s">
        <v>16090</v>
      </c>
      <c r="D1345" s="14">
        <v>1</v>
      </c>
      <c r="E1345" s="14">
        <v>1378</v>
      </c>
      <c r="F1345" s="14">
        <v>32</v>
      </c>
      <c r="G1345" s="14">
        <v>15605</v>
      </c>
      <c r="H1345" s="14">
        <v>0.948257553142397</v>
      </c>
      <c r="I1345" s="14">
        <v>0.999999999990164</v>
      </c>
      <c r="J1345" s="14">
        <v>0.353886973875181</v>
      </c>
      <c r="K1345" s="14" t="s">
        <v>13671</v>
      </c>
    </row>
    <row r="1346" spans="1:11">
      <c r="A1346" s="14" t="s">
        <v>19405</v>
      </c>
      <c r="B1346" s="14" t="s">
        <v>19406</v>
      </c>
      <c r="C1346" s="14" t="s">
        <v>16090</v>
      </c>
      <c r="D1346" s="14">
        <v>1</v>
      </c>
      <c r="E1346" s="14">
        <v>1378</v>
      </c>
      <c r="F1346" s="14">
        <v>32</v>
      </c>
      <c r="G1346" s="14">
        <v>15605</v>
      </c>
      <c r="H1346" s="14">
        <v>0.948257553142397</v>
      </c>
      <c r="I1346" s="14">
        <v>0.999999999990164</v>
      </c>
      <c r="J1346" s="14">
        <v>0.353886973875181</v>
      </c>
      <c r="K1346" s="14" t="s">
        <v>2204</v>
      </c>
    </row>
    <row r="1347" spans="1:11">
      <c r="A1347" s="14" t="s">
        <v>19407</v>
      </c>
      <c r="B1347" s="14" t="s">
        <v>19408</v>
      </c>
      <c r="C1347" s="14" t="s">
        <v>16086</v>
      </c>
      <c r="D1347" s="14">
        <v>2</v>
      </c>
      <c r="E1347" s="14">
        <v>1378</v>
      </c>
      <c r="F1347" s="14">
        <v>52</v>
      </c>
      <c r="G1347" s="14">
        <v>15605</v>
      </c>
      <c r="H1347" s="14">
        <v>0.950944248848473</v>
      </c>
      <c r="I1347" s="14">
        <v>0.999999999990164</v>
      </c>
      <c r="J1347" s="14">
        <v>0.435553198615608</v>
      </c>
      <c r="K1347" s="14" t="s">
        <v>19409</v>
      </c>
    </row>
    <row r="1348" spans="1:11">
      <c r="A1348" s="14" t="s">
        <v>19410</v>
      </c>
      <c r="B1348" s="14" t="s">
        <v>19411</v>
      </c>
      <c r="C1348" s="14" t="s">
        <v>16090</v>
      </c>
      <c r="D1348" s="14">
        <v>2</v>
      </c>
      <c r="E1348" s="14">
        <v>1378</v>
      </c>
      <c r="F1348" s="14">
        <v>52</v>
      </c>
      <c r="G1348" s="14">
        <v>15605</v>
      </c>
      <c r="H1348" s="14">
        <v>0.950944248848473</v>
      </c>
      <c r="I1348" s="14">
        <v>0.999999999990164</v>
      </c>
      <c r="J1348" s="14">
        <v>0.435553198615608</v>
      </c>
      <c r="K1348" s="14" t="s">
        <v>19341</v>
      </c>
    </row>
    <row r="1349" spans="1:11">
      <c r="A1349" s="14" t="s">
        <v>9687</v>
      </c>
      <c r="B1349" s="14" t="s">
        <v>9688</v>
      </c>
      <c r="C1349" s="14" t="s">
        <v>16096</v>
      </c>
      <c r="D1349" s="14">
        <v>8</v>
      </c>
      <c r="E1349" s="14">
        <v>1378</v>
      </c>
      <c r="F1349" s="14">
        <v>146</v>
      </c>
      <c r="G1349" s="14">
        <v>15605</v>
      </c>
      <c r="H1349" s="14">
        <v>0.951324823576233</v>
      </c>
      <c r="I1349" s="14">
        <v>0.999999999990164</v>
      </c>
      <c r="J1349" s="14">
        <v>0.620514145972921</v>
      </c>
      <c r="K1349" s="14" t="s">
        <v>19412</v>
      </c>
    </row>
    <row r="1350" spans="1:11">
      <c r="A1350" s="14" t="s">
        <v>19413</v>
      </c>
      <c r="B1350" s="14" t="s">
        <v>19414</v>
      </c>
      <c r="C1350" s="14" t="s">
        <v>16086</v>
      </c>
      <c r="D1350" s="14">
        <v>1</v>
      </c>
      <c r="E1350" s="14">
        <v>1378</v>
      </c>
      <c r="F1350" s="14">
        <v>33</v>
      </c>
      <c r="G1350" s="14">
        <v>15605</v>
      </c>
      <c r="H1350" s="14">
        <v>0.952836060287441</v>
      </c>
      <c r="I1350" s="14">
        <v>0.999999999990164</v>
      </c>
      <c r="J1350" s="14">
        <v>0.343163126181994</v>
      </c>
      <c r="K1350" s="14" t="s">
        <v>434</v>
      </c>
    </row>
    <row r="1351" spans="1:11">
      <c r="A1351" s="14" t="s">
        <v>19415</v>
      </c>
      <c r="B1351" s="14" t="s">
        <v>19416</v>
      </c>
      <c r="C1351" s="14" t="s">
        <v>16090</v>
      </c>
      <c r="D1351" s="14">
        <v>1</v>
      </c>
      <c r="E1351" s="14">
        <v>1378</v>
      </c>
      <c r="F1351" s="14">
        <v>33</v>
      </c>
      <c r="G1351" s="14">
        <v>15605</v>
      </c>
      <c r="H1351" s="14">
        <v>0.952836060287441</v>
      </c>
      <c r="I1351" s="14">
        <v>0.999999999990164</v>
      </c>
      <c r="J1351" s="14">
        <v>0.343163126181994</v>
      </c>
      <c r="K1351" s="14" t="s">
        <v>13730</v>
      </c>
    </row>
    <row r="1352" spans="1:11">
      <c r="A1352" s="14" t="s">
        <v>19417</v>
      </c>
      <c r="B1352" s="14" t="s">
        <v>19418</v>
      </c>
      <c r="C1352" s="14" t="s">
        <v>16090</v>
      </c>
      <c r="D1352" s="14">
        <v>1</v>
      </c>
      <c r="E1352" s="14">
        <v>1378</v>
      </c>
      <c r="F1352" s="14">
        <v>33</v>
      </c>
      <c r="G1352" s="14">
        <v>15605</v>
      </c>
      <c r="H1352" s="14">
        <v>0.952836060287441</v>
      </c>
      <c r="I1352" s="14">
        <v>0.999999999990164</v>
      </c>
      <c r="J1352" s="14">
        <v>0.343163126181994</v>
      </c>
      <c r="K1352" s="14" t="s">
        <v>10986</v>
      </c>
    </row>
    <row r="1353" spans="1:11">
      <c r="A1353" s="14" t="s">
        <v>19419</v>
      </c>
      <c r="B1353" s="14" t="s">
        <v>19420</v>
      </c>
      <c r="C1353" s="14" t="s">
        <v>16096</v>
      </c>
      <c r="D1353" s="14">
        <v>11</v>
      </c>
      <c r="E1353" s="14">
        <v>1378</v>
      </c>
      <c r="F1353" s="14">
        <v>191</v>
      </c>
      <c r="G1353" s="14">
        <v>15605</v>
      </c>
      <c r="H1353" s="14">
        <v>0.956010985099321</v>
      </c>
      <c r="I1353" s="14">
        <v>0.999999999990164</v>
      </c>
      <c r="J1353" s="14">
        <v>0.652189606303999</v>
      </c>
      <c r="K1353" s="14" t="s">
        <v>19421</v>
      </c>
    </row>
    <row r="1354" spans="1:11">
      <c r="A1354" s="14" t="s">
        <v>19422</v>
      </c>
      <c r="B1354" s="14" t="s">
        <v>19423</v>
      </c>
      <c r="C1354" s="14" t="s">
        <v>16090</v>
      </c>
      <c r="D1354" s="14">
        <v>1</v>
      </c>
      <c r="E1354" s="14">
        <v>1378</v>
      </c>
      <c r="F1354" s="14">
        <v>34</v>
      </c>
      <c r="G1354" s="14">
        <v>15605</v>
      </c>
      <c r="H1354" s="14">
        <v>0.957009699442585</v>
      </c>
      <c r="I1354" s="14">
        <v>0.999999999990164</v>
      </c>
      <c r="J1354" s="14">
        <v>0.333070093058994</v>
      </c>
      <c r="K1354" s="14" t="s">
        <v>6500</v>
      </c>
    </row>
    <row r="1355" spans="1:11">
      <c r="A1355" s="14" t="s">
        <v>19424</v>
      </c>
      <c r="B1355" s="14" t="s">
        <v>19425</v>
      </c>
      <c r="C1355" s="14" t="s">
        <v>16096</v>
      </c>
      <c r="D1355" s="14">
        <v>6</v>
      </c>
      <c r="E1355" s="14">
        <v>1378</v>
      </c>
      <c r="F1355" s="14">
        <v>119</v>
      </c>
      <c r="G1355" s="14">
        <v>15605</v>
      </c>
      <c r="H1355" s="14">
        <v>0.957488518702377</v>
      </c>
      <c r="I1355" s="14">
        <v>0.999999999990164</v>
      </c>
      <c r="J1355" s="14">
        <v>0.570977302386847</v>
      </c>
      <c r="K1355" s="14" t="s">
        <v>19426</v>
      </c>
    </row>
    <row r="1356" spans="1:11">
      <c r="A1356" s="14" t="s">
        <v>19427</v>
      </c>
      <c r="B1356" s="14" t="s">
        <v>19428</v>
      </c>
      <c r="C1356" s="14" t="s">
        <v>16086</v>
      </c>
      <c r="D1356" s="14">
        <v>1</v>
      </c>
      <c r="E1356" s="14">
        <v>1378</v>
      </c>
      <c r="F1356" s="14">
        <v>35</v>
      </c>
      <c r="G1356" s="14">
        <v>15605</v>
      </c>
      <c r="H1356" s="14">
        <v>0.960814248551064</v>
      </c>
      <c r="I1356" s="14">
        <v>0.999999999990164</v>
      </c>
      <c r="J1356" s="14">
        <v>0.32355380468588</v>
      </c>
      <c r="K1356" s="14" t="s">
        <v>8495</v>
      </c>
    </row>
    <row r="1357" spans="1:11">
      <c r="A1357" s="14" t="s">
        <v>19429</v>
      </c>
      <c r="B1357" s="14" t="s">
        <v>19430</v>
      </c>
      <c r="C1357" s="14" t="s">
        <v>16086</v>
      </c>
      <c r="D1357" s="14">
        <v>1</v>
      </c>
      <c r="E1357" s="14">
        <v>1378</v>
      </c>
      <c r="F1357" s="14">
        <v>35</v>
      </c>
      <c r="G1357" s="14">
        <v>15605</v>
      </c>
      <c r="H1357" s="14">
        <v>0.960814248551064</v>
      </c>
      <c r="I1357" s="14">
        <v>0.999999999990164</v>
      </c>
      <c r="J1357" s="14">
        <v>0.32355380468588</v>
      </c>
      <c r="K1357" s="14" t="s">
        <v>5922</v>
      </c>
    </row>
    <row r="1358" spans="1:11">
      <c r="A1358" s="14" t="s">
        <v>19431</v>
      </c>
      <c r="B1358" s="14" t="s">
        <v>19432</v>
      </c>
      <c r="C1358" s="14" t="s">
        <v>16090</v>
      </c>
      <c r="D1358" s="14">
        <v>1</v>
      </c>
      <c r="E1358" s="14">
        <v>1378</v>
      </c>
      <c r="F1358" s="14">
        <v>35</v>
      </c>
      <c r="G1358" s="14">
        <v>15605</v>
      </c>
      <c r="H1358" s="14">
        <v>0.960814248551064</v>
      </c>
      <c r="I1358" s="14">
        <v>0.999999999990164</v>
      </c>
      <c r="J1358" s="14">
        <v>0.32355380468588</v>
      </c>
      <c r="K1358" s="14" t="s">
        <v>7792</v>
      </c>
    </row>
    <row r="1359" spans="1:11">
      <c r="A1359" s="14" t="s">
        <v>19433</v>
      </c>
      <c r="B1359" s="14" t="s">
        <v>19434</v>
      </c>
      <c r="C1359" s="14" t="s">
        <v>16096</v>
      </c>
      <c r="D1359" s="14">
        <v>2</v>
      </c>
      <c r="E1359" s="14">
        <v>1378</v>
      </c>
      <c r="F1359" s="14">
        <v>55</v>
      </c>
      <c r="G1359" s="14">
        <v>15605</v>
      </c>
      <c r="H1359" s="14">
        <v>0.961067249478422</v>
      </c>
      <c r="I1359" s="14">
        <v>0.999999999990164</v>
      </c>
      <c r="J1359" s="14">
        <v>0.411795751418393</v>
      </c>
      <c r="K1359" s="14" t="s">
        <v>19435</v>
      </c>
    </row>
    <row r="1360" spans="1:11">
      <c r="A1360" s="14" t="s">
        <v>6053</v>
      </c>
      <c r="B1360" s="14" t="s">
        <v>6054</v>
      </c>
      <c r="C1360" s="14" t="s">
        <v>16086</v>
      </c>
      <c r="D1360" s="14">
        <v>13</v>
      </c>
      <c r="E1360" s="14">
        <v>1378</v>
      </c>
      <c r="F1360" s="14">
        <v>222</v>
      </c>
      <c r="G1360" s="14">
        <v>15605</v>
      </c>
      <c r="H1360" s="14">
        <v>0.961330280722507</v>
      </c>
      <c r="I1360" s="14">
        <v>0.999999999990164</v>
      </c>
      <c r="J1360" s="14">
        <v>0.663139554648989</v>
      </c>
      <c r="K1360" s="14" t="s">
        <v>19436</v>
      </c>
    </row>
    <row r="1361" spans="1:11">
      <c r="A1361" s="14" t="s">
        <v>19437</v>
      </c>
      <c r="B1361" s="14" t="s">
        <v>19438</v>
      </c>
      <c r="C1361" s="14" t="s">
        <v>16096</v>
      </c>
      <c r="D1361" s="14">
        <v>1</v>
      </c>
      <c r="E1361" s="14">
        <v>1378</v>
      </c>
      <c r="F1361" s="14">
        <v>36</v>
      </c>
      <c r="G1361" s="14">
        <v>15605</v>
      </c>
      <c r="H1361" s="14">
        <v>0.964282325975382</v>
      </c>
      <c r="I1361" s="14">
        <v>0.999999999990164</v>
      </c>
      <c r="J1361" s="14">
        <v>0.314566199000161</v>
      </c>
      <c r="K1361" s="14" t="s">
        <v>9034</v>
      </c>
    </row>
    <row r="1362" spans="1:11">
      <c r="A1362" s="14" t="s">
        <v>19439</v>
      </c>
      <c r="B1362" s="14" t="s">
        <v>19440</v>
      </c>
      <c r="C1362" s="14" t="s">
        <v>16096</v>
      </c>
      <c r="D1362" s="14">
        <v>1</v>
      </c>
      <c r="E1362" s="14">
        <v>1378</v>
      </c>
      <c r="F1362" s="14">
        <v>36</v>
      </c>
      <c r="G1362" s="14">
        <v>15605</v>
      </c>
      <c r="H1362" s="14">
        <v>0.964282325975382</v>
      </c>
      <c r="I1362" s="14">
        <v>0.999999999990164</v>
      </c>
      <c r="J1362" s="14">
        <v>0.314566199000161</v>
      </c>
      <c r="K1362" s="14" t="s">
        <v>7475</v>
      </c>
    </row>
    <row r="1363" spans="1:11">
      <c r="A1363" s="14" t="s">
        <v>19441</v>
      </c>
      <c r="B1363" s="14" t="s">
        <v>19442</v>
      </c>
      <c r="C1363" s="14" t="s">
        <v>16090</v>
      </c>
      <c r="D1363" s="14">
        <v>1</v>
      </c>
      <c r="E1363" s="14">
        <v>1378</v>
      </c>
      <c r="F1363" s="14">
        <v>36</v>
      </c>
      <c r="G1363" s="14">
        <v>15605</v>
      </c>
      <c r="H1363" s="14">
        <v>0.964282325975382</v>
      </c>
      <c r="I1363" s="14">
        <v>0.999999999990164</v>
      </c>
      <c r="J1363" s="14">
        <v>0.314566199000161</v>
      </c>
      <c r="K1363" s="14" t="s">
        <v>10540</v>
      </c>
    </row>
    <row r="1364" spans="1:11">
      <c r="A1364" s="14" t="s">
        <v>19443</v>
      </c>
      <c r="B1364" s="14" t="s">
        <v>19444</v>
      </c>
      <c r="C1364" s="14" t="s">
        <v>16090</v>
      </c>
      <c r="D1364" s="14">
        <v>1</v>
      </c>
      <c r="E1364" s="14">
        <v>1378</v>
      </c>
      <c r="F1364" s="14">
        <v>36</v>
      </c>
      <c r="G1364" s="14">
        <v>15605</v>
      </c>
      <c r="H1364" s="14">
        <v>0.964282325975382</v>
      </c>
      <c r="I1364" s="14">
        <v>0.999999999990164</v>
      </c>
      <c r="J1364" s="14">
        <v>0.314566199000161</v>
      </c>
      <c r="K1364" s="14" t="s">
        <v>11618</v>
      </c>
    </row>
    <row r="1365" spans="1:11">
      <c r="A1365" s="14" t="s">
        <v>19445</v>
      </c>
      <c r="B1365" s="14" t="s">
        <v>19446</v>
      </c>
      <c r="C1365" s="14" t="s">
        <v>16090</v>
      </c>
      <c r="D1365" s="14">
        <v>1</v>
      </c>
      <c r="E1365" s="14">
        <v>1378</v>
      </c>
      <c r="F1365" s="14">
        <v>37</v>
      </c>
      <c r="G1365" s="14">
        <v>15605</v>
      </c>
      <c r="H1365" s="14">
        <v>0.967443669337571</v>
      </c>
      <c r="I1365" s="14">
        <v>0.999999999990164</v>
      </c>
      <c r="J1365" s="14">
        <v>0.306064409837995</v>
      </c>
      <c r="K1365" s="14" t="s">
        <v>13671</v>
      </c>
    </row>
    <row r="1366" spans="1:11">
      <c r="A1366" s="14" t="s">
        <v>19447</v>
      </c>
      <c r="B1366" s="14" t="s">
        <v>19448</v>
      </c>
      <c r="C1366" s="14" t="s">
        <v>16090</v>
      </c>
      <c r="D1366" s="14">
        <v>1</v>
      </c>
      <c r="E1366" s="14">
        <v>1378</v>
      </c>
      <c r="F1366" s="14">
        <v>37</v>
      </c>
      <c r="G1366" s="14">
        <v>15605</v>
      </c>
      <c r="H1366" s="14">
        <v>0.967443669337571</v>
      </c>
      <c r="I1366" s="14">
        <v>0.999999999990164</v>
      </c>
      <c r="J1366" s="14">
        <v>0.306064409837995</v>
      </c>
      <c r="K1366" s="14" t="s">
        <v>10714</v>
      </c>
    </row>
    <row r="1367" spans="1:11">
      <c r="A1367" s="14" t="s">
        <v>19449</v>
      </c>
      <c r="B1367" s="14" t="s">
        <v>19450</v>
      </c>
      <c r="C1367" s="14" t="s">
        <v>16090</v>
      </c>
      <c r="D1367" s="14">
        <v>1</v>
      </c>
      <c r="E1367" s="14">
        <v>1378</v>
      </c>
      <c r="F1367" s="14">
        <v>38</v>
      </c>
      <c r="G1367" s="14">
        <v>15605</v>
      </c>
      <c r="H1367" s="14">
        <v>0.97032538976748</v>
      </c>
      <c r="I1367" s="14">
        <v>0.999999999990164</v>
      </c>
      <c r="J1367" s="14">
        <v>0.298010083263311</v>
      </c>
      <c r="K1367" s="14" t="s">
        <v>9095</v>
      </c>
    </row>
    <row r="1368" spans="1:11">
      <c r="A1368" s="14" t="s">
        <v>15129</v>
      </c>
      <c r="B1368" s="14" t="s">
        <v>15130</v>
      </c>
      <c r="C1368" s="14" t="s">
        <v>16096</v>
      </c>
      <c r="D1368" s="14">
        <v>31</v>
      </c>
      <c r="E1368" s="14">
        <v>1378</v>
      </c>
      <c r="F1368" s="14">
        <v>473</v>
      </c>
      <c r="G1368" s="14">
        <v>15605</v>
      </c>
      <c r="H1368" s="14">
        <v>0.972232334616117</v>
      </c>
      <c r="I1368" s="14">
        <v>0.999999999990164</v>
      </c>
      <c r="J1368" s="14">
        <v>0.74219001709129</v>
      </c>
      <c r="K1368" s="14" t="s">
        <v>19451</v>
      </c>
    </row>
    <row r="1369" spans="1:11">
      <c r="A1369" s="14" t="s">
        <v>19452</v>
      </c>
      <c r="B1369" s="14" t="s">
        <v>19453</v>
      </c>
      <c r="C1369" s="14" t="s">
        <v>16086</v>
      </c>
      <c r="D1369" s="14">
        <v>1</v>
      </c>
      <c r="E1369" s="14">
        <v>1378</v>
      </c>
      <c r="F1369" s="14">
        <v>39</v>
      </c>
      <c r="G1369" s="14">
        <v>15605</v>
      </c>
      <c r="H1369" s="14">
        <v>0.972952203726523</v>
      </c>
      <c r="I1369" s="14">
        <v>0.999999999990164</v>
      </c>
      <c r="J1369" s="14">
        <v>0.290368799077072</v>
      </c>
      <c r="K1369" s="14" t="s">
        <v>8495</v>
      </c>
    </row>
    <row r="1370" spans="1:11">
      <c r="A1370" s="14" t="s">
        <v>19454</v>
      </c>
      <c r="B1370" s="14" t="s">
        <v>19455</v>
      </c>
      <c r="C1370" s="14" t="s">
        <v>16090</v>
      </c>
      <c r="D1370" s="14">
        <v>1</v>
      </c>
      <c r="E1370" s="14">
        <v>1378</v>
      </c>
      <c r="F1370" s="14">
        <v>39</v>
      </c>
      <c r="G1370" s="14">
        <v>15605</v>
      </c>
      <c r="H1370" s="14">
        <v>0.972952203726523</v>
      </c>
      <c r="I1370" s="14">
        <v>0.999999999990164</v>
      </c>
      <c r="J1370" s="14">
        <v>0.290368799077072</v>
      </c>
      <c r="K1370" s="14" t="s">
        <v>15926</v>
      </c>
    </row>
    <row r="1371" spans="1:11">
      <c r="A1371" s="14" t="s">
        <v>19456</v>
      </c>
      <c r="B1371" s="14" t="s">
        <v>19457</v>
      </c>
      <c r="C1371" s="14" t="s">
        <v>16090</v>
      </c>
      <c r="D1371" s="14">
        <v>1</v>
      </c>
      <c r="E1371" s="14">
        <v>1378</v>
      </c>
      <c r="F1371" s="14">
        <v>39</v>
      </c>
      <c r="G1371" s="14">
        <v>15605</v>
      </c>
      <c r="H1371" s="14">
        <v>0.972952203726523</v>
      </c>
      <c r="I1371" s="14">
        <v>0.999999999990164</v>
      </c>
      <c r="J1371" s="14">
        <v>0.290368799077072</v>
      </c>
      <c r="K1371" s="14" t="s">
        <v>7966</v>
      </c>
    </row>
    <row r="1372" spans="1:11">
      <c r="A1372" s="14" t="s">
        <v>19458</v>
      </c>
      <c r="B1372" s="14" t="s">
        <v>19459</v>
      </c>
      <c r="C1372" s="14" t="s">
        <v>16096</v>
      </c>
      <c r="D1372" s="14">
        <v>17</v>
      </c>
      <c r="E1372" s="14">
        <v>1378</v>
      </c>
      <c r="F1372" s="14">
        <v>287</v>
      </c>
      <c r="G1372" s="14">
        <v>15605</v>
      </c>
      <c r="H1372" s="14">
        <v>0.973826369635525</v>
      </c>
      <c r="I1372" s="14">
        <v>0.999999999990164</v>
      </c>
      <c r="J1372" s="14">
        <v>0.670782278007313</v>
      </c>
      <c r="K1372" s="14" t="s">
        <v>19460</v>
      </c>
    </row>
    <row r="1373" spans="1:11">
      <c r="A1373" s="14" t="s">
        <v>19461</v>
      </c>
      <c r="B1373" s="14" t="s">
        <v>19462</v>
      </c>
      <c r="C1373" s="14" t="s">
        <v>16096</v>
      </c>
      <c r="D1373" s="14">
        <v>5</v>
      </c>
      <c r="E1373" s="14">
        <v>1378</v>
      </c>
      <c r="F1373" s="14">
        <v>112</v>
      </c>
      <c r="G1373" s="14">
        <v>15605</v>
      </c>
      <c r="H1373" s="14">
        <v>0.974139163754609</v>
      </c>
      <c r="I1373" s="14">
        <v>0.999999999990164</v>
      </c>
      <c r="J1373" s="14">
        <v>0.505552819821688</v>
      </c>
      <c r="K1373" s="14" t="s">
        <v>19463</v>
      </c>
    </row>
    <row r="1374" spans="1:11">
      <c r="A1374" s="14" t="s">
        <v>19464</v>
      </c>
      <c r="B1374" s="14" t="s">
        <v>19465</v>
      </c>
      <c r="C1374" s="14" t="s">
        <v>16096</v>
      </c>
      <c r="D1374" s="14">
        <v>3</v>
      </c>
      <c r="E1374" s="14">
        <v>1378</v>
      </c>
      <c r="F1374" s="14">
        <v>79</v>
      </c>
      <c r="G1374" s="14">
        <v>15605</v>
      </c>
      <c r="H1374" s="14">
        <v>0.974975907875697</v>
      </c>
      <c r="I1374" s="14">
        <v>0.999999999990164</v>
      </c>
      <c r="J1374" s="14">
        <v>0.430039866987562</v>
      </c>
      <c r="K1374" s="14" t="s">
        <v>19466</v>
      </c>
    </row>
    <row r="1375" spans="1:11">
      <c r="A1375" s="14" t="s">
        <v>19467</v>
      </c>
      <c r="B1375" s="14" t="s">
        <v>19468</v>
      </c>
      <c r="C1375" s="14" t="s">
        <v>16090</v>
      </c>
      <c r="D1375" s="14">
        <v>1</v>
      </c>
      <c r="E1375" s="14">
        <v>1378</v>
      </c>
      <c r="F1375" s="14">
        <v>40</v>
      </c>
      <c r="G1375" s="14">
        <v>15605</v>
      </c>
      <c r="H1375" s="14">
        <v>0.975346644383394</v>
      </c>
      <c r="I1375" s="14">
        <v>0.999999999990164</v>
      </c>
      <c r="J1375" s="14">
        <v>0.283109579100145</v>
      </c>
      <c r="K1375" s="14" t="s">
        <v>15084</v>
      </c>
    </row>
    <row r="1376" spans="1:11">
      <c r="A1376" s="14" t="s">
        <v>19469</v>
      </c>
      <c r="B1376" s="14" t="s">
        <v>19470</v>
      </c>
      <c r="C1376" s="14" t="s">
        <v>16090</v>
      </c>
      <c r="D1376" s="14">
        <v>1</v>
      </c>
      <c r="E1376" s="14">
        <v>1378</v>
      </c>
      <c r="F1376" s="14">
        <v>40</v>
      </c>
      <c r="G1376" s="14">
        <v>15605</v>
      </c>
      <c r="H1376" s="14">
        <v>0.975346644383394</v>
      </c>
      <c r="I1376" s="14">
        <v>0.999999999990164</v>
      </c>
      <c r="J1376" s="14">
        <v>0.283109579100145</v>
      </c>
      <c r="K1376" s="14" t="s">
        <v>5002</v>
      </c>
    </row>
    <row r="1377" spans="1:11">
      <c r="A1377" s="14" t="s">
        <v>19471</v>
      </c>
      <c r="B1377" s="14" t="s">
        <v>19472</v>
      </c>
      <c r="C1377" s="14" t="s">
        <v>16096</v>
      </c>
      <c r="D1377" s="14">
        <v>1</v>
      </c>
      <c r="E1377" s="14">
        <v>1378</v>
      </c>
      <c r="F1377" s="14">
        <v>40</v>
      </c>
      <c r="G1377" s="14">
        <v>15605</v>
      </c>
      <c r="H1377" s="14">
        <v>0.975346644383394</v>
      </c>
      <c r="I1377" s="14">
        <v>0.999999999990164</v>
      </c>
      <c r="J1377" s="14">
        <v>0.283109579100145</v>
      </c>
      <c r="K1377" s="14" t="s">
        <v>10227</v>
      </c>
    </row>
    <row r="1378" spans="1:11">
      <c r="A1378" s="14" t="s">
        <v>19473</v>
      </c>
      <c r="B1378" s="14" t="s">
        <v>19474</v>
      </c>
      <c r="C1378" s="14" t="s">
        <v>16086</v>
      </c>
      <c r="D1378" s="14">
        <v>1</v>
      </c>
      <c r="E1378" s="14">
        <v>1378</v>
      </c>
      <c r="F1378" s="14">
        <v>41</v>
      </c>
      <c r="G1378" s="14">
        <v>15605</v>
      </c>
      <c r="H1378" s="14">
        <v>0.977529254344183</v>
      </c>
      <c r="I1378" s="14">
        <v>0.999999999990164</v>
      </c>
      <c r="J1378" s="14">
        <v>0.276204467414776</v>
      </c>
      <c r="K1378" s="14" t="s">
        <v>4758</v>
      </c>
    </row>
    <row r="1379" spans="1:11">
      <c r="A1379" s="14" t="s">
        <v>19475</v>
      </c>
      <c r="B1379" s="14" t="s">
        <v>19476</v>
      </c>
      <c r="C1379" s="14" t="s">
        <v>16090</v>
      </c>
      <c r="D1379" s="14">
        <v>1</v>
      </c>
      <c r="E1379" s="14">
        <v>1378</v>
      </c>
      <c r="F1379" s="14">
        <v>41</v>
      </c>
      <c r="G1379" s="14">
        <v>15605</v>
      </c>
      <c r="H1379" s="14">
        <v>0.977529254344183</v>
      </c>
      <c r="I1379" s="14">
        <v>0.999999999990164</v>
      </c>
      <c r="J1379" s="14">
        <v>0.276204467414776</v>
      </c>
      <c r="K1379" s="14" t="s">
        <v>9914</v>
      </c>
    </row>
    <row r="1380" spans="1:11">
      <c r="A1380" s="14" t="s">
        <v>19477</v>
      </c>
      <c r="B1380" s="14" t="s">
        <v>19478</v>
      </c>
      <c r="C1380" s="14" t="s">
        <v>16090</v>
      </c>
      <c r="D1380" s="14">
        <v>1</v>
      </c>
      <c r="E1380" s="14">
        <v>1378</v>
      </c>
      <c r="F1380" s="14">
        <v>41</v>
      </c>
      <c r="G1380" s="14">
        <v>15605</v>
      </c>
      <c r="H1380" s="14">
        <v>0.977529254344183</v>
      </c>
      <c r="I1380" s="14">
        <v>0.999999999990164</v>
      </c>
      <c r="J1380" s="14">
        <v>0.276204467414776</v>
      </c>
      <c r="K1380" s="14" t="s">
        <v>10093</v>
      </c>
    </row>
    <row r="1381" spans="1:11">
      <c r="A1381" s="14" t="s">
        <v>19479</v>
      </c>
      <c r="B1381" s="14" t="s">
        <v>19480</v>
      </c>
      <c r="C1381" s="14" t="s">
        <v>16090</v>
      </c>
      <c r="D1381" s="14">
        <v>29</v>
      </c>
      <c r="E1381" s="14">
        <v>1378</v>
      </c>
      <c r="F1381" s="14">
        <v>455</v>
      </c>
      <c r="G1381" s="14">
        <v>15605</v>
      </c>
      <c r="H1381" s="14">
        <v>0.97885796927518</v>
      </c>
      <c r="I1381" s="14">
        <v>0.999999999990164</v>
      </c>
      <c r="J1381" s="14">
        <v>0.721773871991579</v>
      </c>
      <c r="K1381" s="14" t="s">
        <v>19481</v>
      </c>
    </row>
    <row r="1382" spans="1:11">
      <c r="A1382" s="14" t="s">
        <v>19482</v>
      </c>
      <c r="B1382" s="14" t="s">
        <v>19483</v>
      </c>
      <c r="C1382" s="14" t="s">
        <v>16090</v>
      </c>
      <c r="D1382" s="14">
        <v>7</v>
      </c>
      <c r="E1382" s="14">
        <v>1378</v>
      </c>
      <c r="F1382" s="14">
        <v>147</v>
      </c>
      <c r="G1382" s="14">
        <v>15605</v>
      </c>
      <c r="H1382" s="14">
        <v>0.978874001120912</v>
      </c>
      <c r="I1382" s="14">
        <v>0.999999999990164</v>
      </c>
      <c r="J1382" s="14">
        <v>0.539256341143134</v>
      </c>
      <c r="K1382" s="14" t="s">
        <v>19484</v>
      </c>
    </row>
    <row r="1383" spans="1:11">
      <c r="A1383" s="14" t="s">
        <v>19485</v>
      </c>
      <c r="B1383" s="14" t="s">
        <v>19486</v>
      </c>
      <c r="C1383" s="14" t="s">
        <v>16086</v>
      </c>
      <c r="D1383" s="14">
        <v>7</v>
      </c>
      <c r="E1383" s="14">
        <v>1378</v>
      </c>
      <c r="F1383" s="14">
        <v>147</v>
      </c>
      <c r="G1383" s="14">
        <v>15605</v>
      </c>
      <c r="H1383" s="14">
        <v>0.978874001120912</v>
      </c>
      <c r="I1383" s="14">
        <v>0.999999999990164</v>
      </c>
      <c r="J1383" s="14">
        <v>0.539256341143134</v>
      </c>
      <c r="K1383" s="14" t="s">
        <v>19487</v>
      </c>
    </row>
    <row r="1384" spans="1:11">
      <c r="A1384" s="14" t="s">
        <v>19488</v>
      </c>
      <c r="B1384" s="14" t="s">
        <v>19489</v>
      </c>
      <c r="C1384" s="14" t="s">
        <v>16090</v>
      </c>
      <c r="D1384" s="14">
        <v>1</v>
      </c>
      <c r="E1384" s="14">
        <v>1378</v>
      </c>
      <c r="F1384" s="14">
        <v>42</v>
      </c>
      <c r="G1384" s="14">
        <v>15605</v>
      </c>
      <c r="H1384" s="14">
        <v>0.979518761380531</v>
      </c>
      <c r="I1384" s="14">
        <v>0.999999999990164</v>
      </c>
      <c r="J1384" s="14">
        <v>0.269628170571567</v>
      </c>
      <c r="K1384" s="14" t="s">
        <v>9169</v>
      </c>
    </row>
    <row r="1385" spans="1:11">
      <c r="A1385" s="14" t="s">
        <v>19490</v>
      </c>
      <c r="B1385" s="14" t="s">
        <v>19491</v>
      </c>
      <c r="C1385" s="14" t="s">
        <v>16090</v>
      </c>
      <c r="D1385" s="14">
        <v>3</v>
      </c>
      <c r="E1385" s="14">
        <v>1378</v>
      </c>
      <c r="F1385" s="14">
        <v>82</v>
      </c>
      <c r="G1385" s="14">
        <v>15605</v>
      </c>
      <c r="H1385" s="14">
        <v>0.97977531712408</v>
      </c>
      <c r="I1385" s="14">
        <v>0.999999999990164</v>
      </c>
      <c r="J1385" s="14">
        <v>0.414306701122164</v>
      </c>
      <c r="K1385" s="14" t="s">
        <v>19492</v>
      </c>
    </row>
    <row r="1386" spans="1:11">
      <c r="A1386" s="14" t="s">
        <v>19493</v>
      </c>
      <c r="B1386" s="14" t="s">
        <v>19494</v>
      </c>
      <c r="C1386" s="14" t="s">
        <v>16090</v>
      </c>
      <c r="D1386" s="14">
        <v>1</v>
      </c>
      <c r="E1386" s="14">
        <v>1378</v>
      </c>
      <c r="F1386" s="14">
        <v>43</v>
      </c>
      <c r="G1386" s="14">
        <v>15605</v>
      </c>
      <c r="H1386" s="14">
        <v>0.981332238654683</v>
      </c>
      <c r="I1386" s="14">
        <v>0.999999999990164</v>
      </c>
      <c r="J1386" s="14">
        <v>0.263357748000135</v>
      </c>
      <c r="K1386" s="14" t="s">
        <v>11348</v>
      </c>
    </row>
    <row r="1387" spans="1:11">
      <c r="A1387" s="14" t="s">
        <v>19495</v>
      </c>
      <c r="B1387" s="14" t="s">
        <v>19496</v>
      </c>
      <c r="C1387" s="14" t="s">
        <v>16096</v>
      </c>
      <c r="D1387" s="14">
        <v>1</v>
      </c>
      <c r="E1387" s="14">
        <v>1378</v>
      </c>
      <c r="F1387" s="14">
        <v>44</v>
      </c>
      <c r="G1387" s="14">
        <v>15605</v>
      </c>
      <c r="H1387" s="14">
        <v>0.982985250808252</v>
      </c>
      <c r="I1387" s="14">
        <v>0.999999999990164</v>
      </c>
      <c r="J1387" s="14">
        <v>0.257372344636496</v>
      </c>
      <c r="K1387" s="14" t="s">
        <v>13490</v>
      </c>
    </row>
    <row r="1388" spans="1:11">
      <c r="A1388" s="14" t="s">
        <v>482</v>
      </c>
      <c r="B1388" s="14" t="s">
        <v>483</v>
      </c>
      <c r="C1388" s="14" t="s">
        <v>16096</v>
      </c>
      <c r="D1388" s="14">
        <v>156</v>
      </c>
      <c r="E1388" s="14">
        <v>1378</v>
      </c>
      <c r="F1388" s="14">
        <v>2050</v>
      </c>
      <c r="G1388" s="14">
        <v>15605</v>
      </c>
      <c r="H1388" s="14">
        <v>0.984773505969142</v>
      </c>
      <c r="I1388" s="14">
        <v>0.999999999990164</v>
      </c>
      <c r="J1388" s="14">
        <v>0.8617579383341</v>
      </c>
      <c r="K1388" s="14" t="s">
        <v>19497</v>
      </c>
    </row>
    <row r="1389" spans="1:11">
      <c r="A1389" s="14" t="s">
        <v>19498</v>
      </c>
      <c r="B1389" s="14" t="s">
        <v>19499</v>
      </c>
      <c r="C1389" s="14" t="s">
        <v>16096</v>
      </c>
      <c r="D1389" s="14">
        <v>3</v>
      </c>
      <c r="E1389" s="14">
        <v>1378</v>
      </c>
      <c r="F1389" s="14">
        <v>87</v>
      </c>
      <c r="G1389" s="14">
        <v>15605</v>
      </c>
      <c r="H1389" s="14">
        <v>0.985882784690422</v>
      </c>
      <c r="I1389" s="14">
        <v>0.999999999990164</v>
      </c>
      <c r="J1389" s="14">
        <v>0.390495971172614</v>
      </c>
      <c r="K1389" s="14" t="s">
        <v>19500</v>
      </c>
    </row>
    <row r="1390" spans="1:11">
      <c r="A1390" s="14" t="s">
        <v>19501</v>
      </c>
      <c r="B1390" s="14" t="s">
        <v>19502</v>
      </c>
      <c r="C1390" s="14" t="s">
        <v>16086</v>
      </c>
      <c r="D1390" s="14">
        <v>1</v>
      </c>
      <c r="E1390" s="14">
        <v>1378</v>
      </c>
      <c r="F1390" s="14">
        <v>47</v>
      </c>
      <c r="G1390" s="14">
        <v>15605</v>
      </c>
      <c r="H1390" s="14">
        <v>0.987117231091023</v>
      </c>
      <c r="I1390" s="14">
        <v>0.999999999990164</v>
      </c>
      <c r="J1390" s="14">
        <v>0.240944322638421</v>
      </c>
      <c r="K1390" s="14" t="s">
        <v>3994</v>
      </c>
    </row>
    <row r="1391" spans="1:11">
      <c r="A1391" s="14" t="s">
        <v>19503</v>
      </c>
      <c r="B1391" s="14" t="s">
        <v>19504</v>
      </c>
      <c r="C1391" s="14" t="s">
        <v>16086</v>
      </c>
      <c r="D1391" s="14">
        <v>7</v>
      </c>
      <c r="E1391" s="14">
        <v>1378</v>
      </c>
      <c r="F1391" s="14">
        <v>160</v>
      </c>
      <c r="G1391" s="14">
        <v>15605</v>
      </c>
      <c r="H1391" s="14">
        <v>0.989908170626483</v>
      </c>
      <c r="I1391" s="14">
        <v>0.999999999990164</v>
      </c>
      <c r="J1391" s="14">
        <v>0.495441763425254</v>
      </c>
      <c r="K1391" s="14" t="s">
        <v>19505</v>
      </c>
    </row>
    <row r="1392" spans="1:11">
      <c r="A1392" s="14" t="s">
        <v>19506</v>
      </c>
      <c r="B1392" s="14" t="s">
        <v>19507</v>
      </c>
      <c r="C1392" s="14" t="s">
        <v>16090</v>
      </c>
      <c r="D1392" s="14">
        <v>1</v>
      </c>
      <c r="E1392" s="14">
        <v>1378</v>
      </c>
      <c r="F1392" s="14">
        <v>50</v>
      </c>
      <c r="G1392" s="14">
        <v>15605</v>
      </c>
      <c r="H1392" s="14">
        <v>0.990246320776491</v>
      </c>
      <c r="I1392" s="14">
        <v>0.999999999990164</v>
      </c>
      <c r="J1392" s="14">
        <v>0.226487663280116</v>
      </c>
      <c r="K1392" s="14" t="s">
        <v>1083</v>
      </c>
    </row>
    <row r="1393" spans="1:11">
      <c r="A1393" s="14" t="s">
        <v>19508</v>
      </c>
      <c r="B1393" s="14" t="s">
        <v>19509</v>
      </c>
      <c r="C1393" s="14" t="s">
        <v>16086</v>
      </c>
      <c r="D1393" s="14">
        <v>1</v>
      </c>
      <c r="E1393" s="14">
        <v>1378</v>
      </c>
      <c r="F1393" s="14">
        <v>50</v>
      </c>
      <c r="G1393" s="14">
        <v>15605</v>
      </c>
      <c r="H1393" s="14">
        <v>0.990246320776491</v>
      </c>
      <c r="I1393" s="14">
        <v>0.999999999990164</v>
      </c>
      <c r="J1393" s="14">
        <v>0.226487663280116</v>
      </c>
      <c r="K1393" s="14" t="s">
        <v>11038</v>
      </c>
    </row>
    <row r="1394" spans="1:11">
      <c r="A1394" s="14" t="s">
        <v>19510</v>
      </c>
      <c r="B1394" s="14" t="s">
        <v>19511</v>
      </c>
      <c r="C1394" s="14" t="s">
        <v>16090</v>
      </c>
      <c r="D1394" s="14">
        <v>7</v>
      </c>
      <c r="E1394" s="14">
        <v>1378</v>
      </c>
      <c r="F1394" s="14">
        <v>162</v>
      </c>
      <c r="G1394" s="14">
        <v>15605</v>
      </c>
      <c r="H1394" s="14">
        <v>0.991020714583723</v>
      </c>
      <c r="I1394" s="14">
        <v>0.999999999990164</v>
      </c>
      <c r="J1394" s="14">
        <v>0.489325198444695</v>
      </c>
      <c r="K1394" s="14" t="s">
        <v>19512</v>
      </c>
    </row>
    <row r="1395" spans="1:11">
      <c r="A1395" s="14" t="s">
        <v>19513</v>
      </c>
      <c r="B1395" s="14" t="s">
        <v>19514</v>
      </c>
      <c r="C1395" s="14" t="s">
        <v>16090</v>
      </c>
      <c r="D1395" s="14">
        <v>3</v>
      </c>
      <c r="E1395" s="14">
        <v>1378</v>
      </c>
      <c r="F1395" s="14">
        <v>94</v>
      </c>
      <c r="G1395" s="14">
        <v>15605</v>
      </c>
      <c r="H1395" s="14">
        <v>0.99154051915104</v>
      </c>
      <c r="I1395" s="14">
        <v>0.999999999990164</v>
      </c>
      <c r="J1395" s="14">
        <v>0.361416483957632</v>
      </c>
      <c r="K1395" s="14" t="s">
        <v>19515</v>
      </c>
    </row>
    <row r="1396" spans="1:11">
      <c r="A1396" s="14" t="s">
        <v>19516</v>
      </c>
      <c r="B1396" s="14" t="s">
        <v>19517</v>
      </c>
      <c r="C1396" s="14" t="s">
        <v>16090</v>
      </c>
      <c r="D1396" s="14">
        <v>3</v>
      </c>
      <c r="E1396" s="14">
        <v>1378</v>
      </c>
      <c r="F1396" s="14">
        <v>97</v>
      </c>
      <c r="G1396" s="14">
        <v>15605</v>
      </c>
      <c r="H1396" s="14">
        <v>0.993226932170191</v>
      </c>
      <c r="I1396" s="14">
        <v>0.999999999990164</v>
      </c>
      <c r="J1396" s="14">
        <v>0.350238654556881</v>
      </c>
      <c r="K1396" s="14" t="s">
        <v>19518</v>
      </c>
    </row>
    <row r="1397" spans="1:11">
      <c r="A1397" s="14" t="s">
        <v>19519</v>
      </c>
      <c r="B1397" s="14" t="s">
        <v>19520</v>
      </c>
      <c r="C1397" s="14" t="s">
        <v>16090</v>
      </c>
      <c r="D1397" s="14">
        <v>2</v>
      </c>
      <c r="E1397" s="14">
        <v>1378</v>
      </c>
      <c r="F1397" s="14">
        <v>77</v>
      </c>
      <c r="G1397" s="14">
        <v>15605</v>
      </c>
      <c r="H1397" s="14">
        <v>0.993241897630082</v>
      </c>
      <c r="I1397" s="14">
        <v>0.999999999990164</v>
      </c>
      <c r="J1397" s="14">
        <v>0.294139822441709</v>
      </c>
      <c r="K1397" s="14" t="s">
        <v>19521</v>
      </c>
    </row>
    <row r="1398" spans="1:11">
      <c r="A1398" s="14" t="s">
        <v>19522</v>
      </c>
      <c r="B1398" s="14" t="s">
        <v>19523</v>
      </c>
      <c r="C1398" s="14" t="s">
        <v>16096</v>
      </c>
      <c r="D1398" s="14">
        <v>1</v>
      </c>
      <c r="E1398" s="14">
        <v>1378</v>
      </c>
      <c r="F1398" s="14">
        <v>54</v>
      </c>
      <c r="G1398" s="14">
        <v>15605</v>
      </c>
      <c r="H1398" s="14">
        <v>0.993270086553794</v>
      </c>
      <c r="I1398" s="14">
        <v>0.999999999990164</v>
      </c>
      <c r="J1398" s="14">
        <v>0.209710799333441</v>
      </c>
      <c r="K1398" s="14" t="s">
        <v>13671</v>
      </c>
    </row>
    <row r="1399" spans="1:11">
      <c r="A1399" s="14" t="s">
        <v>19524</v>
      </c>
      <c r="B1399" s="14" t="s">
        <v>19525</v>
      </c>
      <c r="C1399" s="14" t="s">
        <v>16096</v>
      </c>
      <c r="D1399" s="14">
        <v>6</v>
      </c>
      <c r="E1399" s="14">
        <v>1378</v>
      </c>
      <c r="F1399" s="14">
        <v>151</v>
      </c>
      <c r="G1399" s="14">
        <v>15605</v>
      </c>
      <c r="H1399" s="14">
        <v>0.993541913004999</v>
      </c>
      <c r="I1399" s="14">
        <v>0.999999999990164</v>
      </c>
      <c r="J1399" s="14">
        <v>0.449975489960496</v>
      </c>
      <c r="K1399" s="14" t="s">
        <v>19526</v>
      </c>
    </row>
    <row r="1400" spans="1:11">
      <c r="A1400" s="14" t="s">
        <v>19527</v>
      </c>
      <c r="B1400" s="14" t="s">
        <v>19528</v>
      </c>
      <c r="C1400" s="14" t="s">
        <v>16090</v>
      </c>
      <c r="D1400" s="14">
        <v>11</v>
      </c>
      <c r="E1400" s="14">
        <v>1378</v>
      </c>
      <c r="F1400" s="14">
        <v>231</v>
      </c>
      <c r="G1400" s="14">
        <v>15605</v>
      </c>
      <c r="H1400" s="14">
        <v>0.993646455549335</v>
      </c>
      <c r="I1400" s="14">
        <v>0.999999999990164</v>
      </c>
      <c r="J1400" s="14">
        <v>0.539256341143134</v>
      </c>
      <c r="K1400" s="14" t="s">
        <v>19529</v>
      </c>
    </row>
    <row r="1401" spans="1:11">
      <c r="A1401" s="14" t="s">
        <v>19530</v>
      </c>
      <c r="B1401" s="14" t="s">
        <v>19531</v>
      </c>
      <c r="C1401" s="14" t="s">
        <v>16090</v>
      </c>
      <c r="D1401" s="14">
        <v>2</v>
      </c>
      <c r="E1401" s="14">
        <v>1378</v>
      </c>
      <c r="F1401" s="14">
        <v>78</v>
      </c>
      <c r="G1401" s="14">
        <v>15605</v>
      </c>
      <c r="H1401" s="14">
        <v>0.993770674879246</v>
      </c>
      <c r="I1401" s="14">
        <v>0.999999999990164</v>
      </c>
      <c r="J1401" s="14">
        <v>0.290368799077072</v>
      </c>
      <c r="K1401" s="14" t="s">
        <v>19532</v>
      </c>
    </row>
    <row r="1402" spans="1:11">
      <c r="A1402" s="14" t="s">
        <v>19533</v>
      </c>
      <c r="B1402" s="14" t="s">
        <v>19534</v>
      </c>
      <c r="C1402" s="14" t="s">
        <v>16096</v>
      </c>
      <c r="D1402" s="14">
        <v>5</v>
      </c>
      <c r="E1402" s="14">
        <v>1378</v>
      </c>
      <c r="F1402" s="14">
        <v>135</v>
      </c>
      <c r="G1402" s="14">
        <v>15605</v>
      </c>
      <c r="H1402" s="14">
        <v>0.993973657890048</v>
      </c>
      <c r="I1402" s="14">
        <v>0.999999999990164</v>
      </c>
      <c r="J1402" s="14">
        <v>0.419421598666882</v>
      </c>
      <c r="K1402" s="14" t="s">
        <v>19535</v>
      </c>
    </row>
    <row r="1403" spans="1:11">
      <c r="A1403" s="14" t="s">
        <v>19536</v>
      </c>
      <c r="B1403" s="14" t="s">
        <v>19537</v>
      </c>
      <c r="C1403" s="14" t="s">
        <v>16086</v>
      </c>
      <c r="D1403" s="14">
        <v>1</v>
      </c>
      <c r="E1403" s="14">
        <v>1378</v>
      </c>
      <c r="F1403" s="14">
        <v>56</v>
      </c>
      <c r="G1403" s="14">
        <v>15605</v>
      </c>
      <c r="H1403" s="14">
        <v>0.994409975712292</v>
      </c>
      <c r="I1403" s="14">
        <v>0.999999999990164</v>
      </c>
      <c r="J1403" s="14">
        <v>0.202221127928675</v>
      </c>
      <c r="K1403" s="14" t="s">
        <v>12175</v>
      </c>
    </row>
    <row r="1404" spans="1:11">
      <c r="A1404" s="14" t="s">
        <v>19538</v>
      </c>
      <c r="B1404" s="14" t="s">
        <v>19539</v>
      </c>
      <c r="C1404" s="14" t="s">
        <v>16086</v>
      </c>
      <c r="D1404" s="14">
        <v>3</v>
      </c>
      <c r="E1404" s="14">
        <v>1378</v>
      </c>
      <c r="F1404" s="14">
        <v>101</v>
      </c>
      <c r="G1404" s="14">
        <v>15605</v>
      </c>
      <c r="H1404" s="14">
        <v>0.994976859280541</v>
      </c>
      <c r="I1404" s="14">
        <v>0.999999999990164</v>
      </c>
      <c r="J1404" s="14">
        <v>0.336367816752648</v>
      </c>
      <c r="K1404" s="14" t="s">
        <v>19540</v>
      </c>
    </row>
    <row r="1405" spans="1:11">
      <c r="A1405" s="14" t="s">
        <v>19541</v>
      </c>
      <c r="B1405" s="14" t="s">
        <v>19542</v>
      </c>
      <c r="C1405" s="14" t="s">
        <v>16090</v>
      </c>
      <c r="D1405" s="14">
        <v>1</v>
      </c>
      <c r="E1405" s="14">
        <v>1378</v>
      </c>
      <c r="F1405" s="14">
        <v>58</v>
      </c>
      <c r="G1405" s="14">
        <v>15605</v>
      </c>
      <c r="H1405" s="14">
        <v>0.995356910581233</v>
      </c>
      <c r="I1405" s="14">
        <v>0.999999999990164</v>
      </c>
      <c r="J1405" s="14">
        <v>0.195247985586307</v>
      </c>
      <c r="K1405" s="14" t="s">
        <v>12643</v>
      </c>
    </row>
    <row r="1406" spans="1:11">
      <c r="A1406" s="14" t="s">
        <v>19543</v>
      </c>
      <c r="B1406" s="14" t="s">
        <v>19544</v>
      </c>
      <c r="C1406" s="14" t="s">
        <v>16096</v>
      </c>
      <c r="D1406" s="14">
        <v>3</v>
      </c>
      <c r="E1406" s="14">
        <v>1378</v>
      </c>
      <c r="F1406" s="14">
        <v>103</v>
      </c>
      <c r="G1406" s="14">
        <v>15605</v>
      </c>
      <c r="H1406" s="14">
        <v>0.995678479251903</v>
      </c>
      <c r="I1406" s="14">
        <v>0.999999999990164</v>
      </c>
      <c r="J1406" s="14">
        <v>0.329836402835121</v>
      </c>
      <c r="K1406" s="14" t="s">
        <v>19545</v>
      </c>
    </row>
    <row r="1407" spans="1:11">
      <c r="A1407" s="14" t="s">
        <v>19546</v>
      </c>
      <c r="B1407" s="14" t="s">
        <v>19547</v>
      </c>
      <c r="C1407" s="14" t="s">
        <v>16090</v>
      </c>
      <c r="D1407" s="14">
        <v>3</v>
      </c>
      <c r="E1407" s="14">
        <v>1378</v>
      </c>
      <c r="F1407" s="14">
        <v>103</v>
      </c>
      <c r="G1407" s="14">
        <v>15605</v>
      </c>
      <c r="H1407" s="14">
        <v>0.995678479251903</v>
      </c>
      <c r="I1407" s="14">
        <v>0.999999999990164</v>
      </c>
      <c r="J1407" s="14">
        <v>0.329836402835121</v>
      </c>
      <c r="K1407" s="14" t="s">
        <v>19548</v>
      </c>
    </row>
    <row r="1408" spans="1:11">
      <c r="A1408" s="14" t="s">
        <v>19549</v>
      </c>
      <c r="B1408" s="14" t="s">
        <v>19550</v>
      </c>
      <c r="C1408" s="14" t="s">
        <v>16086</v>
      </c>
      <c r="D1408" s="14">
        <v>1</v>
      </c>
      <c r="E1408" s="14">
        <v>1378</v>
      </c>
      <c r="F1408" s="14">
        <v>60</v>
      </c>
      <c r="G1408" s="14">
        <v>15605</v>
      </c>
      <c r="H1408" s="14">
        <v>0.99614353375741</v>
      </c>
      <c r="I1408" s="14">
        <v>0.999999999990164</v>
      </c>
      <c r="J1408" s="14">
        <v>0.188739719400097</v>
      </c>
      <c r="K1408" s="14" t="s">
        <v>10093</v>
      </c>
    </row>
    <row r="1409" spans="1:11">
      <c r="A1409" s="14" t="s">
        <v>19551</v>
      </c>
      <c r="B1409" s="14" t="s">
        <v>19552</v>
      </c>
      <c r="C1409" s="14" t="s">
        <v>16090</v>
      </c>
      <c r="D1409" s="14">
        <v>6</v>
      </c>
      <c r="E1409" s="14">
        <v>1378</v>
      </c>
      <c r="F1409" s="14">
        <v>160</v>
      </c>
      <c r="G1409" s="14">
        <v>15605</v>
      </c>
      <c r="H1409" s="14">
        <v>0.996342397222796</v>
      </c>
      <c r="I1409" s="14">
        <v>0.999999999990164</v>
      </c>
      <c r="J1409" s="14">
        <v>0.424664368650218</v>
      </c>
      <c r="K1409" s="14" t="s">
        <v>19553</v>
      </c>
    </row>
    <row r="1410" spans="1:11">
      <c r="A1410" s="14" t="s">
        <v>19554</v>
      </c>
      <c r="B1410" s="14" t="s">
        <v>19555</v>
      </c>
      <c r="C1410" s="14" t="s">
        <v>16096</v>
      </c>
      <c r="D1410" s="14">
        <v>1</v>
      </c>
      <c r="E1410" s="14">
        <v>1378</v>
      </c>
      <c r="F1410" s="14">
        <v>63</v>
      </c>
      <c r="G1410" s="14">
        <v>15605</v>
      </c>
      <c r="H1410" s="14">
        <v>0.997080940930442</v>
      </c>
      <c r="I1410" s="14">
        <v>0.999999999990164</v>
      </c>
      <c r="J1410" s="14">
        <v>0.179752113714378</v>
      </c>
      <c r="K1410" s="14" t="s">
        <v>9780</v>
      </c>
    </row>
    <row r="1411" spans="1:11">
      <c r="A1411" s="14" t="s">
        <v>19556</v>
      </c>
      <c r="B1411" s="14" t="s">
        <v>19557</v>
      </c>
      <c r="C1411" s="14" t="s">
        <v>16096</v>
      </c>
      <c r="D1411" s="14">
        <v>5</v>
      </c>
      <c r="E1411" s="14">
        <v>1378</v>
      </c>
      <c r="F1411" s="14">
        <v>150</v>
      </c>
      <c r="G1411" s="14">
        <v>15605</v>
      </c>
      <c r="H1411" s="14">
        <v>0.997796020036724</v>
      </c>
      <c r="I1411" s="14">
        <v>0.999999999990164</v>
      </c>
      <c r="J1411" s="14">
        <v>0.377479438800194</v>
      </c>
      <c r="K1411" s="14" t="s">
        <v>19558</v>
      </c>
    </row>
    <row r="1412" spans="1:11">
      <c r="A1412" s="14" t="s">
        <v>19559</v>
      </c>
      <c r="B1412" s="14" t="s">
        <v>19560</v>
      </c>
      <c r="C1412" s="14" t="s">
        <v>16090</v>
      </c>
      <c r="D1412" s="14">
        <v>2</v>
      </c>
      <c r="E1412" s="14">
        <v>1378</v>
      </c>
      <c r="F1412" s="14">
        <v>95</v>
      </c>
      <c r="G1412" s="14">
        <v>15605</v>
      </c>
      <c r="H1412" s="14">
        <v>0.998469323536858</v>
      </c>
      <c r="I1412" s="14">
        <v>0.999999999990164</v>
      </c>
      <c r="J1412" s="14">
        <v>0.238408066610649</v>
      </c>
      <c r="K1412" s="14" t="s">
        <v>19561</v>
      </c>
    </row>
    <row r="1413" spans="1:11">
      <c r="A1413" s="14" t="s">
        <v>19562</v>
      </c>
      <c r="B1413" s="14" t="s">
        <v>19563</v>
      </c>
      <c r="C1413" s="14" t="s">
        <v>16090</v>
      </c>
      <c r="D1413" s="14">
        <v>3</v>
      </c>
      <c r="E1413" s="14">
        <v>1378</v>
      </c>
      <c r="F1413" s="14">
        <v>119</v>
      </c>
      <c r="G1413" s="14">
        <v>15605</v>
      </c>
      <c r="H1413" s="14">
        <v>0.998730384156681</v>
      </c>
      <c r="I1413" s="14">
        <v>0.999999999990164</v>
      </c>
      <c r="J1413" s="14">
        <v>0.285488651193424</v>
      </c>
      <c r="K1413" s="14" t="s">
        <v>19564</v>
      </c>
    </row>
    <row r="1414" spans="1:11">
      <c r="A1414" s="14" t="s">
        <v>19565</v>
      </c>
      <c r="B1414" s="14" t="s">
        <v>19566</v>
      </c>
      <c r="C1414" s="14" t="s">
        <v>16096</v>
      </c>
      <c r="D1414" s="14">
        <v>7</v>
      </c>
      <c r="E1414" s="14">
        <v>1378</v>
      </c>
      <c r="F1414" s="14">
        <v>194</v>
      </c>
      <c r="G1414" s="14">
        <v>15605</v>
      </c>
      <c r="H1414" s="14">
        <v>0.998743405618289</v>
      </c>
      <c r="I1414" s="14">
        <v>0.999999999990164</v>
      </c>
      <c r="J1414" s="14">
        <v>0.408611763649694</v>
      </c>
      <c r="K1414" s="14" t="s">
        <v>19567</v>
      </c>
    </row>
    <row r="1415" spans="1:11">
      <c r="A1415" s="14" t="s">
        <v>19568</v>
      </c>
      <c r="B1415" s="14" t="s">
        <v>19569</v>
      </c>
      <c r="C1415" s="14" t="s">
        <v>16086</v>
      </c>
      <c r="D1415" s="14">
        <v>2</v>
      </c>
      <c r="E1415" s="14">
        <v>1378</v>
      </c>
      <c r="F1415" s="14">
        <v>98</v>
      </c>
      <c r="G1415" s="14">
        <v>15605</v>
      </c>
      <c r="H1415" s="14">
        <v>0.99880892457674</v>
      </c>
      <c r="I1415" s="14">
        <v>0.999999999990164</v>
      </c>
      <c r="J1415" s="14">
        <v>0.231109860489914</v>
      </c>
      <c r="K1415" s="14" t="s">
        <v>19570</v>
      </c>
    </row>
    <row r="1416" spans="1:11">
      <c r="A1416" s="14" t="s">
        <v>19571</v>
      </c>
      <c r="B1416" s="14" t="s">
        <v>19572</v>
      </c>
      <c r="C1416" s="14" t="s">
        <v>16086</v>
      </c>
      <c r="D1416" s="14">
        <v>26</v>
      </c>
      <c r="E1416" s="14">
        <v>1378</v>
      </c>
      <c r="F1416" s="14">
        <v>489</v>
      </c>
      <c r="G1416" s="14">
        <v>15605</v>
      </c>
      <c r="H1416" s="14">
        <v>0.99885750764163</v>
      </c>
      <c r="I1416" s="14">
        <v>0.999999999990164</v>
      </c>
      <c r="J1416" s="14">
        <v>0.602114442257977</v>
      </c>
      <c r="K1416" s="14" t="s">
        <v>19573</v>
      </c>
    </row>
    <row r="1417" spans="1:11">
      <c r="A1417" s="14" t="s">
        <v>19574</v>
      </c>
      <c r="B1417" s="14" t="s">
        <v>19575</v>
      </c>
      <c r="C1417" s="14" t="s">
        <v>16086</v>
      </c>
      <c r="D1417" s="14">
        <v>5</v>
      </c>
      <c r="E1417" s="14">
        <v>1378</v>
      </c>
      <c r="F1417" s="14">
        <v>161</v>
      </c>
      <c r="G1417" s="14">
        <v>15605</v>
      </c>
      <c r="H1417" s="14">
        <v>0.998969836550493</v>
      </c>
      <c r="I1417" s="14">
        <v>0.999999999990164</v>
      </c>
      <c r="J1417" s="14">
        <v>0.351688918136826</v>
      </c>
      <c r="K1417" s="14" t="s">
        <v>19576</v>
      </c>
    </row>
    <row r="1418" spans="1:11">
      <c r="A1418" s="14" t="s">
        <v>19577</v>
      </c>
      <c r="B1418" s="14" t="s">
        <v>19578</v>
      </c>
      <c r="C1418" s="14" t="s">
        <v>16096</v>
      </c>
      <c r="D1418" s="14">
        <v>7</v>
      </c>
      <c r="E1418" s="14">
        <v>1378</v>
      </c>
      <c r="F1418" s="14">
        <v>201</v>
      </c>
      <c r="G1418" s="14">
        <v>15605</v>
      </c>
      <c r="H1418" s="14">
        <v>0.999200116397652</v>
      </c>
      <c r="I1418" s="14">
        <v>0.999999999990164</v>
      </c>
      <c r="J1418" s="14">
        <v>0.394381503224083</v>
      </c>
      <c r="K1418" s="14" t="s">
        <v>19579</v>
      </c>
    </row>
    <row r="1419" spans="1:11">
      <c r="A1419" s="14" t="s">
        <v>19580</v>
      </c>
      <c r="B1419" s="14" t="s">
        <v>19581</v>
      </c>
      <c r="C1419" s="14" t="s">
        <v>16090</v>
      </c>
      <c r="D1419" s="14">
        <v>3</v>
      </c>
      <c r="E1419" s="14">
        <v>1378</v>
      </c>
      <c r="F1419" s="14">
        <v>126</v>
      </c>
      <c r="G1419" s="14">
        <v>15605</v>
      </c>
      <c r="H1419" s="14">
        <v>0.999264842688516</v>
      </c>
      <c r="I1419" s="14">
        <v>0.999999999990164</v>
      </c>
      <c r="J1419" s="14">
        <v>0.269628170571567</v>
      </c>
      <c r="K1419" s="14" t="s">
        <v>19582</v>
      </c>
    </row>
    <row r="1420" spans="1:11">
      <c r="A1420" s="14" t="s">
        <v>19583</v>
      </c>
      <c r="B1420" s="14" t="s">
        <v>19584</v>
      </c>
      <c r="C1420" s="14" t="s">
        <v>16090</v>
      </c>
      <c r="D1420" s="14">
        <v>5</v>
      </c>
      <c r="E1420" s="14">
        <v>1378</v>
      </c>
      <c r="F1420" s="14">
        <v>166</v>
      </c>
      <c r="G1420" s="14">
        <v>15605</v>
      </c>
      <c r="H1420" s="14">
        <v>0.999275071723927</v>
      </c>
      <c r="I1420" s="14">
        <v>0.999999999990164</v>
      </c>
      <c r="J1420" s="14">
        <v>0.34109587843391</v>
      </c>
      <c r="K1420" s="14" t="s">
        <v>19585</v>
      </c>
    </row>
    <row r="1421" spans="1:11">
      <c r="A1421" s="14" t="s">
        <v>19586</v>
      </c>
      <c r="B1421" s="14" t="s">
        <v>19587</v>
      </c>
      <c r="C1421" s="14" t="s">
        <v>16096</v>
      </c>
      <c r="D1421" s="14">
        <v>1</v>
      </c>
      <c r="E1421" s="14">
        <v>1378</v>
      </c>
      <c r="F1421" s="14">
        <v>78</v>
      </c>
      <c r="G1421" s="14">
        <v>15605</v>
      </c>
      <c r="H1421" s="14">
        <v>0.999275326385232</v>
      </c>
      <c r="I1421" s="14">
        <v>0.999999999990164</v>
      </c>
      <c r="J1421" s="14">
        <v>0.145184399538536</v>
      </c>
      <c r="K1421" s="14" t="s">
        <v>4924</v>
      </c>
    </row>
    <row r="1422" spans="1:11">
      <c r="A1422" s="14" t="s">
        <v>19588</v>
      </c>
      <c r="B1422" s="14" t="s">
        <v>19589</v>
      </c>
      <c r="C1422" s="14" t="s">
        <v>16090</v>
      </c>
      <c r="D1422" s="14">
        <v>5</v>
      </c>
      <c r="E1422" s="14">
        <v>1378</v>
      </c>
      <c r="F1422" s="14">
        <v>170</v>
      </c>
      <c r="G1422" s="14">
        <v>15605</v>
      </c>
      <c r="H1422" s="14">
        <v>0.999454028631699</v>
      </c>
      <c r="I1422" s="14">
        <v>0.999999999990164</v>
      </c>
      <c r="J1422" s="14">
        <v>0.333070093058994</v>
      </c>
      <c r="K1422" s="14" t="s">
        <v>19590</v>
      </c>
    </row>
    <row r="1423" spans="1:11">
      <c r="A1423" s="14" t="s">
        <v>19591</v>
      </c>
      <c r="B1423" s="14" t="s">
        <v>19592</v>
      </c>
      <c r="C1423" s="14" t="s">
        <v>16096</v>
      </c>
      <c r="D1423" s="14">
        <v>1</v>
      </c>
      <c r="E1423" s="14">
        <v>1378</v>
      </c>
      <c r="F1423" s="14">
        <v>82</v>
      </c>
      <c r="G1423" s="14">
        <v>15605</v>
      </c>
      <c r="H1423" s="14">
        <v>0.999500335061244</v>
      </c>
      <c r="I1423" s="14">
        <v>0.999999999990164</v>
      </c>
      <c r="J1423" s="14">
        <v>0.138102233707388</v>
      </c>
      <c r="K1423" s="14" t="s">
        <v>8527</v>
      </c>
    </row>
    <row r="1424" spans="1:11">
      <c r="A1424" s="14" t="s">
        <v>14807</v>
      </c>
      <c r="B1424" s="14" t="s">
        <v>14808</v>
      </c>
      <c r="C1424" s="14" t="s">
        <v>16096</v>
      </c>
      <c r="D1424" s="14">
        <v>25</v>
      </c>
      <c r="E1424" s="14">
        <v>1378</v>
      </c>
      <c r="F1424" s="14">
        <v>494</v>
      </c>
      <c r="G1424" s="14">
        <v>15605</v>
      </c>
      <c r="H1424" s="14">
        <v>0.999525019088277</v>
      </c>
      <c r="I1424" s="14">
        <v>0.999999999990164</v>
      </c>
      <c r="J1424" s="14">
        <v>0.573096313967905</v>
      </c>
      <c r="K1424" s="14" t="s">
        <v>19593</v>
      </c>
    </row>
    <row r="1425" spans="1:11">
      <c r="A1425" s="14" t="s">
        <v>19594</v>
      </c>
      <c r="B1425" s="14" t="s">
        <v>19595</v>
      </c>
      <c r="C1425" s="14" t="s">
        <v>16086</v>
      </c>
      <c r="D1425" s="14">
        <v>9</v>
      </c>
      <c r="E1425" s="14">
        <v>1378</v>
      </c>
      <c r="F1425" s="14">
        <v>245</v>
      </c>
      <c r="G1425" s="14">
        <v>15605</v>
      </c>
      <c r="H1425" s="14">
        <v>0.999554840405134</v>
      </c>
      <c r="I1425" s="14">
        <v>0.999999999990164</v>
      </c>
      <c r="J1425" s="14">
        <v>0.415997748881846</v>
      </c>
      <c r="K1425" s="14" t="s">
        <v>19596</v>
      </c>
    </row>
    <row r="1426" spans="1:11">
      <c r="A1426" s="14" t="s">
        <v>19597</v>
      </c>
      <c r="B1426" s="14" t="s">
        <v>19598</v>
      </c>
      <c r="C1426" s="14" t="s">
        <v>16096</v>
      </c>
      <c r="D1426" s="14">
        <v>1</v>
      </c>
      <c r="E1426" s="14">
        <v>1378</v>
      </c>
      <c r="F1426" s="14">
        <v>84</v>
      </c>
      <c r="G1426" s="14">
        <v>15605</v>
      </c>
      <c r="H1426" s="14">
        <v>0.999585112128538</v>
      </c>
      <c r="I1426" s="14">
        <v>0.999999999990164</v>
      </c>
      <c r="J1426" s="14">
        <v>0.134814085285783</v>
      </c>
      <c r="K1426" s="14" t="s">
        <v>13450</v>
      </c>
    </row>
    <row r="1427" spans="1:11">
      <c r="A1427" s="14" t="s">
        <v>19599</v>
      </c>
      <c r="B1427" s="14" t="s">
        <v>19600</v>
      </c>
      <c r="C1427" s="14" t="s">
        <v>16090</v>
      </c>
      <c r="D1427" s="14">
        <v>2</v>
      </c>
      <c r="E1427" s="14">
        <v>1378</v>
      </c>
      <c r="F1427" s="14">
        <v>120</v>
      </c>
      <c r="G1427" s="14">
        <v>15605</v>
      </c>
      <c r="H1427" s="14">
        <v>0.999815022747431</v>
      </c>
      <c r="I1427" s="14">
        <v>0.999999999990164</v>
      </c>
      <c r="J1427" s="14">
        <v>0.188739719400097</v>
      </c>
      <c r="K1427" s="14" t="s">
        <v>17036</v>
      </c>
    </row>
    <row r="1428" spans="1:11">
      <c r="A1428" s="14" t="s">
        <v>19601</v>
      </c>
      <c r="B1428" s="14" t="s">
        <v>19602</v>
      </c>
      <c r="C1428" s="14" t="s">
        <v>16090</v>
      </c>
      <c r="D1428" s="14">
        <v>7</v>
      </c>
      <c r="E1428" s="14">
        <v>1378</v>
      </c>
      <c r="F1428" s="14">
        <v>228</v>
      </c>
      <c r="G1428" s="14">
        <v>15605</v>
      </c>
      <c r="H1428" s="14">
        <v>0.999868018842303</v>
      </c>
      <c r="I1428" s="14">
        <v>0.999999999990164</v>
      </c>
      <c r="J1428" s="14">
        <v>0.347678430473862</v>
      </c>
      <c r="K1428" s="14" t="s">
        <v>19603</v>
      </c>
    </row>
    <row r="1429" spans="1:11">
      <c r="A1429" s="14" t="s">
        <v>19604</v>
      </c>
      <c r="B1429" s="14" t="s">
        <v>19605</v>
      </c>
      <c r="C1429" s="14" t="s">
        <v>16096</v>
      </c>
      <c r="D1429" s="14">
        <v>32</v>
      </c>
      <c r="E1429" s="14">
        <v>1378</v>
      </c>
      <c r="F1429" s="14">
        <v>636</v>
      </c>
      <c r="G1429" s="14">
        <v>15605</v>
      </c>
      <c r="H1429" s="14">
        <v>0.999921112914126</v>
      </c>
      <c r="I1429" s="14">
        <v>0.999999999990164</v>
      </c>
      <c r="J1429" s="14">
        <v>0.569780284981424</v>
      </c>
      <c r="K1429" s="14" t="s">
        <v>19606</v>
      </c>
    </row>
    <row r="1430" spans="1:11">
      <c r="A1430" s="14" t="s">
        <v>4551</v>
      </c>
      <c r="B1430" s="14" t="s">
        <v>4552</v>
      </c>
      <c r="C1430" s="14" t="s">
        <v>16096</v>
      </c>
      <c r="D1430" s="14">
        <v>98</v>
      </c>
      <c r="E1430" s="14">
        <v>1378</v>
      </c>
      <c r="F1430" s="14">
        <v>1545</v>
      </c>
      <c r="G1430" s="14">
        <v>15605</v>
      </c>
      <c r="H1430" s="14">
        <v>0.99993546325569</v>
      </c>
      <c r="I1430" s="14">
        <v>0.999999999990164</v>
      </c>
      <c r="J1430" s="14">
        <v>0.718310388396485</v>
      </c>
      <c r="K1430" s="14" t="s">
        <v>19607</v>
      </c>
    </row>
    <row r="1431" spans="1:11">
      <c r="A1431" s="14" t="s">
        <v>19608</v>
      </c>
      <c r="B1431" s="14" t="s">
        <v>19609</v>
      </c>
      <c r="C1431" s="14" t="s">
        <v>16096</v>
      </c>
      <c r="D1431" s="14">
        <v>25</v>
      </c>
      <c r="E1431" s="14">
        <v>1378</v>
      </c>
      <c r="F1431" s="14">
        <v>540</v>
      </c>
      <c r="G1431" s="14">
        <v>15605</v>
      </c>
      <c r="H1431" s="14">
        <v>0.999948452363578</v>
      </c>
      <c r="I1431" s="14">
        <v>0.999999999990164</v>
      </c>
      <c r="J1431" s="14">
        <v>0.524276998333602</v>
      </c>
      <c r="K1431" s="14" t="s">
        <v>19610</v>
      </c>
    </row>
    <row r="1432" spans="1:11">
      <c r="A1432" s="14" t="s">
        <v>19611</v>
      </c>
      <c r="B1432" s="14" t="s">
        <v>19612</v>
      </c>
      <c r="C1432" s="14" t="s">
        <v>16090</v>
      </c>
      <c r="D1432" s="14">
        <v>4</v>
      </c>
      <c r="E1432" s="14">
        <v>1378</v>
      </c>
      <c r="F1432" s="14">
        <v>189</v>
      </c>
      <c r="G1432" s="14">
        <v>15605</v>
      </c>
      <c r="H1432" s="14">
        <v>0.999971486567738</v>
      </c>
      <c r="I1432" s="14">
        <v>0.999999999990164</v>
      </c>
      <c r="J1432" s="14">
        <v>0.239669484952504</v>
      </c>
      <c r="K1432" s="14" t="s">
        <v>19613</v>
      </c>
    </row>
    <row r="1433" spans="1:11">
      <c r="A1433" s="14" t="s">
        <v>19614</v>
      </c>
      <c r="B1433" s="14" t="s">
        <v>19615</v>
      </c>
      <c r="C1433" s="14" t="s">
        <v>16090</v>
      </c>
      <c r="D1433" s="14">
        <v>11</v>
      </c>
      <c r="E1433" s="14">
        <v>1378</v>
      </c>
      <c r="F1433" s="14">
        <v>324</v>
      </c>
      <c r="G1433" s="14">
        <v>15605</v>
      </c>
      <c r="H1433" s="14">
        <v>0.999972543072418</v>
      </c>
      <c r="I1433" s="14">
        <v>0.999999999990164</v>
      </c>
      <c r="J1433" s="14">
        <v>0.384469798777975</v>
      </c>
      <c r="K1433" s="14" t="s">
        <v>19616</v>
      </c>
    </row>
    <row r="1434" spans="1:11">
      <c r="A1434" s="14" t="s">
        <v>19617</v>
      </c>
      <c r="B1434" s="14" t="s">
        <v>19618</v>
      </c>
      <c r="C1434" s="14" t="s">
        <v>16096</v>
      </c>
      <c r="D1434" s="14">
        <v>11</v>
      </c>
      <c r="E1434" s="14">
        <v>1378</v>
      </c>
      <c r="F1434" s="14">
        <v>325</v>
      </c>
      <c r="G1434" s="14">
        <v>15605</v>
      </c>
      <c r="H1434" s="14">
        <v>0.99997424251957</v>
      </c>
      <c r="I1434" s="14">
        <v>0.999999999990164</v>
      </c>
      <c r="J1434" s="14">
        <v>0.383286814781735</v>
      </c>
      <c r="K1434" s="14" t="s">
        <v>19619</v>
      </c>
    </row>
    <row r="1435" spans="1:11">
      <c r="A1435" s="14" t="s">
        <v>19620</v>
      </c>
      <c r="B1435" s="14" t="s">
        <v>19621</v>
      </c>
      <c r="C1435" s="14" t="s">
        <v>16090</v>
      </c>
      <c r="D1435" s="14">
        <v>7</v>
      </c>
      <c r="E1435" s="14">
        <v>1378</v>
      </c>
      <c r="F1435" s="14">
        <v>254</v>
      </c>
      <c r="G1435" s="14">
        <v>15605</v>
      </c>
      <c r="H1435" s="14">
        <v>0.999978432738315</v>
      </c>
      <c r="I1435" s="14">
        <v>0.999999999990164</v>
      </c>
      <c r="J1435" s="14">
        <v>0.312089299795436</v>
      </c>
      <c r="K1435" s="14" t="s">
        <v>19622</v>
      </c>
    </row>
    <row r="1436" spans="1:11">
      <c r="A1436" s="14" t="s">
        <v>19623</v>
      </c>
      <c r="B1436" s="14" t="s">
        <v>19624</v>
      </c>
      <c r="C1436" s="14" t="s">
        <v>16096</v>
      </c>
      <c r="D1436" s="14">
        <v>14</v>
      </c>
      <c r="E1436" s="14">
        <v>1378</v>
      </c>
      <c r="F1436" s="14">
        <v>384</v>
      </c>
      <c r="G1436" s="14">
        <v>15605</v>
      </c>
      <c r="H1436" s="14">
        <v>0.999983366571638</v>
      </c>
      <c r="I1436" s="14">
        <v>0.999999999990164</v>
      </c>
      <c r="J1436" s="14">
        <v>0.412868136187712</v>
      </c>
      <c r="K1436" s="14" t="s">
        <v>19625</v>
      </c>
    </row>
    <row r="1437" spans="1:11">
      <c r="A1437" s="14" t="s">
        <v>19626</v>
      </c>
      <c r="B1437" s="14" t="s">
        <v>19627</v>
      </c>
      <c r="C1437" s="14" t="s">
        <v>16086</v>
      </c>
      <c r="D1437" s="14">
        <v>5</v>
      </c>
      <c r="E1437" s="14">
        <v>1378</v>
      </c>
      <c r="F1437" s="14">
        <v>219</v>
      </c>
      <c r="G1437" s="14">
        <v>15605</v>
      </c>
      <c r="H1437" s="14">
        <v>0.999985325453459</v>
      </c>
      <c r="I1437" s="14">
        <v>0.999999999990164</v>
      </c>
      <c r="J1437" s="14">
        <v>0.25854756082205</v>
      </c>
      <c r="K1437" s="14" t="s">
        <v>19628</v>
      </c>
    </row>
    <row r="1438" spans="1:11">
      <c r="A1438" s="14" t="s">
        <v>19629</v>
      </c>
      <c r="B1438" s="14" t="s">
        <v>19630</v>
      </c>
      <c r="C1438" s="14" t="s">
        <v>16086</v>
      </c>
      <c r="D1438" s="14">
        <v>5</v>
      </c>
      <c r="E1438" s="14">
        <v>1378</v>
      </c>
      <c r="F1438" s="14">
        <v>219</v>
      </c>
      <c r="G1438" s="14">
        <v>15605</v>
      </c>
      <c r="H1438" s="14">
        <v>0.999985325453459</v>
      </c>
      <c r="I1438" s="14">
        <v>0.999999999990164</v>
      </c>
      <c r="J1438" s="14">
        <v>0.25854756082205</v>
      </c>
      <c r="K1438" s="14" t="s">
        <v>19631</v>
      </c>
    </row>
    <row r="1439" spans="1:11">
      <c r="A1439" s="14" t="s">
        <v>19632</v>
      </c>
      <c r="B1439" s="14" t="s">
        <v>19633</v>
      </c>
      <c r="C1439" s="14" t="s">
        <v>16086</v>
      </c>
      <c r="D1439" s="14">
        <v>12</v>
      </c>
      <c r="E1439" s="14">
        <v>1378</v>
      </c>
      <c r="F1439" s="14">
        <v>352</v>
      </c>
      <c r="G1439" s="14">
        <v>15605</v>
      </c>
      <c r="H1439" s="14">
        <v>0.999985840413758</v>
      </c>
      <c r="I1439" s="14">
        <v>0.999999999990164</v>
      </c>
      <c r="J1439" s="14">
        <v>0.386058516954743</v>
      </c>
      <c r="K1439" s="14" t="s">
        <v>19634</v>
      </c>
    </row>
    <row r="1440" spans="1:11">
      <c r="A1440" s="14" t="s">
        <v>19635</v>
      </c>
      <c r="B1440" s="14" t="s">
        <v>19636</v>
      </c>
      <c r="C1440" s="14" t="s">
        <v>16090</v>
      </c>
      <c r="D1440" s="14">
        <v>1</v>
      </c>
      <c r="E1440" s="14">
        <v>1378</v>
      </c>
      <c r="F1440" s="14">
        <v>124</v>
      </c>
      <c r="G1440" s="14">
        <v>15605</v>
      </c>
      <c r="H1440" s="14">
        <v>0.999989984465322</v>
      </c>
      <c r="I1440" s="14">
        <v>0.999999999990164</v>
      </c>
      <c r="J1440" s="14">
        <v>0.0913256706774662</v>
      </c>
      <c r="K1440" s="14" t="s">
        <v>13890</v>
      </c>
    </row>
    <row r="1441" spans="1:11">
      <c r="A1441" s="14" t="s">
        <v>19637</v>
      </c>
      <c r="B1441" s="14" t="s">
        <v>19638</v>
      </c>
      <c r="C1441" s="14" t="s">
        <v>16086</v>
      </c>
      <c r="D1441" s="14">
        <v>4</v>
      </c>
      <c r="E1441" s="14">
        <v>1378</v>
      </c>
      <c r="F1441" s="14">
        <v>208</v>
      </c>
      <c r="G1441" s="14">
        <v>15605</v>
      </c>
      <c r="H1441" s="14">
        <v>0.999993658468411</v>
      </c>
      <c r="I1441" s="14">
        <v>0.999999999990164</v>
      </c>
      <c r="J1441" s="14">
        <v>0.217776599307804</v>
      </c>
      <c r="K1441" s="14" t="s">
        <v>19639</v>
      </c>
    </row>
    <row r="1442" spans="1:11">
      <c r="A1442" s="14" t="s">
        <v>19640</v>
      </c>
      <c r="B1442" s="14" t="s">
        <v>19641</v>
      </c>
      <c r="C1442" s="14" t="s">
        <v>16096</v>
      </c>
      <c r="D1442" s="14">
        <v>5</v>
      </c>
      <c r="E1442" s="14">
        <v>1378</v>
      </c>
      <c r="F1442" s="14">
        <v>235</v>
      </c>
      <c r="G1442" s="14">
        <v>15605</v>
      </c>
      <c r="H1442" s="14">
        <v>0.999995701480069</v>
      </c>
      <c r="I1442" s="14">
        <v>0.999999999990164</v>
      </c>
      <c r="J1442" s="14">
        <v>0.240944322638421</v>
      </c>
      <c r="K1442" s="14" t="s">
        <v>19642</v>
      </c>
    </row>
    <row r="1443" spans="1:11">
      <c r="A1443" s="14" t="s">
        <v>19643</v>
      </c>
      <c r="B1443" s="14" t="s">
        <v>19644</v>
      </c>
      <c r="C1443" s="14" t="s">
        <v>16090</v>
      </c>
      <c r="D1443" s="14">
        <v>4</v>
      </c>
      <c r="E1443" s="14">
        <v>1378</v>
      </c>
      <c r="F1443" s="14">
        <v>219</v>
      </c>
      <c r="G1443" s="14">
        <v>15605</v>
      </c>
      <c r="H1443" s="14">
        <v>0.999997374768174</v>
      </c>
      <c r="I1443" s="14">
        <v>0.999999999990164</v>
      </c>
      <c r="J1443" s="14">
        <v>0.20683804865764</v>
      </c>
      <c r="K1443" s="14" t="s">
        <v>19645</v>
      </c>
    </row>
    <row r="1444" spans="1:11">
      <c r="A1444" s="14" t="s">
        <v>19646</v>
      </c>
      <c r="B1444" s="14" t="s">
        <v>19647</v>
      </c>
      <c r="C1444" s="14" t="s">
        <v>16086</v>
      </c>
      <c r="D1444" s="14">
        <v>27</v>
      </c>
      <c r="E1444" s="14">
        <v>1378</v>
      </c>
      <c r="F1444" s="14">
        <v>630</v>
      </c>
      <c r="G1444" s="14">
        <v>15605</v>
      </c>
      <c r="H1444" s="14">
        <v>0.999997604926103</v>
      </c>
      <c r="I1444" s="14">
        <v>0.999999999990164</v>
      </c>
      <c r="J1444" s="14">
        <v>0.48533070702882</v>
      </c>
      <c r="K1444" s="14" t="s">
        <v>19648</v>
      </c>
    </row>
    <row r="1445" spans="1:11">
      <c r="A1445" s="14" t="s">
        <v>19649</v>
      </c>
      <c r="B1445" s="14" t="s">
        <v>19650</v>
      </c>
      <c r="C1445" s="14" t="s">
        <v>16090</v>
      </c>
      <c r="D1445" s="14">
        <v>1</v>
      </c>
      <c r="E1445" s="14">
        <v>1378</v>
      </c>
      <c r="F1445" s="14">
        <v>158</v>
      </c>
      <c r="G1445" s="14">
        <v>15605</v>
      </c>
      <c r="H1445" s="14">
        <v>0.999999580667139</v>
      </c>
      <c r="I1445" s="14">
        <v>0.999999999990164</v>
      </c>
      <c r="J1445" s="14">
        <v>0.0716733111645937</v>
      </c>
      <c r="K1445" s="14" t="s">
        <v>9780</v>
      </c>
    </row>
    <row r="1446" spans="1:11">
      <c r="A1446" s="14" t="s">
        <v>4373</v>
      </c>
      <c r="B1446" s="14" t="s">
        <v>4374</v>
      </c>
      <c r="C1446" s="14" t="s">
        <v>16096</v>
      </c>
      <c r="D1446" s="14">
        <v>48</v>
      </c>
      <c r="E1446" s="14">
        <v>1378</v>
      </c>
      <c r="F1446" s="14">
        <v>1129</v>
      </c>
      <c r="G1446" s="14">
        <v>15605</v>
      </c>
      <c r="H1446" s="14">
        <v>0.999999999751302</v>
      </c>
      <c r="I1446" s="14">
        <v>0.999999999990164</v>
      </c>
      <c r="J1446" s="14">
        <v>0.481461817424516</v>
      </c>
      <c r="K1446" s="14" t="s">
        <v>19651</v>
      </c>
    </row>
    <row r="1447" spans="1:11">
      <c r="A1447" s="14" t="s">
        <v>19652</v>
      </c>
      <c r="B1447" s="14" t="s">
        <v>19653</v>
      </c>
      <c r="C1447" s="14" t="s">
        <v>16086</v>
      </c>
      <c r="D1447" s="14">
        <v>16</v>
      </c>
      <c r="E1447" s="14">
        <v>1378</v>
      </c>
      <c r="F1447" s="14">
        <v>594</v>
      </c>
      <c r="G1447" s="14">
        <v>15605</v>
      </c>
      <c r="H1447" s="14">
        <v>0.999999999828117</v>
      </c>
      <c r="I1447" s="14">
        <v>0.999999999990164</v>
      </c>
      <c r="J1447" s="14">
        <v>0.30503388993955</v>
      </c>
      <c r="K1447" s="14" t="s">
        <v>19654</v>
      </c>
    </row>
    <row r="1448" spans="1:11">
      <c r="A1448" s="14" t="s">
        <v>19655</v>
      </c>
      <c r="B1448" s="14" t="s">
        <v>19656</v>
      </c>
      <c r="C1448" s="14" t="s">
        <v>16086</v>
      </c>
      <c r="D1448" s="14">
        <v>4</v>
      </c>
      <c r="E1448" s="14">
        <v>1378</v>
      </c>
      <c r="F1448" s="14">
        <v>337</v>
      </c>
      <c r="G1448" s="14">
        <v>15605</v>
      </c>
      <c r="H1448" s="14">
        <v>0.999999999860835</v>
      </c>
      <c r="I1448" s="14">
        <v>0.999999999990164</v>
      </c>
      <c r="J1448" s="14">
        <v>0.134414043489683</v>
      </c>
      <c r="K1448" s="14" t="s">
        <v>19613</v>
      </c>
    </row>
    <row r="1449" spans="1:11">
      <c r="A1449" s="14" t="s">
        <v>19657</v>
      </c>
      <c r="B1449" s="14" t="s">
        <v>19658</v>
      </c>
      <c r="C1449" s="14" t="s">
        <v>16086</v>
      </c>
      <c r="D1449" s="14">
        <v>24</v>
      </c>
      <c r="E1449" s="14">
        <v>1378</v>
      </c>
      <c r="F1449" s="14">
        <v>750</v>
      </c>
      <c r="G1449" s="14">
        <v>15605</v>
      </c>
      <c r="H1449" s="14">
        <v>0.999999999908235</v>
      </c>
      <c r="I1449" s="14">
        <v>0.999999999990164</v>
      </c>
      <c r="J1449" s="14">
        <v>0.362380261248186</v>
      </c>
      <c r="K1449" s="14" t="s">
        <v>19659</v>
      </c>
    </row>
    <row r="1450" spans="1:11">
      <c r="A1450" s="14" t="s">
        <v>6682</v>
      </c>
      <c r="B1450" s="14" t="s">
        <v>6683</v>
      </c>
      <c r="C1450" s="14" t="s">
        <v>16096</v>
      </c>
      <c r="D1450" s="14">
        <v>77</v>
      </c>
      <c r="E1450" s="14">
        <v>1378</v>
      </c>
      <c r="F1450" s="14">
        <v>1630</v>
      </c>
      <c r="G1450" s="14">
        <v>15605</v>
      </c>
      <c r="H1450" s="14">
        <v>0.999999999990164</v>
      </c>
      <c r="I1450" s="14">
        <v>0.999999999990164</v>
      </c>
      <c r="J1450" s="14">
        <v>0.534955523698434</v>
      </c>
      <c r="K1450" s="14" t="s">
        <v>19660</v>
      </c>
    </row>
  </sheetData>
  <mergeCells count="1">
    <mergeCell ref="A1:K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31"/>
  <sheetViews>
    <sheetView workbookViewId="0">
      <selection activeCell="C17" sqref="C17"/>
    </sheetView>
  </sheetViews>
  <sheetFormatPr defaultColWidth="8.88888888888889" defaultRowHeight="13.8"/>
  <cols>
    <col min="1" max="16384" width="8.88888888888889" style="14"/>
  </cols>
  <sheetData>
    <row r="1" s="33" customFormat="1" ht="13.2" spans="1:10">
      <c r="A1" s="34" t="s">
        <v>19661</v>
      </c>
      <c r="B1" s="35"/>
      <c r="C1" s="35"/>
      <c r="D1" s="35"/>
      <c r="E1" s="35"/>
      <c r="F1" s="35"/>
      <c r="G1" s="35"/>
      <c r="H1" s="35"/>
      <c r="I1" s="35"/>
      <c r="J1" s="35"/>
    </row>
    <row r="2" ht="14.55" spans="1:11">
      <c r="A2" s="37" t="s">
        <v>16075</v>
      </c>
      <c r="B2" s="37" t="s">
        <v>16076</v>
      </c>
      <c r="C2" s="37" t="s">
        <v>16077</v>
      </c>
      <c r="D2" s="37" t="s">
        <v>16078</v>
      </c>
      <c r="E2" s="37" t="s">
        <v>16079</v>
      </c>
      <c r="F2" s="37" t="s">
        <v>16080</v>
      </c>
      <c r="G2" s="37" t="s">
        <v>16081</v>
      </c>
      <c r="H2" s="37" t="s">
        <v>130</v>
      </c>
      <c r="I2" s="37" t="s">
        <v>131</v>
      </c>
      <c r="J2" s="37" t="s">
        <v>16082</v>
      </c>
      <c r="K2" s="37" t="s">
        <v>16083</v>
      </c>
    </row>
    <row r="3" spans="1:11">
      <c r="A3" s="14" t="s">
        <v>6682</v>
      </c>
      <c r="B3" s="14" t="s">
        <v>6683</v>
      </c>
      <c r="C3" s="14" t="s">
        <v>16096</v>
      </c>
      <c r="D3" s="14">
        <v>282</v>
      </c>
      <c r="E3" s="14">
        <v>1239</v>
      </c>
      <c r="F3" s="14">
        <v>1630</v>
      </c>
      <c r="G3" s="14">
        <v>15605</v>
      </c>
      <c r="H3" s="36">
        <v>7.46965729059847e-40</v>
      </c>
      <c r="I3" s="36">
        <v>1.06741402682652e-36</v>
      </c>
      <c r="J3" s="14">
        <v>2.17898364503335</v>
      </c>
      <c r="K3" s="14" t="s">
        <v>19662</v>
      </c>
    </row>
    <row r="4" spans="1:11">
      <c r="A4" s="14" t="s">
        <v>13955</v>
      </c>
      <c r="B4" s="14" t="s">
        <v>13956</v>
      </c>
      <c r="C4" s="14" t="s">
        <v>16096</v>
      </c>
      <c r="D4" s="14">
        <v>93</v>
      </c>
      <c r="E4" s="14">
        <v>1239</v>
      </c>
      <c r="F4" s="14">
        <v>443</v>
      </c>
      <c r="G4" s="14">
        <v>15605</v>
      </c>
      <c r="H4" s="36">
        <v>1.40083349908786e-18</v>
      </c>
      <c r="I4" s="36">
        <v>1.00089553509828e-15</v>
      </c>
      <c r="J4" s="14">
        <v>2.64406233090474</v>
      </c>
      <c r="K4" s="14" t="s">
        <v>19663</v>
      </c>
    </row>
    <row r="5" spans="1:11">
      <c r="A5" s="14" t="s">
        <v>14807</v>
      </c>
      <c r="B5" s="14" t="s">
        <v>14808</v>
      </c>
      <c r="C5" s="14" t="s">
        <v>16096</v>
      </c>
      <c r="D5" s="14">
        <v>99</v>
      </c>
      <c r="E5" s="14">
        <v>1239</v>
      </c>
      <c r="F5" s="14">
        <v>494</v>
      </c>
      <c r="G5" s="14">
        <v>15605</v>
      </c>
      <c r="H5" s="36">
        <v>3.08634431891587e-18</v>
      </c>
      <c r="I5" s="36">
        <v>1.47012867724359e-15</v>
      </c>
      <c r="J5" s="14">
        <v>2.52406603209458</v>
      </c>
      <c r="K5" s="14" t="s">
        <v>19664</v>
      </c>
    </row>
    <row r="6" spans="1:11">
      <c r="A6" s="14" t="s">
        <v>19543</v>
      </c>
      <c r="B6" s="14" t="s">
        <v>19544</v>
      </c>
      <c r="C6" s="14" t="s">
        <v>16096</v>
      </c>
      <c r="D6" s="14">
        <v>38</v>
      </c>
      <c r="E6" s="14">
        <v>1239</v>
      </c>
      <c r="F6" s="14">
        <v>103</v>
      </c>
      <c r="G6" s="14">
        <v>15605</v>
      </c>
      <c r="H6" s="36">
        <v>1.31191204128798e-16</v>
      </c>
      <c r="I6" s="36">
        <v>4.68680576750131e-14</v>
      </c>
      <c r="J6" s="14">
        <v>4.64663798710203</v>
      </c>
      <c r="K6" s="14" t="s">
        <v>19665</v>
      </c>
    </row>
    <row r="7" spans="1:11">
      <c r="A7" s="14" t="s">
        <v>19281</v>
      </c>
      <c r="B7" s="14" t="s">
        <v>19282</v>
      </c>
      <c r="C7" s="14" t="s">
        <v>16096</v>
      </c>
      <c r="D7" s="14">
        <v>39</v>
      </c>
      <c r="E7" s="14">
        <v>1239</v>
      </c>
      <c r="F7" s="14">
        <v>130</v>
      </c>
      <c r="G7" s="14">
        <v>15605</v>
      </c>
      <c r="H7" s="36">
        <v>1.35517756206511e-13</v>
      </c>
      <c r="I7" s="36">
        <v>3.8730974723821e-11</v>
      </c>
      <c r="J7" s="14">
        <v>3.77845036319613</v>
      </c>
      <c r="K7" s="14" t="s">
        <v>19666</v>
      </c>
    </row>
    <row r="8" spans="1:11">
      <c r="A8" s="14" t="s">
        <v>19617</v>
      </c>
      <c r="B8" s="14" t="s">
        <v>19618</v>
      </c>
      <c r="C8" s="14" t="s">
        <v>16096</v>
      </c>
      <c r="D8" s="14">
        <v>65</v>
      </c>
      <c r="E8" s="14">
        <v>1239</v>
      </c>
      <c r="F8" s="14">
        <v>325</v>
      </c>
      <c r="G8" s="14">
        <v>15605</v>
      </c>
      <c r="H8" s="36">
        <v>2.50153733020665e-12</v>
      </c>
      <c r="I8" s="36">
        <v>5.9578280747755e-10</v>
      </c>
      <c r="J8" s="14">
        <v>2.51896690879742</v>
      </c>
      <c r="K8" s="14" t="s">
        <v>19667</v>
      </c>
    </row>
    <row r="9" spans="1:11">
      <c r="A9" s="14" t="s">
        <v>18657</v>
      </c>
      <c r="B9" s="14" t="s">
        <v>18658</v>
      </c>
      <c r="C9" s="14" t="s">
        <v>16090</v>
      </c>
      <c r="D9" s="14">
        <v>15</v>
      </c>
      <c r="E9" s="14">
        <v>1239</v>
      </c>
      <c r="F9" s="14">
        <v>25</v>
      </c>
      <c r="G9" s="14">
        <v>15605</v>
      </c>
      <c r="H9" s="36">
        <v>4.42419704366143e-11</v>
      </c>
      <c r="I9" s="36">
        <v>9.03168225056026e-9</v>
      </c>
      <c r="J9" s="14">
        <v>7.55690072639225</v>
      </c>
      <c r="K9" s="14" t="s">
        <v>19668</v>
      </c>
    </row>
    <row r="10" spans="1:11">
      <c r="A10" s="14" t="s">
        <v>19669</v>
      </c>
      <c r="B10" s="14" t="s">
        <v>19670</v>
      </c>
      <c r="C10" s="14" t="s">
        <v>16096</v>
      </c>
      <c r="D10" s="14">
        <v>19</v>
      </c>
      <c r="E10" s="14">
        <v>1239</v>
      </c>
      <c r="F10" s="14">
        <v>47</v>
      </c>
      <c r="G10" s="14">
        <v>15605</v>
      </c>
      <c r="H10" s="36">
        <v>8.84471347839755e-10</v>
      </c>
      <c r="I10" s="36">
        <v>1.57988694507876e-7</v>
      </c>
      <c r="J10" s="14">
        <v>5.09152885820755</v>
      </c>
      <c r="K10" s="14" t="s">
        <v>19671</v>
      </c>
    </row>
    <row r="11" spans="1:11">
      <c r="A11" s="14" t="s">
        <v>19672</v>
      </c>
      <c r="B11" s="14" t="s">
        <v>19673</v>
      </c>
      <c r="C11" s="14" t="s">
        <v>16096</v>
      </c>
      <c r="D11" s="14">
        <v>16</v>
      </c>
      <c r="E11" s="14">
        <v>1239</v>
      </c>
      <c r="F11" s="14">
        <v>34</v>
      </c>
      <c r="G11" s="14">
        <v>15605</v>
      </c>
      <c r="H11" s="36">
        <v>1.26708550239359e-9</v>
      </c>
      <c r="I11" s="36">
        <v>2.01185020324493e-7</v>
      </c>
      <c r="J11" s="14">
        <v>5.92698096187627</v>
      </c>
      <c r="K11" s="14" t="s">
        <v>19674</v>
      </c>
    </row>
    <row r="12" spans="1:11">
      <c r="A12" s="14" t="s">
        <v>18782</v>
      </c>
      <c r="B12" s="14" t="s">
        <v>18783</v>
      </c>
      <c r="C12" s="14" t="s">
        <v>16096</v>
      </c>
      <c r="D12" s="14">
        <v>10</v>
      </c>
      <c r="E12" s="14">
        <v>1239</v>
      </c>
      <c r="F12" s="14">
        <v>13</v>
      </c>
      <c r="G12" s="14">
        <v>15605</v>
      </c>
      <c r="H12" s="36">
        <v>2.20335350964398e-9</v>
      </c>
      <c r="I12" s="36">
        <v>2.86780316632171e-7</v>
      </c>
      <c r="J12" s="14">
        <v>9.68833426460545</v>
      </c>
      <c r="K12" s="14" t="s">
        <v>19675</v>
      </c>
    </row>
    <row r="13" spans="1:11">
      <c r="A13" s="14" t="s">
        <v>9687</v>
      </c>
      <c r="B13" s="14" t="s">
        <v>9688</v>
      </c>
      <c r="C13" s="14" t="s">
        <v>16096</v>
      </c>
      <c r="D13" s="14">
        <v>35</v>
      </c>
      <c r="E13" s="14">
        <v>1239</v>
      </c>
      <c r="F13" s="14">
        <v>146</v>
      </c>
      <c r="G13" s="14">
        <v>15605</v>
      </c>
      <c r="H13" s="36">
        <v>2.20754617421545e-9</v>
      </c>
      <c r="I13" s="36">
        <v>2.86780316632171e-7</v>
      </c>
      <c r="J13" s="14">
        <v>3.01930965095581</v>
      </c>
      <c r="K13" s="14" t="s">
        <v>19676</v>
      </c>
    </row>
    <row r="14" spans="1:11">
      <c r="A14" s="14" t="s">
        <v>2154</v>
      </c>
      <c r="B14" s="14" t="s">
        <v>2155</v>
      </c>
      <c r="C14" s="14" t="s">
        <v>16096</v>
      </c>
      <c r="D14" s="14">
        <v>19</v>
      </c>
      <c r="E14" s="14">
        <v>1239</v>
      </c>
      <c r="F14" s="14">
        <v>51</v>
      </c>
      <c r="G14" s="14">
        <v>15605</v>
      </c>
      <c r="H14" s="36">
        <v>4.51926129400564e-9</v>
      </c>
      <c r="I14" s="36">
        <v>5.38168699094504e-7</v>
      </c>
      <c r="J14" s="14">
        <v>4.69219326148538</v>
      </c>
      <c r="K14" s="14" t="s">
        <v>19677</v>
      </c>
    </row>
    <row r="15" spans="1:11">
      <c r="A15" s="14" t="s">
        <v>19678</v>
      </c>
      <c r="B15" s="14" t="s">
        <v>19679</v>
      </c>
      <c r="C15" s="14" t="s">
        <v>16096</v>
      </c>
      <c r="D15" s="14">
        <v>10</v>
      </c>
      <c r="E15" s="14">
        <v>1239</v>
      </c>
      <c r="F15" s="14">
        <v>16</v>
      </c>
      <c r="G15" s="14">
        <v>15605</v>
      </c>
      <c r="H15" s="36">
        <v>4.93886240110631e-8</v>
      </c>
      <c r="I15" s="36">
        <v>5.42894951629302e-6</v>
      </c>
      <c r="J15" s="14">
        <v>7.87177158999193</v>
      </c>
      <c r="K15" s="14" t="s">
        <v>19680</v>
      </c>
    </row>
    <row r="16" spans="1:11">
      <c r="A16" s="14" t="s">
        <v>19681</v>
      </c>
      <c r="B16" s="14" t="s">
        <v>19682</v>
      </c>
      <c r="C16" s="14" t="s">
        <v>16090</v>
      </c>
      <c r="D16" s="14">
        <v>10</v>
      </c>
      <c r="E16" s="14">
        <v>1239</v>
      </c>
      <c r="F16" s="14">
        <v>18</v>
      </c>
      <c r="G16" s="14">
        <v>15605</v>
      </c>
      <c r="H16" s="36">
        <v>2.32730729619734e-7</v>
      </c>
      <c r="I16" s="36">
        <v>2.37551580447571e-5</v>
      </c>
      <c r="J16" s="14">
        <v>6.99713030221505</v>
      </c>
      <c r="K16" s="14" t="s">
        <v>19683</v>
      </c>
    </row>
    <row r="17" spans="1:11">
      <c r="A17" s="14" t="s">
        <v>19684</v>
      </c>
      <c r="B17" s="14" t="s">
        <v>19685</v>
      </c>
      <c r="C17" s="14" t="s">
        <v>16090</v>
      </c>
      <c r="D17" s="14">
        <v>9</v>
      </c>
      <c r="E17" s="14">
        <v>1239</v>
      </c>
      <c r="F17" s="14">
        <v>15</v>
      </c>
      <c r="G17" s="14">
        <v>15605</v>
      </c>
      <c r="H17" s="36">
        <v>3.9313224412045e-7</v>
      </c>
      <c r="I17" s="36">
        <v>3.74523984565416e-5</v>
      </c>
      <c r="J17" s="14">
        <v>7.55690072639225</v>
      </c>
      <c r="K17" s="14" t="s">
        <v>19686</v>
      </c>
    </row>
    <row r="18" spans="1:11">
      <c r="A18" s="14" t="s">
        <v>19649</v>
      </c>
      <c r="B18" s="14" t="s">
        <v>19650</v>
      </c>
      <c r="C18" s="14" t="s">
        <v>16090</v>
      </c>
      <c r="D18" s="14">
        <v>32</v>
      </c>
      <c r="E18" s="14">
        <v>1239</v>
      </c>
      <c r="F18" s="14">
        <v>158</v>
      </c>
      <c r="G18" s="14">
        <v>15605</v>
      </c>
      <c r="H18" s="36">
        <v>6.8878963032271e-7</v>
      </c>
      <c r="I18" s="36">
        <v>6.1517523858197e-5</v>
      </c>
      <c r="J18" s="14">
        <v>2.5508525658708</v>
      </c>
      <c r="K18" s="14" t="s">
        <v>19687</v>
      </c>
    </row>
    <row r="19" spans="1:11">
      <c r="A19" s="14" t="s">
        <v>19580</v>
      </c>
      <c r="B19" s="14" t="s">
        <v>19581</v>
      </c>
      <c r="C19" s="14" t="s">
        <v>16090</v>
      </c>
      <c r="D19" s="14">
        <v>27</v>
      </c>
      <c r="E19" s="14">
        <v>1239</v>
      </c>
      <c r="F19" s="14">
        <v>126</v>
      </c>
      <c r="G19" s="14">
        <v>15605</v>
      </c>
      <c r="H19" s="36">
        <v>1.60964146090203e-6</v>
      </c>
      <c r="I19" s="14">
        <v>0.000135304567507588</v>
      </c>
      <c r="J19" s="14">
        <v>2.69889311656866</v>
      </c>
      <c r="K19" s="14" t="s">
        <v>19688</v>
      </c>
    </row>
    <row r="20" spans="1:11">
      <c r="A20" s="14" t="s">
        <v>19689</v>
      </c>
      <c r="B20" s="14" t="s">
        <v>19690</v>
      </c>
      <c r="C20" s="14" t="s">
        <v>16096</v>
      </c>
      <c r="D20" s="14">
        <v>9</v>
      </c>
      <c r="E20" s="14">
        <v>1239</v>
      </c>
      <c r="F20" s="14">
        <v>18</v>
      </c>
      <c r="G20" s="14">
        <v>15605</v>
      </c>
      <c r="H20" s="36">
        <v>3.06578575289698e-6</v>
      </c>
      <c r="I20" s="14">
        <v>0.000243389324493877</v>
      </c>
      <c r="J20" s="14">
        <v>6.29741727199354</v>
      </c>
      <c r="K20" s="14" t="s">
        <v>19691</v>
      </c>
    </row>
    <row r="21" spans="1:11">
      <c r="A21" s="14" t="s">
        <v>19692</v>
      </c>
      <c r="B21" s="14" t="s">
        <v>19693</v>
      </c>
      <c r="C21" s="14" t="s">
        <v>16090</v>
      </c>
      <c r="D21" s="14">
        <v>9</v>
      </c>
      <c r="E21" s="14">
        <v>1239</v>
      </c>
      <c r="F21" s="14">
        <v>20</v>
      </c>
      <c r="G21" s="14">
        <v>15605</v>
      </c>
      <c r="H21" s="36">
        <v>9.15077279694343e-6</v>
      </c>
      <c r="I21" s="14">
        <v>0.000688234438254324</v>
      </c>
      <c r="J21" s="14">
        <v>5.66767554479419</v>
      </c>
      <c r="K21" s="14" t="s">
        <v>19694</v>
      </c>
    </row>
    <row r="22" spans="1:11">
      <c r="A22" s="14" t="s">
        <v>18714</v>
      </c>
      <c r="B22" s="14" t="s">
        <v>18715</v>
      </c>
      <c r="C22" s="14" t="s">
        <v>16090</v>
      </c>
      <c r="D22" s="14">
        <v>7</v>
      </c>
      <c r="E22" s="14">
        <v>1239</v>
      </c>
      <c r="F22" s="14">
        <v>12</v>
      </c>
      <c r="G22" s="14">
        <v>15605</v>
      </c>
      <c r="H22" s="36">
        <v>1.08503506061701e-5</v>
      </c>
      <c r="I22" s="14">
        <v>0.000775257550810855</v>
      </c>
      <c r="J22" s="14">
        <v>7.3469868173258</v>
      </c>
      <c r="K22" s="14" t="s">
        <v>19695</v>
      </c>
    </row>
    <row r="23" spans="1:11">
      <c r="A23" s="14" t="s">
        <v>19214</v>
      </c>
      <c r="B23" s="14" t="s">
        <v>19215</v>
      </c>
      <c r="C23" s="14" t="s">
        <v>16090</v>
      </c>
      <c r="D23" s="14">
        <v>9</v>
      </c>
      <c r="E23" s="14">
        <v>1239</v>
      </c>
      <c r="F23" s="14">
        <v>22</v>
      </c>
      <c r="G23" s="14">
        <v>15605</v>
      </c>
      <c r="H23" s="36">
        <v>2.34211076956468e-5</v>
      </c>
      <c r="I23" s="14">
        <v>0.00159375061414663</v>
      </c>
      <c r="J23" s="14">
        <v>5.15243231344926</v>
      </c>
      <c r="K23" s="14" t="s">
        <v>19696</v>
      </c>
    </row>
    <row r="24" spans="1:11">
      <c r="A24" s="14" t="s">
        <v>19608</v>
      </c>
      <c r="B24" s="14" t="s">
        <v>19609</v>
      </c>
      <c r="C24" s="14" t="s">
        <v>16096</v>
      </c>
      <c r="D24" s="14">
        <v>70</v>
      </c>
      <c r="E24" s="14">
        <v>1239</v>
      </c>
      <c r="F24" s="14">
        <v>540</v>
      </c>
      <c r="G24" s="14">
        <v>15605</v>
      </c>
      <c r="H24" s="36">
        <v>2.93392141999503e-5</v>
      </c>
      <c r="I24" s="14">
        <v>0.00190571532235132</v>
      </c>
      <c r="J24" s="14">
        <v>1.63266373718351</v>
      </c>
      <c r="K24" s="14" t="s">
        <v>19697</v>
      </c>
    </row>
    <row r="25" spans="1:11">
      <c r="A25" s="14" t="s">
        <v>18726</v>
      </c>
      <c r="B25" s="14" t="s">
        <v>18727</v>
      </c>
      <c r="C25" s="14" t="s">
        <v>16086</v>
      </c>
      <c r="D25" s="14">
        <v>12</v>
      </c>
      <c r="E25" s="14">
        <v>1239</v>
      </c>
      <c r="F25" s="14">
        <v>39</v>
      </c>
      <c r="G25" s="14">
        <v>15605</v>
      </c>
      <c r="H25" s="36">
        <v>3.0880955505313e-5</v>
      </c>
      <c r="I25" s="14">
        <v>0.00191864719204749</v>
      </c>
      <c r="J25" s="14">
        <v>3.87533370584218</v>
      </c>
      <c r="K25" s="14" t="s">
        <v>19698</v>
      </c>
    </row>
    <row r="26" spans="1:11">
      <c r="A26" s="14" t="s">
        <v>16565</v>
      </c>
      <c r="B26" s="14" t="s">
        <v>16566</v>
      </c>
      <c r="C26" s="14" t="s">
        <v>16086</v>
      </c>
      <c r="D26" s="14">
        <v>30</v>
      </c>
      <c r="E26" s="14">
        <v>1239</v>
      </c>
      <c r="F26" s="14">
        <v>173</v>
      </c>
      <c r="G26" s="14">
        <v>15605</v>
      </c>
      <c r="H26" s="36">
        <v>3.7851941589416e-5</v>
      </c>
      <c r="I26" s="14">
        <v>0.00225376768880315</v>
      </c>
      <c r="J26" s="14">
        <v>2.18407535444863</v>
      </c>
      <c r="K26" s="14" t="s">
        <v>19699</v>
      </c>
    </row>
    <row r="27" spans="1:11">
      <c r="A27" s="14" t="s">
        <v>17165</v>
      </c>
      <c r="B27" s="14" t="s">
        <v>17166</v>
      </c>
      <c r="C27" s="14" t="s">
        <v>16090</v>
      </c>
      <c r="D27" s="14">
        <v>8</v>
      </c>
      <c r="E27" s="14">
        <v>1239</v>
      </c>
      <c r="F27" s="14">
        <v>19</v>
      </c>
      <c r="G27" s="14">
        <v>15605</v>
      </c>
      <c r="H27" s="36">
        <v>5.27223741275307e-5</v>
      </c>
      <c r="I27" s="14">
        <v>0.00301361090512966</v>
      </c>
      <c r="J27" s="14">
        <v>5.30308822904719</v>
      </c>
      <c r="K27" s="14" t="s">
        <v>19700</v>
      </c>
    </row>
    <row r="28" spans="1:11">
      <c r="A28" s="14" t="s">
        <v>19122</v>
      </c>
      <c r="B28" s="14" t="s">
        <v>19123</v>
      </c>
      <c r="C28" s="14" t="s">
        <v>16090</v>
      </c>
      <c r="D28" s="14">
        <v>8</v>
      </c>
      <c r="E28" s="14">
        <v>1239</v>
      </c>
      <c r="F28" s="14">
        <v>20</v>
      </c>
      <c r="G28" s="14">
        <v>15605</v>
      </c>
      <c r="H28" s="36">
        <v>8.17701083479223e-5</v>
      </c>
      <c r="I28" s="14">
        <v>0.0044942109549685</v>
      </c>
      <c r="J28" s="14">
        <v>5.03793381759483</v>
      </c>
      <c r="K28" s="14" t="s">
        <v>19701</v>
      </c>
    </row>
    <row r="29" spans="1:11">
      <c r="A29" s="14" t="s">
        <v>16508</v>
      </c>
      <c r="B29" s="14" t="s">
        <v>16509</v>
      </c>
      <c r="C29" s="14" t="s">
        <v>16086</v>
      </c>
      <c r="D29" s="14">
        <v>17</v>
      </c>
      <c r="E29" s="14">
        <v>1239</v>
      </c>
      <c r="F29" s="14">
        <v>78</v>
      </c>
      <c r="G29" s="14">
        <v>15605</v>
      </c>
      <c r="H29" s="14">
        <v>0.00010640122592711</v>
      </c>
      <c r="I29" s="14">
        <v>0.00563138340184592</v>
      </c>
      <c r="J29" s="14">
        <v>2.74502804163821</v>
      </c>
      <c r="K29" s="14" t="s">
        <v>19702</v>
      </c>
    </row>
    <row r="30" spans="1:11">
      <c r="A30" s="14" t="s">
        <v>16694</v>
      </c>
      <c r="B30" s="14" t="s">
        <v>16695</v>
      </c>
      <c r="C30" s="14" t="s">
        <v>16086</v>
      </c>
      <c r="D30" s="14">
        <v>6</v>
      </c>
      <c r="E30" s="14">
        <v>1239</v>
      </c>
      <c r="F30" s="14">
        <v>12</v>
      </c>
      <c r="G30" s="14">
        <v>15605</v>
      </c>
      <c r="H30" s="14">
        <v>0.000150509004021455</v>
      </c>
      <c r="I30" s="14">
        <v>0.0075590073171046</v>
      </c>
      <c r="J30" s="14">
        <v>6.29741727199354</v>
      </c>
      <c r="K30" s="14" t="s">
        <v>19703</v>
      </c>
    </row>
    <row r="31" spans="1:11">
      <c r="A31" s="14" t="s">
        <v>19704</v>
      </c>
      <c r="B31" s="14" t="s">
        <v>19705</v>
      </c>
      <c r="C31" s="14" t="s">
        <v>16090</v>
      </c>
      <c r="D31" s="14">
        <v>9</v>
      </c>
      <c r="E31" s="14">
        <v>1239</v>
      </c>
      <c r="F31" s="14">
        <v>27</v>
      </c>
      <c r="G31" s="14">
        <v>15605</v>
      </c>
      <c r="H31" s="14">
        <v>0.000153401827988827</v>
      </c>
      <c r="I31" s="14">
        <v>0.0075590073171046</v>
      </c>
      <c r="J31" s="14">
        <v>4.19827818132903</v>
      </c>
      <c r="K31" s="14" t="s">
        <v>19706</v>
      </c>
    </row>
    <row r="32" spans="1:11">
      <c r="A32" s="14" t="s">
        <v>17510</v>
      </c>
      <c r="B32" s="14" t="s">
        <v>17511</v>
      </c>
      <c r="C32" s="14" t="s">
        <v>16090</v>
      </c>
      <c r="D32" s="14">
        <v>4</v>
      </c>
      <c r="E32" s="14">
        <v>1239</v>
      </c>
      <c r="F32" s="14">
        <v>5</v>
      </c>
      <c r="G32" s="14">
        <v>15605</v>
      </c>
      <c r="H32" s="14">
        <v>0.000185288718018944</v>
      </c>
      <c r="I32" s="14">
        <v>0.00854121219513134</v>
      </c>
      <c r="J32" s="14">
        <v>10.0758676351897</v>
      </c>
      <c r="K32" s="14" t="s">
        <v>19707</v>
      </c>
    </row>
    <row r="33" spans="1:11">
      <c r="A33" s="14" t="s">
        <v>19708</v>
      </c>
      <c r="B33" s="14" t="s">
        <v>19709</v>
      </c>
      <c r="C33" s="14" t="s">
        <v>16090</v>
      </c>
      <c r="D33" s="14">
        <v>4</v>
      </c>
      <c r="E33" s="14">
        <v>1239</v>
      </c>
      <c r="F33" s="14">
        <v>5</v>
      </c>
      <c r="G33" s="14">
        <v>15605</v>
      </c>
      <c r="H33" s="14">
        <v>0.000185288718018944</v>
      </c>
      <c r="I33" s="14">
        <v>0.00854121219513134</v>
      </c>
      <c r="J33" s="14">
        <v>10.0758676351897</v>
      </c>
      <c r="K33" s="14" t="s">
        <v>19710</v>
      </c>
    </row>
    <row r="34" spans="1:11">
      <c r="A34" s="14" t="s">
        <v>19431</v>
      </c>
      <c r="B34" s="14" t="s">
        <v>19432</v>
      </c>
      <c r="C34" s="14" t="s">
        <v>16090</v>
      </c>
      <c r="D34" s="14">
        <v>10</v>
      </c>
      <c r="E34" s="14">
        <v>1239</v>
      </c>
      <c r="F34" s="14">
        <v>35</v>
      </c>
      <c r="G34" s="14">
        <v>15605</v>
      </c>
      <c r="H34" s="14">
        <v>0.000279686434829315</v>
      </c>
      <c r="I34" s="14">
        <v>0.0124897473553466</v>
      </c>
      <c r="J34" s="14">
        <v>3.59852415542488</v>
      </c>
      <c r="K34" s="14" t="s">
        <v>19711</v>
      </c>
    </row>
    <row r="35" spans="1:11">
      <c r="A35" s="14" t="s">
        <v>19712</v>
      </c>
      <c r="B35" s="14" t="s">
        <v>19713</v>
      </c>
      <c r="C35" s="14" t="s">
        <v>16090</v>
      </c>
      <c r="D35" s="14">
        <v>5</v>
      </c>
      <c r="E35" s="14">
        <v>1239</v>
      </c>
      <c r="F35" s="14">
        <v>9</v>
      </c>
      <c r="G35" s="14">
        <v>15605</v>
      </c>
      <c r="H35" s="14">
        <v>0.000300662918923599</v>
      </c>
      <c r="I35" s="14">
        <v>0.0130196154891462</v>
      </c>
      <c r="J35" s="14">
        <v>6.99713030221505</v>
      </c>
      <c r="K35" s="14" t="s">
        <v>19714</v>
      </c>
    </row>
    <row r="36" spans="1:11">
      <c r="A36" s="14" t="s">
        <v>18626</v>
      </c>
      <c r="B36" s="14" t="s">
        <v>18627</v>
      </c>
      <c r="C36" s="14" t="s">
        <v>16096</v>
      </c>
      <c r="D36" s="14">
        <v>8</v>
      </c>
      <c r="E36" s="14">
        <v>1239</v>
      </c>
      <c r="F36" s="14">
        <v>24</v>
      </c>
      <c r="G36" s="14">
        <v>15605</v>
      </c>
      <c r="H36" s="14">
        <v>0.000358290308528463</v>
      </c>
      <c r="I36" s="14">
        <v>0.0150587309084463</v>
      </c>
      <c r="J36" s="14">
        <v>4.19827818132903</v>
      </c>
      <c r="K36" s="14" t="s">
        <v>19715</v>
      </c>
    </row>
    <row r="37" spans="1:11">
      <c r="A37" s="14" t="s">
        <v>19716</v>
      </c>
      <c r="B37" s="14" t="s">
        <v>19717</v>
      </c>
      <c r="C37" s="14" t="s">
        <v>16090</v>
      </c>
      <c r="D37" s="14">
        <v>4</v>
      </c>
      <c r="E37" s="14">
        <v>1239</v>
      </c>
      <c r="F37" s="14">
        <v>6</v>
      </c>
      <c r="G37" s="14">
        <v>15605</v>
      </c>
      <c r="H37" s="14">
        <v>0.00052076087568466</v>
      </c>
      <c r="I37" s="14">
        <v>0.0195833497724573</v>
      </c>
      <c r="J37" s="14">
        <v>8.39655636265806</v>
      </c>
      <c r="K37" s="14" t="s">
        <v>19718</v>
      </c>
    </row>
    <row r="38" spans="1:11">
      <c r="A38" s="14" t="s">
        <v>19719</v>
      </c>
      <c r="B38" s="14" t="s">
        <v>19720</v>
      </c>
      <c r="C38" s="14" t="s">
        <v>16086</v>
      </c>
      <c r="D38" s="14">
        <v>4</v>
      </c>
      <c r="E38" s="14">
        <v>1239</v>
      </c>
      <c r="F38" s="14">
        <v>6</v>
      </c>
      <c r="G38" s="14">
        <v>15605</v>
      </c>
      <c r="H38" s="14">
        <v>0.00052076087568466</v>
      </c>
      <c r="I38" s="14">
        <v>0.0195833497724573</v>
      </c>
      <c r="J38" s="14">
        <v>8.39655636265806</v>
      </c>
      <c r="K38" s="14" t="s">
        <v>19721</v>
      </c>
    </row>
    <row r="39" spans="1:11">
      <c r="A39" s="14" t="s">
        <v>19722</v>
      </c>
      <c r="B39" s="14" t="s">
        <v>19723</v>
      </c>
      <c r="C39" s="14" t="s">
        <v>16090</v>
      </c>
      <c r="D39" s="14">
        <v>4</v>
      </c>
      <c r="E39" s="14">
        <v>1239</v>
      </c>
      <c r="F39" s="14">
        <v>6</v>
      </c>
      <c r="G39" s="14">
        <v>15605</v>
      </c>
      <c r="H39" s="14">
        <v>0.00052076087568466</v>
      </c>
      <c r="I39" s="14">
        <v>0.0195833497724573</v>
      </c>
      <c r="J39" s="14">
        <v>8.39655636265806</v>
      </c>
      <c r="K39" s="14" t="s">
        <v>19724</v>
      </c>
    </row>
    <row r="40" spans="1:11">
      <c r="A40" s="14" t="s">
        <v>19725</v>
      </c>
      <c r="B40" s="14" t="s">
        <v>19726</v>
      </c>
      <c r="C40" s="14" t="s">
        <v>16090</v>
      </c>
      <c r="D40" s="14">
        <v>4</v>
      </c>
      <c r="E40" s="14">
        <v>1239</v>
      </c>
      <c r="F40" s="14">
        <v>6</v>
      </c>
      <c r="G40" s="14">
        <v>15605</v>
      </c>
      <c r="H40" s="14">
        <v>0.00052076087568466</v>
      </c>
      <c r="I40" s="14">
        <v>0.0195833497724573</v>
      </c>
      <c r="J40" s="14">
        <v>8.39655636265806</v>
      </c>
      <c r="K40" s="14" t="s">
        <v>19727</v>
      </c>
    </row>
    <row r="41" spans="1:11">
      <c r="A41" s="14" t="s">
        <v>19728</v>
      </c>
      <c r="B41" s="14" t="s">
        <v>19729</v>
      </c>
      <c r="C41" s="14" t="s">
        <v>16090</v>
      </c>
      <c r="D41" s="14">
        <v>5</v>
      </c>
      <c r="E41" s="14">
        <v>1239</v>
      </c>
      <c r="F41" s="14">
        <v>10</v>
      </c>
      <c r="G41" s="14">
        <v>15605</v>
      </c>
      <c r="H41" s="14">
        <v>0.000562005087957242</v>
      </c>
      <c r="I41" s="14">
        <v>0.0205924428382282</v>
      </c>
      <c r="J41" s="14">
        <v>6.29741727199354</v>
      </c>
      <c r="K41" s="14" t="s">
        <v>19730</v>
      </c>
    </row>
    <row r="42" spans="1:11">
      <c r="A42" s="14" t="s">
        <v>18669</v>
      </c>
      <c r="B42" s="14" t="s">
        <v>18670</v>
      </c>
      <c r="C42" s="14" t="s">
        <v>16090</v>
      </c>
      <c r="D42" s="14">
        <v>10</v>
      </c>
      <c r="E42" s="14">
        <v>1239</v>
      </c>
      <c r="F42" s="14">
        <v>38</v>
      </c>
      <c r="G42" s="14">
        <v>15605</v>
      </c>
      <c r="H42" s="14">
        <v>0.000578617300949821</v>
      </c>
      <c r="I42" s="14">
        <v>0.0206711030764323</v>
      </c>
      <c r="J42" s="14">
        <v>3.3144301431545</v>
      </c>
      <c r="K42" s="14" t="s">
        <v>19731</v>
      </c>
    </row>
    <row r="43" spans="1:11">
      <c r="A43" s="14" t="s">
        <v>16764</v>
      </c>
      <c r="B43" s="14" t="s">
        <v>16765</v>
      </c>
      <c r="C43" s="14" t="s">
        <v>16090</v>
      </c>
      <c r="D43" s="14">
        <v>7</v>
      </c>
      <c r="E43" s="14">
        <v>1239</v>
      </c>
      <c r="F43" s="14">
        <v>20</v>
      </c>
      <c r="G43" s="14">
        <v>15605</v>
      </c>
      <c r="H43" s="14">
        <v>0.000602438411294351</v>
      </c>
      <c r="I43" s="14">
        <v>0.0209971826765763</v>
      </c>
      <c r="J43" s="14">
        <v>4.40819209039548</v>
      </c>
      <c r="K43" s="14" t="s">
        <v>19732</v>
      </c>
    </row>
    <row r="44" spans="1:11">
      <c r="A44" s="14" t="s">
        <v>16303</v>
      </c>
      <c r="B44" s="14" t="s">
        <v>16304</v>
      </c>
      <c r="C44" s="14" t="s">
        <v>16086</v>
      </c>
      <c r="D44" s="14">
        <v>43</v>
      </c>
      <c r="E44" s="14">
        <v>1239</v>
      </c>
      <c r="F44" s="14">
        <v>325</v>
      </c>
      <c r="G44" s="14">
        <v>15605</v>
      </c>
      <c r="H44" s="14">
        <v>0.000636640323056982</v>
      </c>
      <c r="I44" s="14">
        <v>0.0216609290868673</v>
      </c>
      <c r="J44" s="14">
        <v>1.66639349351214</v>
      </c>
      <c r="K44" s="14" t="s">
        <v>19733</v>
      </c>
    </row>
    <row r="45" spans="1:11">
      <c r="A45" s="14" t="s">
        <v>19469</v>
      </c>
      <c r="B45" s="14" t="s">
        <v>19470</v>
      </c>
      <c r="C45" s="14" t="s">
        <v>16090</v>
      </c>
      <c r="D45" s="14">
        <v>10</v>
      </c>
      <c r="E45" s="14">
        <v>1239</v>
      </c>
      <c r="F45" s="14">
        <v>40</v>
      </c>
      <c r="G45" s="14">
        <v>15605</v>
      </c>
      <c r="H45" s="14">
        <v>0.00089691196820326</v>
      </c>
      <c r="I45" s="14">
        <v>0.0298066791293595</v>
      </c>
      <c r="J45" s="14">
        <v>3.14870863599677</v>
      </c>
      <c r="K45" s="14" t="s">
        <v>19734</v>
      </c>
    </row>
    <row r="46" spans="1:11">
      <c r="A46" s="14" t="s">
        <v>19735</v>
      </c>
      <c r="B46" s="14" t="s">
        <v>19736</v>
      </c>
      <c r="C46" s="14" t="s">
        <v>16090</v>
      </c>
      <c r="D46" s="14">
        <v>5</v>
      </c>
      <c r="E46" s="14">
        <v>1239</v>
      </c>
      <c r="F46" s="14">
        <v>11</v>
      </c>
      <c r="G46" s="14">
        <v>15605</v>
      </c>
      <c r="H46" s="14">
        <v>0.000963109596826766</v>
      </c>
      <c r="I46" s="14">
        <v>0.0312791730423966</v>
      </c>
      <c r="J46" s="14">
        <v>5.7249247927214</v>
      </c>
      <c r="K46" s="14" t="s">
        <v>19737</v>
      </c>
    </row>
    <row r="47" spans="1:11">
      <c r="A47" s="14" t="s">
        <v>19020</v>
      </c>
      <c r="B47" s="14" t="s">
        <v>19021</v>
      </c>
      <c r="C47" s="14" t="s">
        <v>16086</v>
      </c>
      <c r="D47" s="14">
        <v>11</v>
      </c>
      <c r="E47" s="14">
        <v>1239</v>
      </c>
      <c r="F47" s="14">
        <v>48</v>
      </c>
      <c r="G47" s="14">
        <v>15605</v>
      </c>
      <c r="H47" s="14">
        <v>0.00110335336600117</v>
      </c>
      <c r="I47" s="14">
        <v>0.0332048669546158</v>
      </c>
      <c r="J47" s="14">
        <v>2.88631624966371</v>
      </c>
      <c r="K47" s="14" t="s">
        <v>19738</v>
      </c>
    </row>
    <row r="48" spans="1:11">
      <c r="A48" s="14" t="s">
        <v>19739</v>
      </c>
      <c r="B48" s="14" t="s">
        <v>19740</v>
      </c>
      <c r="C48" s="14" t="s">
        <v>16090</v>
      </c>
      <c r="D48" s="14">
        <v>4</v>
      </c>
      <c r="E48" s="14">
        <v>1239</v>
      </c>
      <c r="F48" s="14">
        <v>7</v>
      </c>
      <c r="G48" s="14">
        <v>15605</v>
      </c>
      <c r="H48" s="14">
        <v>0.00113858536093504</v>
      </c>
      <c r="I48" s="14">
        <v>0.0332048669546158</v>
      </c>
      <c r="J48" s="14">
        <v>7.19704831084976</v>
      </c>
      <c r="K48" s="14" t="s">
        <v>19741</v>
      </c>
    </row>
    <row r="49" spans="1:11">
      <c r="A49" s="14" t="s">
        <v>19742</v>
      </c>
      <c r="B49" s="14" t="s">
        <v>19743</v>
      </c>
      <c r="C49" s="14" t="s">
        <v>16090</v>
      </c>
      <c r="D49" s="14">
        <v>4</v>
      </c>
      <c r="E49" s="14">
        <v>1239</v>
      </c>
      <c r="F49" s="14">
        <v>7</v>
      </c>
      <c r="G49" s="14">
        <v>15605</v>
      </c>
      <c r="H49" s="14">
        <v>0.00113858536093504</v>
      </c>
      <c r="I49" s="14">
        <v>0.0332048669546158</v>
      </c>
      <c r="J49" s="14">
        <v>7.19704831084976</v>
      </c>
      <c r="K49" s="14" t="s">
        <v>19744</v>
      </c>
    </row>
    <row r="50" spans="1:11">
      <c r="A50" s="14" t="s">
        <v>19745</v>
      </c>
      <c r="B50" s="14" t="s">
        <v>19746</v>
      </c>
      <c r="C50" s="14" t="s">
        <v>16090</v>
      </c>
      <c r="D50" s="14">
        <v>4</v>
      </c>
      <c r="E50" s="14">
        <v>1239</v>
      </c>
      <c r="F50" s="14">
        <v>7</v>
      </c>
      <c r="G50" s="14">
        <v>15605</v>
      </c>
      <c r="H50" s="14">
        <v>0.00113858536093504</v>
      </c>
      <c r="I50" s="14">
        <v>0.0332048669546158</v>
      </c>
      <c r="J50" s="14">
        <v>7.19704831084976</v>
      </c>
      <c r="K50" s="14" t="s">
        <v>19747</v>
      </c>
    </row>
    <row r="51" spans="1:11">
      <c r="A51" s="14" t="s">
        <v>19748</v>
      </c>
      <c r="B51" s="14" t="s">
        <v>19749</v>
      </c>
      <c r="C51" s="14" t="s">
        <v>16090</v>
      </c>
      <c r="D51" s="14">
        <v>4</v>
      </c>
      <c r="E51" s="14">
        <v>1239</v>
      </c>
      <c r="F51" s="14">
        <v>7</v>
      </c>
      <c r="G51" s="14">
        <v>15605</v>
      </c>
      <c r="H51" s="14">
        <v>0.00113858536093504</v>
      </c>
      <c r="I51" s="14">
        <v>0.0332048669546158</v>
      </c>
      <c r="J51" s="14">
        <v>7.19704831084976</v>
      </c>
      <c r="K51" s="14" t="s">
        <v>19750</v>
      </c>
    </row>
    <row r="52" spans="1:11">
      <c r="A52" s="14" t="s">
        <v>19751</v>
      </c>
      <c r="B52" s="14" t="s">
        <v>19752</v>
      </c>
      <c r="C52" s="14" t="s">
        <v>16090</v>
      </c>
      <c r="D52" s="14">
        <v>5</v>
      </c>
      <c r="E52" s="14">
        <v>1239</v>
      </c>
      <c r="F52" s="14">
        <v>12</v>
      </c>
      <c r="G52" s="14">
        <v>15605</v>
      </c>
      <c r="H52" s="14">
        <v>0.0015435385916877</v>
      </c>
      <c r="I52" s="14">
        <v>0.0441143329504344</v>
      </c>
      <c r="J52" s="14">
        <v>5.24784772666129</v>
      </c>
      <c r="K52" s="14" t="s">
        <v>19753</v>
      </c>
    </row>
    <row r="53" spans="1:11">
      <c r="A53" s="14" t="s">
        <v>19182</v>
      </c>
      <c r="B53" s="14" t="s">
        <v>19183</v>
      </c>
      <c r="C53" s="14" t="s">
        <v>16090</v>
      </c>
      <c r="D53" s="14">
        <v>20</v>
      </c>
      <c r="E53" s="14">
        <v>1239</v>
      </c>
      <c r="F53" s="14">
        <v>123</v>
      </c>
      <c r="G53" s="14">
        <v>15605</v>
      </c>
      <c r="H53" s="14">
        <v>0.00160959967795483</v>
      </c>
      <c r="I53" s="14">
        <v>0.0451003517607343</v>
      </c>
      <c r="J53" s="14">
        <v>2.04794057625806</v>
      </c>
      <c r="K53" s="14" t="s">
        <v>19754</v>
      </c>
    </row>
    <row r="54" spans="1:11">
      <c r="A54" s="14" t="s">
        <v>16124</v>
      </c>
      <c r="B54" s="14" t="s">
        <v>16125</v>
      </c>
      <c r="C54" s="14" t="s">
        <v>16086</v>
      </c>
      <c r="D54" s="14">
        <v>44</v>
      </c>
      <c r="E54" s="14">
        <v>1239</v>
      </c>
      <c r="F54" s="14">
        <v>351</v>
      </c>
      <c r="G54" s="14">
        <v>15605</v>
      </c>
      <c r="H54" s="14">
        <v>0.00167591779430287</v>
      </c>
      <c r="I54" s="14">
        <v>0.0460555101549768</v>
      </c>
      <c r="J54" s="14">
        <v>1.5788396579357</v>
      </c>
      <c r="K54" s="14" t="s">
        <v>19755</v>
      </c>
    </row>
    <row r="55" spans="1:11">
      <c r="A55" s="14" t="s">
        <v>17415</v>
      </c>
      <c r="B55" s="14" t="s">
        <v>17416</v>
      </c>
      <c r="C55" s="14" t="s">
        <v>16090</v>
      </c>
      <c r="D55" s="14">
        <v>10</v>
      </c>
      <c r="E55" s="14">
        <v>1239</v>
      </c>
      <c r="F55" s="14">
        <v>44</v>
      </c>
      <c r="G55" s="14">
        <v>15605</v>
      </c>
      <c r="H55" s="14">
        <v>0.00196354638306816</v>
      </c>
      <c r="I55" s="14">
        <v>0.0529416562529132</v>
      </c>
      <c r="J55" s="14">
        <v>2.8624623963607</v>
      </c>
      <c r="K55" s="14" t="s">
        <v>19756</v>
      </c>
    </row>
    <row r="56" spans="1:11">
      <c r="A56" s="14" t="s">
        <v>19757</v>
      </c>
      <c r="B56" s="14" t="s">
        <v>19758</v>
      </c>
      <c r="C56" s="14" t="s">
        <v>16096</v>
      </c>
      <c r="D56" s="14">
        <v>4</v>
      </c>
      <c r="E56" s="14">
        <v>1239</v>
      </c>
      <c r="F56" s="14">
        <v>8</v>
      </c>
      <c r="G56" s="14">
        <v>15605</v>
      </c>
      <c r="H56" s="14">
        <v>0.00213417280117671</v>
      </c>
      <c r="I56" s="14">
        <v>0.0564765357941023</v>
      </c>
      <c r="J56" s="14">
        <v>6.29741727199354</v>
      </c>
      <c r="K56" s="14" t="s">
        <v>19759</v>
      </c>
    </row>
    <row r="57" spans="1:11">
      <c r="A57" s="14" t="s">
        <v>16368</v>
      </c>
      <c r="B57" s="14" t="s">
        <v>16369</v>
      </c>
      <c r="C57" s="14" t="s">
        <v>16090</v>
      </c>
      <c r="D57" s="14">
        <v>8</v>
      </c>
      <c r="E57" s="14">
        <v>1239</v>
      </c>
      <c r="F57" s="14">
        <v>31</v>
      </c>
      <c r="G57" s="14">
        <v>15605</v>
      </c>
      <c r="H57" s="14">
        <v>0.00233290714212205</v>
      </c>
      <c r="I57" s="14">
        <v>0.0606131692016803</v>
      </c>
      <c r="J57" s="14">
        <v>3.25027988231925</v>
      </c>
      <c r="K57" s="14" t="s">
        <v>19760</v>
      </c>
    </row>
    <row r="58" spans="1:11">
      <c r="A58" s="14" t="s">
        <v>18217</v>
      </c>
      <c r="B58" s="14" t="s">
        <v>18218</v>
      </c>
      <c r="C58" s="14" t="s">
        <v>16090</v>
      </c>
      <c r="D58" s="14">
        <v>22</v>
      </c>
      <c r="E58" s="14">
        <v>1239</v>
      </c>
      <c r="F58" s="14">
        <v>146</v>
      </c>
      <c r="G58" s="14">
        <v>15605</v>
      </c>
      <c r="H58" s="14">
        <v>0.00263003938607771</v>
      </c>
      <c r="I58" s="14">
        <v>0.0671129693340187</v>
      </c>
      <c r="J58" s="14">
        <v>1.89785178060079</v>
      </c>
      <c r="K58" s="14" t="s">
        <v>19761</v>
      </c>
    </row>
    <row r="59" spans="1:11">
      <c r="A59" s="14" t="s">
        <v>19368</v>
      </c>
      <c r="B59" s="14" t="s">
        <v>19369</v>
      </c>
      <c r="C59" s="14" t="s">
        <v>16096</v>
      </c>
      <c r="D59" s="14">
        <v>18</v>
      </c>
      <c r="E59" s="14">
        <v>1239</v>
      </c>
      <c r="F59" s="14">
        <v>112</v>
      </c>
      <c r="G59" s="14">
        <v>15605</v>
      </c>
      <c r="H59" s="14">
        <v>0.00306436684076633</v>
      </c>
      <c r="I59" s="14">
        <v>0.0768242143062296</v>
      </c>
      <c r="J59" s="14">
        <v>2.0241698374265</v>
      </c>
      <c r="K59" s="14" t="s">
        <v>19762</v>
      </c>
    </row>
    <row r="60" spans="1:11">
      <c r="A60" s="14" t="s">
        <v>17265</v>
      </c>
      <c r="B60" s="14" t="s">
        <v>17266</v>
      </c>
      <c r="C60" s="14" t="s">
        <v>16090</v>
      </c>
      <c r="D60" s="14">
        <v>13</v>
      </c>
      <c r="E60" s="14">
        <v>1239</v>
      </c>
      <c r="F60" s="14">
        <v>70</v>
      </c>
      <c r="G60" s="14">
        <v>15605</v>
      </c>
      <c r="H60" s="14">
        <v>0.00312642496736885</v>
      </c>
      <c r="I60" s="14">
        <v>0.0770286427305187</v>
      </c>
      <c r="J60" s="14">
        <v>2.33904070102617</v>
      </c>
      <c r="K60" s="14" t="s">
        <v>19763</v>
      </c>
    </row>
    <row r="61" spans="1:11">
      <c r="A61" s="14" t="s">
        <v>18826</v>
      </c>
      <c r="B61" s="14" t="s">
        <v>18827</v>
      </c>
      <c r="C61" s="14" t="s">
        <v>16090</v>
      </c>
      <c r="D61" s="14">
        <v>5</v>
      </c>
      <c r="E61" s="14">
        <v>1239</v>
      </c>
      <c r="F61" s="14">
        <v>14</v>
      </c>
      <c r="G61" s="14">
        <v>15605</v>
      </c>
      <c r="H61" s="14">
        <v>0.00341169995172734</v>
      </c>
      <c r="I61" s="14">
        <v>0.0826325293392944</v>
      </c>
      <c r="J61" s="14">
        <v>4.4981551942811</v>
      </c>
      <c r="K61" s="14" t="s">
        <v>19764</v>
      </c>
    </row>
    <row r="62" spans="1:11">
      <c r="A62" s="14" t="s">
        <v>19765</v>
      </c>
      <c r="B62" s="14" t="s">
        <v>19766</v>
      </c>
      <c r="C62" s="14" t="s">
        <v>16086</v>
      </c>
      <c r="D62" s="14">
        <v>4</v>
      </c>
      <c r="E62" s="14">
        <v>1239</v>
      </c>
      <c r="F62" s="14">
        <v>9</v>
      </c>
      <c r="G62" s="14">
        <v>15605</v>
      </c>
      <c r="H62" s="14">
        <v>0.00360098070697921</v>
      </c>
      <c r="I62" s="14">
        <v>0.0829967972624725</v>
      </c>
      <c r="J62" s="14">
        <v>5.59770424177204</v>
      </c>
      <c r="K62" s="14" t="s">
        <v>19767</v>
      </c>
    </row>
    <row r="63" spans="1:11">
      <c r="A63" s="14" t="s">
        <v>19768</v>
      </c>
      <c r="B63" s="14" t="s">
        <v>19769</v>
      </c>
      <c r="C63" s="14" t="s">
        <v>16086</v>
      </c>
      <c r="D63" s="14">
        <v>4</v>
      </c>
      <c r="E63" s="14">
        <v>1239</v>
      </c>
      <c r="F63" s="14">
        <v>9</v>
      </c>
      <c r="G63" s="14">
        <v>15605</v>
      </c>
      <c r="H63" s="14">
        <v>0.00360098070697921</v>
      </c>
      <c r="I63" s="14">
        <v>0.0829967972624725</v>
      </c>
      <c r="J63" s="14">
        <v>5.59770424177204</v>
      </c>
      <c r="K63" s="14" t="s">
        <v>19770</v>
      </c>
    </row>
    <row r="64" spans="1:11">
      <c r="A64" s="14" t="s">
        <v>17065</v>
      </c>
      <c r="B64" s="14" t="s">
        <v>17066</v>
      </c>
      <c r="C64" s="14" t="s">
        <v>16086</v>
      </c>
      <c r="D64" s="14">
        <v>4</v>
      </c>
      <c r="E64" s="14">
        <v>1239</v>
      </c>
      <c r="F64" s="14">
        <v>9</v>
      </c>
      <c r="G64" s="14">
        <v>15605</v>
      </c>
      <c r="H64" s="14">
        <v>0.00360098070697921</v>
      </c>
      <c r="I64" s="14">
        <v>0.0829967972624725</v>
      </c>
      <c r="J64" s="14">
        <v>5.59770424177204</v>
      </c>
      <c r="K64" s="14" t="s">
        <v>19771</v>
      </c>
    </row>
    <row r="65" spans="1:11">
      <c r="A65" s="14" t="s">
        <v>18803</v>
      </c>
      <c r="B65" s="14" t="s">
        <v>18804</v>
      </c>
      <c r="C65" s="14" t="s">
        <v>16090</v>
      </c>
      <c r="D65" s="14">
        <v>7</v>
      </c>
      <c r="E65" s="14">
        <v>1239</v>
      </c>
      <c r="F65" s="14">
        <v>27</v>
      </c>
      <c r="G65" s="14">
        <v>15605</v>
      </c>
      <c r="H65" s="14">
        <v>0.00422380519674118</v>
      </c>
      <c r="I65" s="14">
        <v>0.0889482726425072</v>
      </c>
      <c r="J65" s="14">
        <v>3.26532747436702</v>
      </c>
      <c r="K65" s="14" t="s">
        <v>19772</v>
      </c>
    </row>
    <row r="66" spans="1:11">
      <c r="A66" s="14" t="s">
        <v>19053</v>
      </c>
      <c r="B66" s="14" t="s">
        <v>19054</v>
      </c>
      <c r="C66" s="14" t="s">
        <v>16096</v>
      </c>
      <c r="D66" s="14">
        <v>8</v>
      </c>
      <c r="E66" s="14">
        <v>1239</v>
      </c>
      <c r="F66" s="14">
        <v>34</v>
      </c>
      <c r="G66" s="14">
        <v>15605</v>
      </c>
      <c r="H66" s="14">
        <v>0.00434088182699311</v>
      </c>
      <c r="I66" s="14">
        <v>0.0889482726425072</v>
      </c>
      <c r="J66" s="14">
        <v>2.96349048093814</v>
      </c>
      <c r="K66" s="14" t="s">
        <v>19773</v>
      </c>
    </row>
    <row r="67" spans="1:11">
      <c r="A67" s="14" t="s">
        <v>19774</v>
      </c>
      <c r="B67" s="14" t="s">
        <v>19775</v>
      </c>
      <c r="C67" s="14" t="s">
        <v>16086</v>
      </c>
      <c r="D67" s="14">
        <v>3</v>
      </c>
      <c r="E67" s="14">
        <v>1239</v>
      </c>
      <c r="F67" s="14">
        <v>5</v>
      </c>
      <c r="G67" s="14">
        <v>15605</v>
      </c>
      <c r="H67" s="14">
        <v>0.00441940332933381</v>
      </c>
      <c r="I67" s="14">
        <v>0.0889482726425072</v>
      </c>
      <c r="J67" s="14">
        <v>7.55690072639225</v>
      </c>
      <c r="K67" s="14" t="s">
        <v>19776</v>
      </c>
    </row>
    <row r="68" spans="1:11">
      <c r="A68" s="14" t="s">
        <v>19777</v>
      </c>
      <c r="B68" s="14" t="s">
        <v>19778</v>
      </c>
      <c r="C68" s="14" t="s">
        <v>16086</v>
      </c>
      <c r="D68" s="14">
        <v>3</v>
      </c>
      <c r="E68" s="14">
        <v>1239</v>
      </c>
      <c r="F68" s="14">
        <v>5</v>
      </c>
      <c r="G68" s="14">
        <v>15605</v>
      </c>
      <c r="H68" s="14">
        <v>0.00441940332933381</v>
      </c>
      <c r="I68" s="14">
        <v>0.0889482726425072</v>
      </c>
      <c r="J68" s="14">
        <v>7.55690072639225</v>
      </c>
      <c r="K68" s="14" t="s">
        <v>19779</v>
      </c>
    </row>
    <row r="69" spans="1:11">
      <c r="A69" s="14" t="s">
        <v>19780</v>
      </c>
      <c r="B69" s="14" t="s">
        <v>19781</v>
      </c>
      <c r="C69" s="14" t="s">
        <v>16090</v>
      </c>
      <c r="D69" s="14">
        <v>3</v>
      </c>
      <c r="E69" s="14">
        <v>1239</v>
      </c>
      <c r="F69" s="14">
        <v>5</v>
      </c>
      <c r="G69" s="14">
        <v>15605</v>
      </c>
      <c r="H69" s="14">
        <v>0.00441940332933381</v>
      </c>
      <c r="I69" s="14">
        <v>0.0889482726425072</v>
      </c>
      <c r="J69" s="14">
        <v>7.55690072639225</v>
      </c>
      <c r="K69" s="14" t="s">
        <v>19782</v>
      </c>
    </row>
    <row r="70" spans="1:11">
      <c r="A70" s="14" t="s">
        <v>19783</v>
      </c>
      <c r="B70" s="14" t="s">
        <v>19784</v>
      </c>
      <c r="C70" s="14" t="s">
        <v>16086</v>
      </c>
      <c r="D70" s="14">
        <v>3</v>
      </c>
      <c r="E70" s="14">
        <v>1239</v>
      </c>
      <c r="F70" s="14">
        <v>5</v>
      </c>
      <c r="G70" s="14">
        <v>15605</v>
      </c>
      <c r="H70" s="14">
        <v>0.00441940332933381</v>
      </c>
      <c r="I70" s="14">
        <v>0.0889482726425072</v>
      </c>
      <c r="J70" s="14">
        <v>7.55690072639225</v>
      </c>
      <c r="K70" s="14" t="s">
        <v>19785</v>
      </c>
    </row>
    <row r="71" spans="1:11">
      <c r="A71" s="14" t="s">
        <v>19786</v>
      </c>
      <c r="B71" s="14" t="s">
        <v>19787</v>
      </c>
      <c r="C71" s="14" t="s">
        <v>16090</v>
      </c>
      <c r="D71" s="14">
        <v>3</v>
      </c>
      <c r="E71" s="14">
        <v>1239</v>
      </c>
      <c r="F71" s="14">
        <v>5</v>
      </c>
      <c r="G71" s="14">
        <v>15605</v>
      </c>
      <c r="H71" s="14">
        <v>0.00441940332933381</v>
      </c>
      <c r="I71" s="14">
        <v>0.0889482726425072</v>
      </c>
      <c r="J71" s="14">
        <v>7.55690072639225</v>
      </c>
      <c r="K71" s="14" t="s">
        <v>19788</v>
      </c>
    </row>
    <row r="72" spans="1:11">
      <c r="A72" s="14" t="s">
        <v>19789</v>
      </c>
      <c r="B72" s="14" t="s">
        <v>19790</v>
      </c>
      <c r="C72" s="14" t="s">
        <v>16090</v>
      </c>
      <c r="D72" s="14">
        <v>3</v>
      </c>
      <c r="E72" s="14">
        <v>1239</v>
      </c>
      <c r="F72" s="14">
        <v>5</v>
      </c>
      <c r="G72" s="14">
        <v>15605</v>
      </c>
      <c r="H72" s="14">
        <v>0.00441940332933381</v>
      </c>
      <c r="I72" s="14">
        <v>0.0889482726425072</v>
      </c>
      <c r="J72" s="14">
        <v>7.55690072639225</v>
      </c>
      <c r="K72" s="14" t="s">
        <v>19791</v>
      </c>
    </row>
    <row r="73" spans="1:11">
      <c r="A73" s="14" t="s">
        <v>19792</v>
      </c>
      <c r="B73" s="14" t="s">
        <v>19793</v>
      </c>
      <c r="C73" s="14" t="s">
        <v>16090</v>
      </c>
      <c r="D73" s="14">
        <v>3</v>
      </c>
      <c r="E73" s="14">
        <v>1239</v>
      </c>
      <c r="F73" s="14">
        <v>5</v>
      </c>
      <c r="G73" s="14">
        <v>15605</v>
      </c>
      <c r="H73" s="14">
        <v>0.00441940332933381</v>
      </c>
      <c r="I73" s="14">
        <v>0.0889482726425072</v>
      </c>
      <c r="J73" s="14">
        <v>7.55690072639225</v>
      </c>
      <c r="K73" s="14" t="s">
        <v>19794</v>
      </c>
    </row>
    <row r="74" spans="1:11">
      <c r="A74" s="14" t="s">
        <v>18886</v>
      </c>
      <c r="B74" s="14" t="s">
        <v>18887</v>
      </c>
      <c r="C74" s="14" t="s">
        <v>16090</v>
      </c>
      <c r="D74" s="14">
        <v>5</v>
      </c>
      <c r="E74" s="14">
        <v>1239</v>
      </c>
      <c r="F74" s="14">
        <v>15</v>
      </c>
      <c r="G74" s="14">
        <v>15605</v>
      </c>
      <c r="H74" s="14">
        <v>0.00478651920378812</v>
      </c>
      <c r="I74" s="14">
        <v>0.0936977526330579</v>
      </c>
      <c r="J74" s="14">
        <v>4.19827818132903</v>
      </c>
      <c r="K74" s="14" t="s">
        <v>19795</v>
      </c>
    </row>
    <row r="75" spans="1:11">
      <c r="A75" s="14" t="s">
        <v>16925</v>
      </c>
      <c r="B75" s="14" t="s">
        <v>16926</v>
      </c>
      <c r="C75" s="14" t="s">
        <v>16090</v>
      </c>
      <c r="D75" s="14">
        <v>5</v>
      </c>
      <c r="E75" s="14">
        <v>1239</v>
      </c>
      <c r="F75" s="14">
        <v>15</v>
      </c>
      <c r="G75" s="14">
        <v>15605</v>
      </c>
      <c r="H75" s="14">
        <v>0.00478651920378812</v>
      </c>
      <c r="I75" s="14">
        <v>0.0936977526330579</v>
      </c>
      <c r="J75" s="14">
        <v>4.19827818132903</v>
      </c>
      <c r="K75" s="14" t="s">
        <v>19796</v>
      </c>
    </row>
    <row r="76" spans="1:11">
      <c r="A76" s="14" t="s">
        <v>19797</v>
      </c>
      <c r="B76" s="14" t="s">
        <v>19798</v>
      </c>
      <c r="C76" s="14" t="s">
        <v>16086</v>
      </c>
      <c r="D76" s="14">
        <v>4</v>
      </c>
      <c r="E76" s="14">
        <v>1239</v>
      </c>
      <c r="F76" s="14">
        <v>10</v>
      </c>
      <c r="G76" s="14">
        <v>15605</v>
      </c>
      <c r="H76" s="14">
        <v>0.00562696445299386</v>
      </c>
      <c r="I76" s="14">
        <v>0.105801739517477</v>
      </c>
      <c r="J76" s="14">
        <v>5.03793381759483</v>
      </c>
      <c r="K76" s="14" t="s">
        <v>19799</v>
      </c>
    </row>
    <row r="77" spans="1:11">
      <c r="A77" s="14" t="s">
        <v>16191</v>
      </c>
      <c r="B77" s="14" t="s">
        <v>16192</v>
      </c>
      <c r="C77" s="14" t="s">
        <v>16086</v>
      </c>
      <c r="D77" s="14">
        <v>4</v>
      </c>
      <c r="E77" s="14">
        <v>1239</v>
      </c>
      <c r="F77" s="14">
        <v>10</v>
      </c>
      <c r="G77" s="14">
        <v>15605</v>
      </c>
      <c r="H77" s="14">
        <v>0.00562696445299386</v>
      </c>
      <c r="I77" s="14">
        <v>0.105801739517477</v>
      </c>
      <c r="J77" s="14">
        <v>5.03793381759483</v>
      </c>
      <c r="K77" s="14" t="s">
        <v>19800</v>
      </c>
    </row>
    <row r="78" spans="1:11">
      <c r="A78" s="14" t="s">
        <v>17138</v>
      </c>
      <c r="B78" s="14" t="s">
        <v>17139</v>
      </c>
      <c r="C78" s="14" t="s">
        <v>16086</v>
      </c>
      <c r="D78" s="14">
        <v>4</v>
      </c>
      <c r="E78" s="14">
        <v>1239</v>
      </c>
      <c r="F78" s="14">
        <v>10</v>
      </c>
      <c r="G78" s="14">
        <v>15605</v>
      </c>
      <c r="H78" s="14">
        <v>0.00562696445299386</v>
      </c>
      <c r="I78" s="14">
        <v>0.105801739517477</v>
      </c>
      <c r="J78" s="14">
        <v>5.03793381759483</v>
      </c>
      <c r="K78" s="14" t="s">
        <v>19801</v>
      </c>
    </row>
    <row r="79" spans="1:11">
      <c r="A79" s="14" t="s">
        <v>17342</v>
      </c>
      <c r="B79" s="14" t="s">
        <v>17343</v>
      </c>
      <c r="C79" s="14" t="s">
        <v>16090</v>
      </c>
      <c r="D79" s="14">
        <v>6</v>
      </c>
      <c r="E79" s="14">
        <v>1239</v>
      </c>
      <c r="F79" s="14">
        <v>22</v>
      </c>
      <c r="G79" s="14">
        <v>15605</v>
      </c>
      <c r="H79" s="14">
        <v>0.00609840998561877</v>
      </c>
      <c r="I79" s="14">
        <v>0.113176985317522</v>
      </c>
      <c r="J79" s="14">
        <v>3.43495487563284</v>
      </c>
      <c r="K79" s="14" t="s">
        <v>19802</v>
      </c>
    </row>
    <row r="80" spans="1:11">
      <c r="A80" s="14" t="s">
        <v>19351</v>
      </c>
      <c r="B80" s="14" t="s">
        <v>19352</v>
      </c>
      <c r="C80" s="14" t="s">
        <v>16086</v>
      </c>
      <c r="D80" s="14">
        <v>7</v>
      </c>
      <c r="E80" s="14">
        <v>1239</v>
      </c>
      <c r="F80" s="14">
        <v>29</v>
      </c>
      <c r="G80" s="14">
        <v>15605</v>
      </c>
      <c r="H80" s="14">
        <v>0.00645813261141278</v>
      </c>
      <c r="I80" s="14">
        <v>0.117808926919667</v>
      </c>
      <c r="J80" s="14">
        <v>3.04013247613481</v>
      </c>
      <c r="K80" s="14" t="s">
        <v>19803</v>
      </c>
    </row>
    <row r="81" spans="1:11">
      <c r="A81" s="14" t="s">
        <v>19804</v>
      </c>
      <c r="B81" s="14" t="s">
        <v>19805</v>
      </c>
      <c r="C81" s="14" t="s">
        <v>16086</v>
      </c>
      <c r="D81" s="14">
        <v>5</v>
      </c>
      <c r="E81" s="14">
        <v>1239</v>
      </c>
      <c r="F81" s="14">
        <v>16</v>
      </c>
      <c r="G81" s="14">
        <v>15605</v>
      </c>
      <c r="H81" s="14">
        <v>0.00651287979471918</v>
      </c>
      <c r="I81" s="14">
        <v>0.117808926919667</v>
      </c>
      <c r="J81" s="14">
        <v>3.93588579499596</v>
      </c>
      <c r="K81" s="14" t="s">
        <v>19806</v>
      </c>
    </row>
    <row r="82" spans="1:11">
      <c r="A82" s="14" t="s">
        <v>18747</v>
      </c>
      <c r="B82" s="14" t="s">
        <v>18748</v>
      </c>
      <c r="C82" s="14" t="s">
        <v>16090</v>
      </c>
      <c r="D82" s="14">
        <v>21</v>
      </c>
      <c r="E82" s="14">
        <v>1239</v>
      </c>
      <c r="F82" s="14">
        <v>151</v>
      </c>
      <c r="G82" s="14">
        <v>15605</v>
      </c>
      <c r="H82" s="14">
        <v>0.00826979926184531</v>
      </c>
      <c r="I82" s="14">
        <v>0.135073720725939</v>
      </c>
      <c r="J82" s="14">
        <v>1.75159950611741</v>
      </c>
      <c r="K82" s="14" t="s">
        <v>19807</v>
      </c>
    </row>
    <row r="83" spans="1:11">
      <c r="A83" s="14" t="s">
        <v>19808</v>
      </c>
      <c r="B83" s="14" t="s">
        <v>19809</v>
      </c>
      <c r="C83" s="14" t="s">
        <v>16090</v>
      </c>
      <c r="D83" s="14">
        <v>4</v>
      </c>
      <c r="E83" s="14">
        <v>1239</v>
      </c>
      <c r="F83" s="14">
        <v>11</v>
      </c>
      <c r="G83" s="14">
        <v>15605</v>
      </c>
      <c r="H83" s="14">
        <v>0.00829202437080361</v>
      </c>
      <c r="I83" s="14">
        <v>0.135073720725939</v>
      </c>
      <c r="J83" s="14">
        <v>4.57993983417712</v>
      </c>
      <c r="K83" s="14" t="s">
        <v>19810</v>
      </c>
    </row>
    <row r="84" spans="1:11">
      <c r="A84" s="14" t="s">
        <v>19811</v>
      </c>
      <c r="B84" s="14" t="s">
        <v>19812</v>
      </c>
      <c r="C84" s="14" t="s">
        <v>16090</v>
      </c>
      <c r="D84" s="14">
        <v>4</v>
      </c>
      <c r="E84" s="14">
        <v>1239</v>
      </c>
      <c r="F84" s="14">
        <v>11</v>
      </c>
      <c r="G84" s="14">
        <v>15605</v>
      </c>
      <c r="H84" s="14">
        <v>0.00829202437080361</v>
      </c>
      <c r="I84" s="14">
        <v>0.135073720725939</v>
      </c>
      <c r="J84" s="14">
        <v>4.57993983417712</v>
      </c>
      <c r="K84" s="14" t="s">
        <v>19813</v>
      </c>
    </row>
    <row r="85" spans="1:11">
      <c r="A85" s="14" t="s">
        <v>18598</v>
      </c>
      <c r="B85" s="14" t="s">
        <v>18599</v>
      </c>
      <c r="C85" s="14" t="s">
        <v>16090</v>
      </c>
      <c r="D85" s="14">
        <v>4</v>
      </c>
      <c r="E85" s="14">
        <v>1239</v>
      </c>
      <c r="F85" s="14">
        <v>11</v>
      </c>
      <c r="G85" s="14">
        <v>15605</v>
      </c>
      <c r="H85" s="14">
        <v>0.00829202437080361</v>
      </c>
      <c r="I85" s="14">
        <v>0.135073720725939</v>
      </c>
      <c r="J85" s="14">
        <v>4.57993983417712</v>
      </c>
      <c r="K85" s="14" t="s">
        <v>19814</v>
      </c>
    </row>
    <row r="86" spans="1:11">
      <c r="A86" s="14" t="s">
        <v>19815</v>
      </c>
      <c r="B86" s="14" t="s">
        <v>19816</v>
      </c>
      <c r="C86" s="14" t="s">
        <v>16086</v>
      </c>
      <c r="D86" s="14">
        <v>4</v>
      </c>
      <c r="E86" s="14">
        <v>1239</v>
      </c>
      <c r="F86" s="14">
        <v>11</v>
      </c>
      <c r="G86" s="14">
        <v>15605</v>
      </c>
      <c r="H86" s="14">
        <v>0.00829202437080361</v>
      </c>
      <c r="I86" s="14">
        <v>0.135073720725939</v>
      </c>
      <c r="J86" s="14">
        <v>4.57993983417712</v>
      </c>
      <c r="K86" s="14" t="s">
        <v>19817</v>
      </c>
    </row>
    <row r="87" spans="1:11">
      <c r="A87" s="14" t="s">
        <v>17730</v>
      </c>
      <c r="B87" s="14" t="s">
        <v>17731</v>
      </c>
      <c r="C87" s="14" t="s">
        <v>16090</v>
      </c>
      <c r="D87" s="14">
        <v>3</v>
      </c>
      <c r="E87" s="14">
        <v>1239</v>
      </c>
      <c r="F87" s="14">
        <v>6</v>
      </c>
      <c r="G87" s="14">
        <v>15605</v>
      </c>
      <c r="H87" s="14">
        <v>0.00831804578298296</v>
      </c>
      <c r="I87" s="14">
        <v>0.135073720725939</v>
      </c>
      <c r="J87" s="14">
        <v>6.29741727199354</v>
      </c>
      <c r="K87" s="14" t="s">
        <v>19818</v>
      </c>
    </row>
    <row r="88" spans="1:11">
      <c r="A88" s="14" t="s">
        <v>19819</v>
      </c>
      <c r="B88" s="14" t="s">
        <v>19820</v>
      </c>
      <c r="C88" s="14" t="s">
        <v>16086</v>
      </c>
      <c r="D88" s="14">
        <v>3</v>
      </c>
      <c r="E88" s="14">
        <v>1239</v>
      </c>
      <c r="F88" s="14">
        <v>6</v>
      </c>
      <c r="G88" s="14">
        <v>15605</v>
      </c>
      <c r="H88" s="14">
        <v>0.00831804578298296</v>
      </c>
      <c r="I88" s="14">
        <v>0.135073720725939</v>
      </c>
      <c r="J88" s="14">
        <v>6.29741727199354</v>
      </c>
      <c r="K88" s="14" t="s">
        <v>19821</v>
      </c>
    </row>
    <row r="89" spans="1:11">
      <c r="A89" s="14" t="s">
        <v>19822</v>
      </c>
      <c r="B89" s="14" t="s">
        <v>19823</v>
      </c>
      <c r="C89" s="14" t="s">
        <v>16086</v>
      </c>
      <c r="D89" s="14">
        <v>3</v>
      </c>
      <c r="E89" s="14">
        <v>1239</v>
      </c>
      <c r="F89" s="14">
        <v>6</v>
      </c>
      <c r="G89" s="14">
        <v>15605</v>
      </c>
      <c r="H89" s="14">
        <v>0.00831804578298296</v>
      </c>
      <c r="I89" s="14">
        <v>0.135073720725939</v>
      </c>
      <c r="J89" s="14">
        <v>6.29741727199354</v>
      </c>
      <c r="K89" s="14" t="s">
        <v>19824</v>
      </c>
    </row>
    <row r="90" spans="1:11">
      <c r="A90" s="14" t="s">
        <v>16743</v>
      </c>
      <c r="B90" s="14" t="s">
        <v>16744</v>
      </c>
      <c r="C90" s="14" t="s">
        <v>16096</v>
      </c>
      <c r="D90" s="14">
        <v>3</v>
      </c>
      <c r="E90" s="14">
        <v>1239</v>
      </c>
      <c r="F90" s="14">
        <v>6</v>
      </c>
      <c r="G90" s="14">
        <v>15605</v>
      </c>
      <c r="H90" s="14">
        <v>0.00831804578298296</v>
      </c>
      <c r="I90" s="14">
        <v>0.135073720725939</v>
      </c>
      <c r="J90" s="14">
        <v>6.29741727199354</v>
      </c>
      <c r="K90" s="14" t="s">
        <v>19825</v>
      </c>
    </row>
    <row r="91" spans="1:11">
      <c r="A91" s="14" t="s">
        <v>18987</v>
      </c>
      <c r="B91" s="14" t="s">
        <v>18988</v>
      </c>
      <c r="C91" s="14" t="s">
        <v>16090</v>
      </c>
      <c r="D91" s="14">
        <v>5</v>
      </c>
      <c r="E91" s="14">
        <v>1239</v>
      </c>
      <c r="F91" s="14">
        <v>17</v>
      </c>
      <c r="G91" s="14">
        <v>15605</v>
      </c>
      <c r="H91" s="14">
        <v>0.00863248603696822</v>
      </c>
      <c r="I91" s="14">
        <v>0.137064694964751</v>
      </c>
      <c r="J91" s="14">
        <v>3.70436310117267</v>
      </c>
      <c r="K91" s="14" t="s">
        <v>19826</v>
      </c>
    </row>
    <row r="92" spans="1:11">
      <c r="A92" s="14" t="s">
        <v>17022</v>
      </c>
      <c r="B92" s="14" t="s">
        <v>17023</v>
      </c>
      <c r="C92" s="14" t="s">
        <v>16086</v>
      </c>
      <c r="D92" s="14">
        <v>5</v>
      </c>
      <c r="E92" s="14">
        <v>1239</v>
      </c>
      <c r="F92" s="14">
        <v>17</v>
      </c>
      <c r="G92" s="14">
        <v>15605</v>
      </c>
      <c r="H92" s="14">
        <v>0.00863248603696822</v>
      </c>
      <c r="I92" s="14">
        <v>0.137064694964751</v>
      </c>
      <c r="J92" s="14">
        <v>3.70436310117267</v>
      </c>
      <c r="K92" s="14" t="s">
        <v>19827</v>
      </c>
    </row>
    <row r="93" spans="1:11">
      <c r="A93" s="14" t="s">
        <v>19391</v>
      </c>
      <c r="B93" s="14" t="s">
        <v>19392</v>
      </c>
      <c r="C93" s="14" t="s">
        <v>16086</v>
      </c>
      <c r="D93" s="14">
        <v>7</v>
      </c>
      <c r="E93" s="14">
        <v>1239</v>
      </c>
      <c r="F93" s="14">
        <v>31</v>
      </c>
      <c r="G93" s="14">
        <v>15605</v>
      </c>
      <c r="H93" s="14">
        <v>0.00946958315758879</v>
      </c>
      <c r="I93" s="14">
        <v>0.148703673980158</v>
      </c>
      <c r="J93" s="14">
        <v>2.84399489702934</v>
      </c>
      <c r="K93" s="14" t="s">
        <v>19803</v>
      </c>
    </row>
    <row r="94" spans="1:11">
      <c r="A94" s="14" t="s">
        <v>17469</v>
      </c>
      <c r="B94" s="14" t="s">
        <v>17470</v>
      </c>
      <c r="C94" s="14" t="s">
        <v>16090</v>
      </c>
      <c r="D94" s="14">
        <v>10</v>
      </c>
      <c r="E94" s="14">
        <v>1239</v>
      </c>
      <c r="F94" s="14">
        <v>55</v>
      </c>
      <c r="G94" s="14">
        <v>15605</v>
      </c>
      <c r="H94" s="14">
        <v>0.0104715156211077</v>
      </c>
      <c r="I94" s="14">
        <v>0.162649954593075</v>
      </c>
      <c r="J94" s="14">
        <v>2.28996991708856</v>
      </c>
      <c r="K94" s="14" t="s">
        <v>19828</v>
      </c>
    </row>
    <row r="95" spans="1:11">
      <c r="A95" s="14" t="s">
        <v>2882</v>
      </c>
      <c r="B95" s="14" t="s">
        <v>2883</v>
      </c>
      <c r="C95" s="14" t="s">
        <v>16086</v>
      </c>
      <c r="D95" s="14">
        <v>7</v>
      </c>
      <c r="E95" s="14">
        <v>1239</v>
      </c>
      <c r="F95" s="14">
        <v>32</v>
      </c>
      <c r="G95" s="14">
        <v>15605</v>
      </c>
      <c r="H95" s="14">
        <v>0.0113097769469731</v>
      </c>
      <c r="I95" s="14">
        <v>0.173781411368006</v>
      </c>
      <c r="J95" s="14">
        <v>2.75512005649718</v>
      </c>
      <c r="K95" s="14" t="s">
        <v>19829</v>
      </c>
    </row>
    <row r="96" spans="1:11">
      <c r="A96" s="14" t="s">
        <v>19830</v>
      </c>
      <c r="B96" s="14" t="s">
        <v>19831</v>
      </c>
      <c r="C96" s="14" t="s">
        <v>16090</v>
      </c>
      <c r="D96" s="14">
        <v>4</v>
      </c>
      <c r="E96" s="14">
        <v>1239</v>
      </c>
      <c r="F96" s="14">
        <v>12</v>
      </c>
      <c r="G96" s="14">
        <v>15605</v>
      </c>
      <c r="H96" s="14">
        <v>0.0116662672603616</v>
      </c>
      <c r="I96" s="14">
        <v>0.173821342525676</v>
      </c>
      <c r="J96" s="14">
        <v>4.19827818132903</v>
      </c>
      <c r="K96" s="14" t="s">
        <v>19832</v>
      </c>
    </row>
    <row r="97" spans="1:11">
      <c r="A97" s="14" t="s">
        <v>17299</v>
      </c>
      <c r="B97" s="14" t="s">
        <v>17300</v>
      </c>
      <c r="C97" s="14" t="s">
        <v>16090</v>
      </c>
      <c r="D97" s="14">
        <v>4</v>
      </c>
      <c r="E97" s="14">
        <v>1239</v>
      </c>
      <c r="F97" s="14">
        <v>12</v>
      </c>
      <c r="G97" s="14">
        <v>15605</v>
      </c>
      <c r="H97" s="14">
        <v>0.0116662672603616</v>
      </c>
      <c r="I97" s="14">
        <v>0.173821342525676</v>
      </c>
      <c r="J97" s="14">
        <v>4.19827818132903</v>
      </c>
      <c r="K97" s="14" t="s">
        <v>19833</v>
      </c>
    </row>
    <row r="98" spans="1:11">
      <c r="A98" s="14" t="s">
        <v>19289</v>
      </c>
      <c r="B98" s="14" t="s">
        <v>19290</v>
      </c>
      <c r="C98" s="14" t="s">
        <v>16090</v>
      </c>
      <c r="D98" s="14">
        <v>6</v>
      </c>
      <c r="E98" s="14">
        <v>1239</v>
      </c>
      <c r="F98" s="14">
        <v>25</v>
      </c>
      <c r="G98" s="14">
        <v>15605</v>
      </c>
      <c r="H98" s="14">
        <v>0.0117989294786498</v>
      </c>
      <c r="I98" s="14">
        <v>0.173821342525676</v>
      </c>
      <c r="J98" s="14">
        <v>3.0227602905569</v>
      </c>
      <c r="K98" s="14" t="s">
        <v>19834</v>
      </c>
    </row>
    <row r="99" spans="1:11">
      <c r="A99" s="14" t="s">
        <v>19297</v>
      </c>
      <c r="B99" s="14" t="s">
        <v>19298</v>
      </c>
      <c r="C99" s="14" t="s">
        <v>16090</v>
      </c>
      <c r="D99" s="14">
        <v>6</v>
      </c>
      <c r="E99" s="14">
        <v>1239</v>
      </c>
      <c r="F99" s="14">
        <v>25</v>
      </c>
      <c r="G99" s="14">
        <v>15605</v>
      </c>
      <c r="H99" s="14">
        <v>0.0117989294786498</v>
      </c>
      <c r="I99" s="14">
        <v>0.173821342525676</v>
      </c>
      <c r="J99" s="14">
        <v>3.0227602905569</v>
      </c>
      <c r="K99" s="14" t="s">
        <v>19835</v>
      </c>
    </row>
    <row r="100" spans="1:11">
      <c r="A100" s="14" t="s">
        <v>19383</v>
      </c>
      <c r="B100" s="14" t="s">
        <v>19384</v>
      </c>
      <c r="C100" s="14" t="s">
        <v>16096</v>
      </c>
      <c r="D100" s="14">
        <v>13</v>
      </c>
      <c r="E100" s="14">
        <v>1239</v>
      </c>
      <c r="F100" s="14">
        <v>82</v>
      </c>
      <c r="G100" s="14">
        <v>15605</v>
      </c>
      <c r="H100" s="14">
        <v>0.0121800466028001</v>
      </c>
      <c r="I100" s="14">
        <v>0.177604965259197</v>
      </c>
      <c r="J100" s="14">
        <v>1.99674206185161</v>
      </c>
      <c r="K100" s="14" t="s">
        <v>19836</v>
      </c>
    </row>
    <row r="101" spans="1:11">
      <c r="A101" s="14" t="s">
        <v>19538</v>
      </c>
      <c r="B101" s="14" t="s">
        <v>19539</v>
      </c>
      <c r="C101" s="14" t="s">
        <v>16086</v>
      </c>
      <c r="D101" s="14">
        <v>15</v>
      </c>
      <c r="E101" s="14">
        <v>1239</v>
      </c>
      <c r="F101" s="14">
        <v>101</v>
      </c>
      <c r="G101" s="14">
        <v>15605</v>
      </c>
      <c r="H101" s="14">
        <v>0.0133273991415677</v>
      </c>
      <c r="I101" s="14">
        <v>0.184727114445401</v>
      </c>
      <c r="J101" s="14">
        <v>1.87051998178026</v>
      </c>
      <c r="K101" s="14" t="s">
        <v>19837</v>
      </c>
    </row>
    <row r="102" spans="1:11">
      <c r="A102" s="14" t="s">
        <v>16405</v>
      </c>
      <c r="B102" s="14" t="s">
        <v>16406</v>
      </c>
      <c r="C102" s="14" t="s">
        <v>16086</v>
      </c>
      <c r="D102" s="14">
        <v>21</v>
      </c>
      <c r="E102" s="14">
        <v>1239</v>
      </c>
      <c r="F102" s="14">
        <v>158</v>
      </c>
      <c r="G102" s="14">
        <v>15605</v>
      </c>
      <c r="H102" s="14">
        <v>0.0135416868282844</v>
      </c>
      <c r="I102" s="14">
        <v>0.184727114445401</v>
      </c>
      <c r="J102" s="14">
        <v>1.67399699635271</v>
      </c>
      <c r="K102" s="14" t="s">
        <v>19838</v>
      </c>
    </row>
    <row r="103" spans="1:11">
      <c r="A103" s="14" t="s">
        <v>17928</v>
      </c>
      <c r="B103" s="14" t="s">
        <v>17929</v>
      </c>
      <c r="C103" s="14" t="s">
        <v>16090</v>
      </c>
      <c r="D103" s="14">
        <v>3</v>
      </c>
      <c r="E103" s="14">
        <v>1239</v>
      </c>
      <c r="F103" s="14">
        <v>7</v>
      </c>
      <c r="G103" s="14">
        <v>15605</v>
      </c>
      <c r="H103" s="14">
        <v>0.0137026410995189</v>
      </c>
      <c r="I103" s="14">
        <v>0.184727114445401</v>
      </c>
      <c r="J103" s="14">
        <v>5.39778623313732</v>
      </c>
      <c r="K103" s="14" t="s">
        <v>19839</v>
      </c>
    </row>
    <row r="104" spans="1:11">
      <c r="A104" s="14" t="s">
        <v>19840</v>
      </c>
      <c r="B104" s="14" t="s">
        <v>19841</v>
      </c>
      <c r="C104" s="14" t="s">
        <v>16086</v>
      </c>
      <c r="D104" s="14">
        <v>3</v>
      </c>
      <c r="E104" s="14">
        <v>1239</v>
      </c>
      <c r="F104" s="14">
        <v>7</v>
      </c>
      <c r="G104" s="14">
        <v>15605</v>
      </c>
      <c r="H104" s="14">
        <v>0.0137026410995189</v>
      </c>
      <c r="I104" s="14">
        <v>0.184727114445401</v>
      </c>
      <c r="J104" s="14">
        <v>5.39778623313732</v>
      </c>
      <c r="K104" s="14" t="s">
        <v>19842</v>
      </c>
    </row>
    <row r="105" spans="1:11">
      <c r="A105" s="14" t="s">
        <v>19843</v>
      </c>
      <c r="B105" s="14" t="s">
        <v>19844</v>
      </c>
      <c r="C105" s="14" t="s">
        <v>16086</v>
      </c>
      <c r="D105" s="14">
        <v>3</v>
      </c>
      <c r="E105" s="14">
        <v>1239</v>
      </c>
      <c r="F105" s="14">
        <v>7</v>
      </c>
      <c r="G105" s="14">
        <v>15605</v>
      </c>
      <c r="H105" s="14">
        <v>0.0137026410995189</v>
      </c>
      <c r="I105" s="14">
        <v>0.184727114445401</v>
      </c>
      <c r="J105" s="14">
        <v>5.39778623313732</v>
      </c>
      <c r="K105" s="14" t="s">
        <v>19824</v>
      </c>
    </row>
    <row r="106" spans="1:11">
      <c r="A106" s="14" t="s">
        <v>19845</v>
      </c>
      <c r="B106" s="14" t="s">
        <v>19846</v>
      </c>
      <c r="C106" s="14" t="s">
        <v>16090</v>
      </c>
      <c r="D106" s="14">
        <v>3</v>
      </c>
      <c r="E106" s="14">
        <v>1239</v>
      </c>
      <c r="F106" s="14">
        <v>7</v>
      </c>
      <c r="G106" s="14">
        <v>15605</v>
      </c>
      <c r="H106" s="14">
        <v>0.0137026410995189</v>
      </c>
      <c r="I106" s="14">
        <v>0.184727114445401</v>
      </c>
      <c r="J106" s="14">
        <v>5.39778623313732</v>
      </c>
      <c r="K106" s="14" t="s">
        <v>19847</v>
      </c>
    </row>
    <row r="107" spans="1:11">
      <c r="A107" s="14" t="s">
        <v>19848</v>
      </c>
      <c r="B107" s="14" t="s">
        <v>19849</v>
      </c>
      <c r="C107" s="14" t="s">
        <v>16086</v>
      </c>
      <c r="D107" s="14">
        <v>3</v>
      </c>
      <c r="E107" s="14">
        <v>1239</v>
      </c>
      <c r="F107" s="14">
        <v>7</v>
      </c>
      <c r="G107" s="14">
        <v>15605</v>
      </c>
      <c r="H107" s="14">
        <v>0.0137026410995189</v>
      </c>
      <c r="I107" s="14">
        <v>0.184727114445401</v>
      </c>
      <c r="J107" s="14">
        <v>5.39778623313732</v>
      </c>
      <c r="K107" s="14" t="s">
        <v>19850</v>
      </c>
    </row>
    <row r="108" spans="1:11">
      <c r="A108" s="14" t="s">
        <v>17994</v>
      </c>
      <c r="B108" s="14" t="s">
        <v>17995</v>
      </c>
      <c r="C108" s="14" t="s">
        <v>16090</v>
      </c>
      <c r="D108" s="14">
        <v>3</v>
      </c>
      <c r="E108" s="14">
        <v>1239</v>
      </c>
      <c r="F108" s="14">
        <v>7</v>
      </c>
      <c r="G108" s="14">
        <v>15605</v>
      </c>
      <c r="H108" s="14">
        <v>0.0137026410995189</v>
      </c>
      <c r="I108" s="14">
        <v>0.184727114445401</v>
      </c>
      <c r="J108" s="14">
        <v>5.39778623313732</v>
      </c>
      <c r="K108" s="14" t="s">
        <v>19851</v>
      </c>
    </row>
    <row r="109" spans="1:11">
      <c r="A109" s="14" t="s">
        <v>18061</v>
      </c>
      <c r="B109" s="14" t="s">
        <v>18062</v>
      </c>
      <c r="C109" s="14" t="s">
        <v>16086</v>
      </c>
      <c r="D109" s="14">
        <v>5</v>
      </c>
      <c r="E109" s="14">
        <v>1239</v>
      </c>
      <c r="F109" s="14">
        <v>19</v>
      </c>
      <c r="G109" s="14">
        <v>15605</v>
      </c>
      <c r="H109" s="14">
        <v>0.0142066694583223</v>
      </c>
      <c r="I109" s="14">
        <v>0.189634928836665</v>
      </c>
      <c r="J109" s="14">
        <v>3.3144301431545</v>
      </c>
      <c r="K109" s="14" t="s">
        <v>19852</v>
      </c>
    </row>
    <row r="110" spans="1:11">
      <c r="A110" s="14" t="s">
        <v>19323</v>
      </c>
      <c r="B110" s="14" t="s">
        <v>19324</v>
      </c>
      <c r="C110" s="14" t="s">
        <v>16090</v>
      </c>
      <c r="D110" s="14">
        <v>6</v>
      </c>
      <c r="E110" s="14">
        <v>1239</v>
      </c>
      <c r="F110" s="14">
        <v>26</v>
      </c>
      <c r="G110" s="14">
        <v>15605</v>
      </c>
      <c r="H110" s="14">
        <v>0.014332100989755</v>
      </c>
      <c r="I110" s="14">
        <v>0.189634928836665</v>
      </c>
      <c r="J110" s="14">
        <v>2.90650027938164</v>
      </c>
      <c r="K110" s="14" t="s">
        <v>19853</v>
      </c>
    </row>
    <row r="111" spans="1:11">
      <c r="A111" s="14" t="s">
        <v>17179</v>
      </c>
      <c r="B111" s="14" t="s">
        <v>17180</v>
      </c>
      <c r="C111" s="14" t="s">
        <v>16086</v>
      </c>
      <c r="D111" s="14">
        <v>10</v>
      </c>
      <c r="E111" s="14">
        <v>1239</v>
      </c>
      <c r="F111" s="14">
        <v>58</v>
      </c>
      <c r="G111" s="14">
        <v>15605</v>
      </c>
      <c r="H111" s="14">
        <v>0.0150707068149161</v>
      </c>
      <c r="I111" s="14">
        <v>0.197578348977203</v>
      </c>
      <c r="J111" s="14">
        <v>2.17152319723915</v>
      </c>
      <c r="K111" s="14" t="s">
        <v>19854</v>
      </c>
    </row>
    <row r="112" spans="1:11">
      <c r="A112" s="14" t="s">
        <v>19855</v>
      </c>
      <c r="B112" s="14" t="s">
        <v>19856</v>
      </c>
      <c r="C112" s="14" t="s">
        <v>16096</v>
      </c>
      <c r="D112" s="14">
        <v>4</v>
      </c>
      <c r="E112" s="14">
        <v>1239</v>
      </c>
      <c r="F112" s="14">
        <v>13</v>
      </c>
      <c r="G112" s="14">
        <v>15605</v>
      </c>
      <c r="H112" s="14">
        <v>0.0158089278053303</v>
      </c>
      <c r="I112" s="14">
        <v>0.199919980830239</v>
      </c>
      <c r="J112" s="14">
        <v>3.87533370584218</v>
      </c>
      <c r="K112" s="14" t="s">
        <v>19857</v>
      </c>
    </row>
    <row r="113" spans="1:11">
      <c r="A113" s="14" t="s">
        <v>19858</v>
      </c>
      <c r="B113" s="14" t="s">
        <v>19859</v>
      </c>
      <c r="C113" s="14" t="s">
        <v>16090</v>
      </c>
      <c r="D113" s="14">
        <v>4</v>
      </c>
      <c r="E113" s="14">
        <v>1239</v>
      </c>
      <c r="F113" s="14">
        <v>13</v>
      </c>
      <c r="G113" s="14">
        <v>15605</v>
      </c>
      <c r="H113" s="14">
        <v>0.0158089278053303</v>
      </c>
      <c r="I113" s="14">
        <v>0.199919980830239</v>
      </c>
      <c r="J113" s="14">
        <v>3.87533370584218</v>
      </c>
      <c r="K113" s="14" t="s">
        <v>19860</v>
      </c>
    </row>
    <row r="114" spans="1:11">
      <c r="A114" s="14" t="s">
        <v>16788</v>
      </c>
      <c r="B114" s="14" t="s">
        <v>16789</v>
      </c>
      <c r="C114" s="14" t="s">
        <v>16086</v>
      </c>
      <c r="D114" s="14">
        <v>4</v>
      </c>
      <c r="E114" s="14">
        <v>1239</v>
      </c>
      <c r="F114" s="14">
        <v>13</v>
      </c>
      <c r="G114" s="14">
        <v>15605</v>
      </c>
      <c r="H114" s="14">
        <v>0.0158089278053303</v>
      </c>
      <c r="I114" s="14">
        <v>0.199919980830239</v>
      </c>
      <c r="J114" s="14">
        <v>3.87533370584218</v>
      </c>
      <c r="K114" s="14" t="s">
        <v>19861</v>
      </c>
    </row>
    <row r="115" spans="1:11">
      <c r="A115" s="14" t="s">
        <v>19862</v>
      </c>
      <c r="B115" s="14" t="s">
        <v>19863</v>
      </c>
      <c r="C115" s="14" t="s">
        <v>16090</v>
      </c>
      <c r="D115" s="14">
        <v>4</v>
      </c>
      <c r="E115" s="14">
        <v>1239</v>
      </c>
      <c r="F115" s="14">
        <v>13</v>
      </c>
      <c r="G115" s="14">
        <v>15605</v>
      </c>
      <c r="H115" s="14">
        <v>0.0158089278053303</v>
      </c>
      <c r="I115" s="14">
        <v>0.199919980830239</v>
      </c>
      <c r="J115" s="14">
        <v>3.87533370584218</v>
      </c>
      <c r="K115" s="14" t="s">
        <v>19864</v>
      </c>
    </row>
    <row r="116" spans="1:11">
      <c r="A116" s="14" t="s">
        <v>16483</v>
      </c>
      <c r="B116" s="14" t="s">
        <v>16484</v>
      </c>
      <c r="C116" s="14" t="s">
        <v>16090</v>
      </c>
      <c r="D116" s="14">
        <v>29</v>
      </c>
      <c r="E116" s="14">
        <v>1239</v>
      </c>
      <c r="F116" s="14">
        <v>241</v>
      </c>
      <c r="G116" s="14">
        <v>15605</v>
      </c>
      <c r="H116" s="14">
        <v>0.0161261449695264</v>
      </c>
      <c r="I116" s="14">
        <v>0.202142641767133</v>
      </c>
      <c r="J116" s="14">
        <v>1.51556100321836</v>
      </c>
      <c r="K116" s="14" t="s">
        <v>19865</v>
      </c>
    </row>
    <row r="117" spans="1:11">
      <c r="A117" s="14" t="s">
        <v>17911</v>
      </c>
      <c r="B117" s="14" t="s">
        <v>17912</v>
      </c>
      <c r="C117" s="14" t="s">
        <v>16090</v>
      </c>
      <c r="D117" s="14">
        <v>14</v>
      </c>
      <c r="E117" s="14">
        <v>1239</v>
      </c>
      <c r="F117" s="14">
        <v>95</v>
      </c>
      <c r="G117" s="14">
        <v>15605</v>
      </c>
      <c r="H117" s="14">
        <v>0.0175172855235229</v>
      </c>
      <c r="I117" s="14">
        <v>0.217671313157515</v>
      </c>
      <c r="J117" s="14">
        <v>1.85608088016652</v>
      </c>
      <c r="K117" s="14" t="s">
        <v>19866</v>
      </c>
    </row>
    <row r="118" spans="1:11">
      <c r="A118" s="14" t="s">
        <v>16761</v>
      </c>
      <c r="B118" s="14" t="s">
        <v>16762</v>
      </c>
      <c r="C118" s="14" t="s">
        <v>16090</v>
      </c>
      <c r="D118" s="14">
        <v>5</v>
      </c>
      <c r="E118" s="14">
        <v>1239</v>
      </c>
      <c r="F118" s="14">
        <v>20</v>
      </c>
      <c r="G118" s="14">
        <v>15605</v>
      </c>
      <c r="H118" s="14">
        <v>0.0177312546988983</v>
      </c>
      <c r="I118" s="14">
        <v>0.218430715213153</v>
      </c>
      <c r="J118" s="14">
        <v>3.14870863599677</v>
      </c>
      <c r="K118" s="14" t="s">
        <v>19867</v>
      </c>
    </row>
    <row r="119" spans="1:11">
      <c r="A119" s="14" t="s">
        <v>399</v>
      </c>
      <c r="B119" s="14" t="s">
        <v>400</v>
      </c>
      <c r="C119" s="14" t="s">
        <v>16096</v>
      </c>
      <c r="D119" s="14">
        <v>143</v>
      </c>
      <c r="E119" s="14">
        <v>1239</v>
      </c>
      <c r="F119" s="14">
        <v>1527</v>
      </c>
      <c r="G119" s="14">
        <v>15605</v>
      </c>
      <c r="H119" s="14">
        <v>0.0186437756523592</v>
      </c>
      <c r="I119" s="14">
        <v>0.227709020574541</v>
      </c>
      <c r="J119" s="14">
        <v>1.1794769743223</v>
      </c>
      <c r="K119" s="14" t="s">
        <v>19868</v>
      </c>
    </row>
    <row r="120" spans="1:11">
      <c r="A120" s="14" t="s">
        <v>16705</v>
      </c>
      <c r="B120" s="14" t="s">
        <v>16706</v>
      </c>
      <c r="C120" s="14" t="s">
        <v>16090</v>
      </c>
      <c r="D120" s="14">
        <v>9</v>
      </c>
      <c r="E120" s="14">
        <v>1239</v>
      </c>
      <c r="F120" s="14">
        <v>52</v>
      </c>
      <c r="G120" s="14">
        <v>15605</v>
      </c>
      <c r="H120" s="14">
        <v>0.0200895653191709</v>
      </c>
      <c r="I120" s="14">
        <v>0.233678844684539</v>
      </c>
      <c r="J120" s="14">
        <v>2.17987520953623</v>
      </c>
      <c r="K120" s="14" t="s">
        <v>19869</v>
      </c>
    </row>
    <row r="121" spans="1:11">
      <c r="A121" s="14" t="s">
        <v>19148</v>
      </c>
      <c r="B121" s="14" t="s">
        <v>19149</v>
      </c>
      <c r="C121" s="14" t="s">
        <v>16086</v>
      </c>
      <c r="D121" s="14">
        <v>9</v>
      </c>
      <c r="E121" s="14">
        <v>1239</v>
      </c>
      <c r="F121" s="14">
        <v>52</v>
      </c>
      <c r="G121" s="14">
        <v>15605</v>
      </c>
      <c r="H121" s="14">
        <v>0.0200895653191709</v>
      </c>
      <c r="I121" s="14">
        <v>0.233678844684539</v>
      </c>
      <c r="J121" s="14">
        <v>2.17987520953623</v>
      </c>
      <c r="K121" s="14" t="s">
        <v>19870</v>
      </c>
    </row>
    <row r="122" spans="1:11">
      <c r="A122" s="14" t="s">
        <v>19871</v>
      </c>
      <c r="B122" s="14" t="s">
        <v>19872</v>
      </c>
      <c r="C122" s="14" t="s">
        <v>16090</v>
      </c>
      <c r="D122" s="14">
        <v>3</v>
      </c>
      <c r="E122" s="14">
        <v>1239</v>
      </c>
      <c r="F122" s="14">
        <v>8</v>
      </c>
      <c r="G122" s="14">
        <v>15605</v>
      </c>
      <c r="H122" s="14">
        <v>0.0206437220785242</v>
      </c>
      <c r="I122" s="14">
        <v>0.233678844684539</v>
      </c>
      <c r="J122" s="14">
        <v>4.72306295399516</v>
      </c>
      <c r="K122" s="14" t="s">
        <v>19873</v>
      </c>
    </row>
    <row r="123" spans="1:11">
      <c r="A123" s="14" t="s">
        <v>19874</v>
      </c>
      <c r="B123" s="14" t="s">
        <v>19875</v>
      </c>
      <c r="C123" s="14" t="s">
        <v>16090</v>
      </c>
      <c r="D123" s="14">
        <v>3</v>
      </c>
      <c r="E123" s="14">
        <v>1239</v>
      </c>
      <c r="F123" s="14">
        <v>8</v>
      </c>
      <c r="G123" s="14">
        <v>15605</v>
      </c>
      <c r="H123" s="14">
        <v>0.0206437220785242</v>
      </c>
      <c r="I123" s="14">
        <v>0.233678844684539</v>
      </c>
      <c r="J123" s="14">
        <v>4.72306295399516</v>
      </c>
      <c r="K123" s="14" t="s">
        <v>19876</v>
      </c>
    </row>
    <row r="124" spans="1:11">
      <c r="A124" s="14" t="s">
        <v>18144</v>
      </c>
      <c r="B124" s="14" t="s">
        <v>18145</v>
      </c>
      <c r="C124" s="14" t="s">
        <v>16090</v>
      </c>
      <c r="D124" s="14">
        <v>3</v>
      </c>
      <c r="E124" s="14">
        <v>1239</v>
      </c>
      <c r="F124" s="14">
        <v>8</v>
      </c>
      <c r="G124" s="14">
        <v>15605</v>
      </c>
      <c r="H124" s="14">
        <v>0.0206437220785242</v>
      </c>
      <c r="I124" s="14">
        <v>0.233678844684539</v>
      </c>
      <c r="J124" s="14">
        <v>4.72306295399516</v>
      </c>
      <c r="K124" s="14" t="s">
        <v>19877</v>
      </c>
    </row>
    <row r="125" spans="1:11">
      <c r="A125" s="14" t="s">
        <v>19878</v>
      </c>
      <c r="B125" s="14" t="s">
        <v>19879</v>
      </c>
      <c r="C125" s="14" t="s">
        <v>16090</v>
      </c>
      <c r="D125" s="14">
        <v>3</v>
      </c>
      <c r="E125" s="14">
        <v>1239</v>
      </c>
      <c r="F125" s="14">
        <v>8</v>
      </c>
      <c r="G125" s="14">
        <v>15605</v>
      </c>
      <c r="H125" s="14">
        <v>0.0206437220785242</v>
      </c>
      <c r="I125" s="14">
        <v>0.233678844684539</v>
      </c>
      <c r="J125" s="14">
        <v>4.72306295399516</v>
      </c>
      <c r="K125" s="14" t="s">
        <v>19880</v>
      </c>
    </row>
    <row r="126" spans="1:11">
      <c r="A126" s="14" t="s">
        <v>18170</v>
      </c>
      <c r="B126" s="14" t="s">
        <v>18171</v>
      </c>
      <c r="C126" s="14" t="s">
        <v>16090</v>
      </c>
      <c r="D126" s="14">
        <v>3</v>
      </c>
      <c r="E126" s="14">
        <v>1239</v>
      </c>
      <c r="F126" s="14">
        <v>8</v>
      </c>
      <c r="G126" s="14">
        <v>15605</v>
      </c>
      <c r="H126" s="14">
        <v>0.0206437220785242</v>
      </c>
      <c r="I126" s="14">
        <v>0.233678844684539</v>
      </c>
      <c r="J126" s="14">
        <v>4.72306295399516</v>
      </c>
      <c r="K126" s="14" t="s">
        <v>19785</v>
      </c>
    </row>
    <row r="127" spans="1:11">
      <c r="A127" s="14" t="s">
        <v>19881</v>
      </c>
      <c r="B127" s="14" t="s">
        <v>19882</v>
      </c>
      <c r="C127" s="14" t="s">
        <v>16090</v>
      </c>
      <c r="D127" s="14">
        <v>3</v>
      </c>
      <c r="E127" s="14">
        <v>1239</v>
      </c>
      <c r="F127" s="14">
        <v>8</v>
      </c>
      <c r="G127" s="14">
        <v>15605</v>
      </c>
      <c r="H127" s="14">
        <v>0.0206437220785242</v>
      </c>
      <c r="I127" s="14">
        <v>0.233678844684539</v>
      </c>
      <c r="J127" s="14">
        <v>4.72306295399516</v>
      </c>
      <c r="K127" s="14" t="s">
        <v>19883</v>
      </c>
    </row>
    <row r="128" spans="1:11">
      <c r="A128" s="14" t="s">
        <v>17427</v>
      </c>
      <c r="B128" s="14" t="s">
        <v>17428</v>
      </c>
      <c r="C128" s="14" t="s">
        <v>16086</v>
      </c>
      <c r="D128" s="14">
        <v>4</v>
      </c>
      <c r="E128" s="14">
        <v>1239</v>
      </c>
      <c r="F128" s="14">
        <v>14</v>
      </c>
      <c r="G128" s="14">
        <v>15605</v>
      </c>
      <c r="H128" s="14">
        <v>0.0207678189467715</v>
      </c>
      <c r="I128" s="14">
        <v>0.233678844684539</v>
      </c>
      <c r="J128" s="14">
        <v>3.59852415542488</v>
      </c>
      <c r="K128" s="14" t="s">
        <v>19884</v>
      </c>
    </row>
    <row r="129" spans="1:11">
      <c r="A129" s="14" t="s">
        <v>18834</v>
      </c>
      <c r="B129" s="14" t="s">
        <v>18835</v>
      </c>
      <c r="C129" s="14" t="s">
        <v>16086</v>
      </c>
      <c r="D129" s="14">
        <v>4</v>
      </c>
      <c r="E129" s="14">
        <v>1239</v>
      </c>
      <c r="F129" s="14">
        <v>14</v>
      </c>
      <c r="G129" s="14">
        <v>15605</v>
      </c>
      <c r="H129" s="14">
        <v>0.0207678189467715</v>
      </c>
      <c r="I129" s="14">
        <v>0.233678844684539</v>
      </c>
      <c r="J129" s="14">
        <v>3.59852415542488</v>
      </c>
      <c r="K129" s="14" t="s">
        <v>19885</v>
      </c>
    </row>
    <row r="130" spans="1:11">
      <c r="A130" s="14" t="s">
        <v>16562</v>
      </c>
      <c r="B130" s="14" t="s">
        <v>16563</v>
      </c>
      <c r="C130" s="14" t="s">
        <v>16090</v>
      </c>
      <c r="D130" s="14">
        <v>12</v>
      </c>
      <c r="E130" s="14">
        <v>1239</v>
      </c>
      <c r="F130" s="14">
        <v>81</v>
      </c>
      <c r="G130" s="14">
        <v>15605</v>
      </c>
      <c r="H130" s="14">
        <v>0.0256250307509249</v>
      </c>
      <c r="I130" s="14">
        <v>0.286079444867748</v>
      </c>
      <c r="J130" s="14">
        <v>1.86590141392401</v>
      </c>
      <c r="K130" s="14" t="s">
        <v>19886</v>
      </c>
    </row>
    <row r="131" spans="1:11">
      <c r="A131" s="14" t="s">
        <v>19887</v>
      </c>
      <c r="B131" s="14" t="s">
        <v>19888</v>
      </c>
      <c r="C131" s="14" t="s">
        <v>16096</v>
      </c>
      <c r="D131" s="14">
        <v>5</v>
      </c>
      <c r="E131" s="14">
        <v>1239</v>
      </c>
      <c r="F131" s="14">
        <v>22</v>
      </c>
      <c r="G131" s="14">
        <v>15605</v>
      </c>
      <c r="H131" s="14">
        <v>0.0264027744518233</v>
      </c>
      <c r="I131" s="14">
        <v>0.29216675199664</v>
      </c>
      <c r="J131" s="14">
        <v>2.8624623963607</v>
      </c>
      <c r="K131" s="14" t="s">
        <v>19889</v>
      </c>
    </row>
    <row r="132" spans="1:11">
      <c r="A132" s="14" t="s">
        <v>18918</v>
      </c>
      <c r="B132" s="14" t="s">
        <v>18919</v>
      </c>
      <c r="C132" s="14" t="s">
        <v>16090</v>
      </c>
      <c r="D132" s="14">
        <v>4</v>
      </c>
      <c r="E132" s="14">
        <v>1239</v>
      </c>
      <c r="F132" s="14">
        <v>15</v>
      </c>
      <c r="G132" s="14">
        <v>15605</v>
      </c>
      <c r="H132" s="14">
        <v>0.0265792006714928</v>
      </c>
      <c r="I132" s="14">
        <v>0.29216675199664</v>
      </c>
      <c r="J132" s="14">
        <v>3.35862254506322</v>
      </c>
      <c r="K132" s="14" t="s">
        <v>19890</v>
      </c>
    </row>
    <row r="133" spans="1:11">
      <c r="A133" s="14" t="s">
        <v>19362</v>
      </c>
      <c r="B133" s="14" t="s">
        <v>19363</v>
      </c>
      <c r="C133" s="14" t="s">
        <v>16090</v>
      </c>
      <c r="D133" s="14">
        <v>6</v>
      </c>
      <c r="E133" s="14">
        <v>1239</v>
      </c>
      <c r="F133" s="14">
        <v>30</v>
      </c>
      <c r="G133" s="14">
        <v>15605</v>
      </c>
      <c r="H133" s="14">
        <v>0.0282143036634824</v>
      </c>
      <c r="I133" s="14">
        <v>0.29613023645309</v>
      </c>
      <c r="J133" s="14">
        <v>2.51896690879742</v>
      </c>
      <c r="K133" s="14" t="s">
        <v>19891</v>
      </c>
    </row>
    <row r="134" spans="1:11">
      <c r="A134" s="14" t="s">
        <v>19892</v>
      </c>
      <c r="B134" s="14" t="s">
        <v>19893</v>
      </c>
      <c r="C134" s="14" t="s">
        <v>16086</v>
      </c>
      <c r="D134" s="14">
        <v>3</v>
      </c>
      <c r="E134" s="14">
        <v>1239</v>
      </c>
      <c r="F134" s="14">
        <v>9</v>
      </c>
      <c r="G134" s="14">
        <v>15605</v>
      </c>
      <c r="H134" s="14">
        <v>0.0291650927642967</v>
      </c>
      <c r="I134" s="14">
        <v>0.29613023645309</v>
      </c>
      <c r="J134" s="14">
        <v>4.19827818132903</v>
      </c>
      <c r="K134" s="14" t="s">
        <v>19894</v>
      </c>
    </row>
    <row r="135" spans="1:11">
      <c r="A135" s="14" t="s">
        <v>18280</v>
      </c>
      <c r="B135" s="14" t="s">
        <v>18281</v>
      </c>
      <c r="C135" s="14" t="s">
        <v>16086</v>
      </c>
      <c r="D135" s="14">
        <v>3</v>
      </c>
      <c r="E135" s="14">
        <v>1239</v>
      </c>
      <c r="F135" s="14">
        <v>9</v>
      </c>
      <c r="G135" s="14">
        <v>15605</v>
      </c>
      <c r="H135" s="14">
        <v>0.0291650927642967</v>
      </c>
      <c r="I135" s="14">
        <v>0.29613023645309</v>
      </c>
      <c r="J135" s="14">
        <v>4.19827818132903</v>
      </c>
      <c r="K135" s="14" t="s">
        <v>19895</v>
      </c>
    </row>
    <row r="136" spans="1:11">
      <c r="A136" s="14" t="s">
        <v>18282</v>
      </c>
      <c r="B136" s="14" t="s">
        <v>18283</v>
      </c>
      <c r="C136" s="14" t="s">
        <v>16086</v>
      </c>
      <c r="D136" s="14">
        <v>3</v>
      </c>
      <c r="E136" s="14">
        <v>1239</v>
      </c>
      <c r="F136" s="14">
        <v>9</v>
      </c>
      <c r="G136" s="14">
        <v>15605</v>
      </c>
      <c r="H136" s="14">
        <v>0.0291650927642967</v>
      </c>
      <c r="I136" s="14">
        <v>0.29613023645309</v>
      </c>
      <c r="J136" s="14">
        <v>4.19827818132903</v>
      </c>
      <c r="K136" s="14" t="s">
        <v>19896</v>
      </c>
    </row>
    <row r="137" spans="1:11">
      <c r="A137" s="14" t="s">
        <v>19897</v>
      </c>
      <c r="B137" s="14" t="s">
        <v>19898</v>
      </c>
      <c r="C137" s="14" t="s">
        <v>16086</v>
      </c>
      <c r="D137" s="14">
        <v>3</v>
      </c>
      <c r="E137" s="14">
        <v>1239</v>
      </c>
      <c r="F137" s="14">
        <v>9</v>
      </c>
      <c r="G137" s="14">
        <v>15605</v>
      </c>
      <c r="H137" s="14">
        <v>0.0291650927642967</v>
      </c>
      <c r="I137" s="14">
        <v>0.29613023645309</v>
      </c>
      <c r="J137" s="14">
        <v>4.19827818132903</v>
      </c>
      <c r="K137" s="14" t="s">
        <v>19899</v>
      </c>
    </row>
    <row r="138" spans="1:11">
      <c r="A138" s="14" t="s">
        <v>17060</v>
      </c>
      <c r="B138" s="14" t="s">
        <v>17061</v>
      </c>
      <c r="C138" s="14" t="s">
        <v>16090</v>
      </c>
      <c r="D138" s="14">
        <v>3</v>
      </c>
      <c r="E138" s="14">
        <v>1239</v>
      </c>
      <c r="F138" s="14">
        <v>9</v>
      </c>
      <c r="G138" s="14">
        <v>15605</v>
      </c>
      <c r="H138" s="14">
        <v>0.0291650927642967</v>
      </c>
      <c r="I138" s="14">
        <v>0.29613023645309</v>
      </c>
      <c r="J138" s="14">
        <v>4.19827818132903</v>
      </c>
      <c r="K138" s="14" t="s">
        <v>19900</v>
      </c>
    </row>
    <row r="139" spans="1:11">
      <c r="A139" s="14" t="s">
        <v>18314</v>
      </c>
      <c r="B139" s="14" t="s">
        <v>18315</v>
      </c>
      <c r="C139" s="14" t="s">
        <v>16090</v>
      </c>
      <c r="D139" s="14">
        <v>3</v>
      </c>
      <c r="E139" s="14">
        <v>1239</v>
      </c>
      <c r="F139" s="14">
        <v>9</v>
      </c>
      <c r="G139" s="14">
        <v>15605</v>
      </c>
      <c r="H139" s="14">
        <v>0.0291650927642967</v>
      </c>
      <c r="I139" s="14">
        <v>0.29613023645309</v>
      </c>
      <c r="J139" s="14">
        <v>4.19827818132903</v>
      </c>
      <c r="K139" s="14" t="s">
        <v>19901</v>
      </c>
    </row>
    <row r="140" spans="1:11">
      <c r="A140" s="14" t="s">
        <v>18320</v>
      </c>
      <c r="B140" s="14" t="s">
        <v>18321</v>
      </c>
      <c r="C140" s="14" t="s">
        <v>16090</v>
      </c>
      <c r="D140" s="14">
        <v>3</v>
      </c>
      <c r="E140" s="14">
        <v>1239</v>
      </c>
      <c r="F140" s="14">
        <v>9</v>
      </c>
      <c r="G140" s="14">
        <v>15605</v>
      </c>
      <c r="H140" s="14">
        <v>0.0291650927642967</v>
      </c>
      <c r="I140" s="14">
        <v>0.29613023645309</v>
      </c>
      <c r="J140" s="14">
        <v>4.19827818132903</v>
      </c>
      <c r="K140" s="14" t="s">
        <v>19902</v>
      </c>
    </row>
    <row r="141" spans="1:11">
      <c r="A141" s="14" t="s">
        <v>18324</v>
      </c>
      <c r="B141" s="14" t="s">
        <v>18325</v>
      </c>
      <c r="C141" s="14" t="s">
        <v>16086</v>
      </c>
      <c r="D141" s="14">
        <v>3</v>
      </c>
      <c r="E141" s="14">
        <v>1239</v>
      </c>
      <c r="F141" s="14">
        <v>9</v>
      </c>
      <c r="G141" s="14">
        <v>15605</v>
      </c>
      <c r="H141" s="14">
        <v>0.0291650927642967</v>
      </c>
      <c r="I141" s="14">
        <v>0.29613023645309</v>
      </c>
      <c r="J141" s="14">
        <v>4.19827818132903</v>
      </c>
      <c r="K141" s="14" t="s">
        <v>19903</v>
      </c>
    </row>
    <row r="142" spans="1:11">
      <c r="A142" s="14" t="s">
        <v>19904</v>
      </c>
      <c r="B142" s="14" t="s">
        <v>19905</v>
      </c>
      <c r="C142" s="14" t="s">
        <v>16090</v>
      </c>
      <c r="D142" s="14">
        <v>3</v>
      </c>
      <c r="E142" s="14">
        <v>1239</v>
      </c>
      <c r="F142" s="14">
        <v>9</v>
      </c>
      <c r="G142" s="14">
        <v>15605</v>
      </c>
      <c r="H142" s="14">
        <v>0.0291650927642967</v>
      </c>
      <c r="I142" s="14">
        <v>0.29613023645309</v>
      </c>
      <c r="J142" s="14">
        <v>4.19827818132903</v>
      </c>
      <c r="K142" s="14" t="s">
        <v>19906</v>
      </c>
    </row>
    <row r="143" spans="1:11">
      <c r="A143" s="14" t="s">
        <v>16480</v>
      </c>
      <c r="B143" s="14" t="s">
        <v>16481</v>
      </c>
      <c r="C143" s="14" t="s">
        <v>16086</v>
      </c>
      <c r="D143" s="14">
        <v>15</v>
      </c>
      <c r="E143" s="14">
        <v>1239</v>
      </c>
      <c r="F143" s="14">
        <v>111</v>
      </c>
      <c r="G143" s="14">
        <v>15605</v>
      </c>
      <c r="H143" s="14">
        <v>0.0292192885513546</v>
      </c>
      <c r="I143" s="14">
        <v>0.29613023645309</v>
      </c>
      <c r="J143" s="14">
        <v>1.70200466810636</v>
      </c>
      <c r="K143" s="14" t="s">
        <v>19907</v>
      </c>
    </row>
    <row r="144" spans="1:11">
      <c r="A144" s="14" t="s">
        <v>19908</v>
      </c>
      <c r="B144" s="14" t="s">
        <v>19909</v>
      </c>
      <c r="C144" s="14" t="s">
        <v>16086</v>
      </c>
      <c r="D144" s="14">
        <v>5</v>
      </c>
      <c r="E144" s="14">
        <v>1239</v>
      </c>
      <c r="F144" s="14">
        <v>23</v>
      </c>
      <c r="G144" s="14">
        <v>15605</v>
      </c>
      <c r="H144" s="14">
        <v>0.0315962425068542</v>
      </c>
      <c r="I144" s="14">
        <v>0.315741472323739</v>
      </c>
      <c r="J144" s="14">
        <v>2.73800750956241</v>
      </c>
      <c r="K144" s="14" t="s">
        <v>19910</v>
      </c>
    </row>
    <row r="145" spans="1:11">
      <c r="A145" s="14" t="s">
        <v>17405</v>
      </c>
      <c r="B145" s="14" t="s">
        <v>17406</v>
      </c>
      <c r="C145" s="14" t="s">
        <v>16090</v>
      </c>
      <c r="D145" s="14">
        <v>5</v>
      </c>
      <c r="E145" s="14">
        <v>1239</v>
      </c>
      <c r="F145" s="14">
        <v>23</v>
      </c>
      <c r="G145" s="14">
        <v>15605</v>
      </c>
      <c r="H145" s="14">
        <v>0.0315962425068542</v>
      </c>
      <c r="I145" s="14">
        <v>0.315741472323739</v>
      </c>
      <c r="J145" s="14">
        <v>2.73800750956241</v>
      </c>
      <c r="K145" s="14" t="s">
        <v>19911</v>
      </c>
    </row>
    <row r="146" spans="1:11">
      <c r="A146" s="14" t="s">
        <v>19395</v>
      </c>
      <c r="B146" s="14" t="s">
        <v>19396</v>
      </c>
      <c r="C146" s="14" t="s">
        <v>16090</v>
      </c>
      <c r="D146" s="14">
        <v>6</v>
      </c>
      <c r="E146" s="14">
        <v>1239</v>
      </c>
      <c r="F146" s="14">
        <v>31</v>
      </c>
      <c r="G146" s="14">
        <v>15605</v>
      </c>
      <c r="H146" s="14">
        <v>0.0327130365848968</v>
      </c>
      <c r="I146" s="14">
        <v>0.324631453332066</v>
      </c>
      <c r="J146" s="14">
        <v>2.43770991173944</v>
      </c>
      <c r="K146" s="14" t="s">
        <v>19912</v>
      </c>
    </row>
    <row r="147" spans="1:11">
      <c r="A147" s="14" t="s">
        <v>16989</v>
      </c>
      <c r="B147" s="14" t="s">
        <v>16990</v>
      </c>
      <c r="C147" s="14" t="s">
        <v>16090</v>
      </c>
      <c r="D147" s="14">
        <v>4</v>
      </c>
      <c r="E147" s="14">
        <v>1239</v>
      </c>
      <c r="F147" s="14">
        <v>16</v>
      </c>
      <c r="G147" s="14">
        <v>15605</v>
      </c>
      <c r="H147" s="14">
        <v>0.033267974297084</v>
      </c>
      <c r="I147" s="14">
        <v>0.325615995003651</v>
      </c>
      <c r="J147" s="14">
        <v>3.14870863599677</v>
      </c>
      <c r="K147" s="14" t="s">
        <v>19913</v>
      </c>
    </row>
    <row r="148" spans="1:11">
      <c r="A148" s="14" t="s">
        <v>16532</v>
      </c>
      <c r="B148" s="14" t="s">
        <v>16533</v>
      </c>
      <c r="C148" s="14" t="s">
        <v>16090</v>
      </c>
      <c r="D148" s="14">
        <v>4</v>
      </c>
      <c r="E148" s="14">
        <v>1239</v>
      </c>
      <c r="F148" s="14">
        <v>16</v>
      </c>
      <c r="G148" s="14">
        <v>15605</v>
      </c>
      <c r="H148" s="14">
        <v>0.033267974297084</v>
      </c>
      <c r="I148" s="14">
        <v>0.325615995003651</v>
      </c>
      <c r="J148" s="14">
        <v>3.14870863599677</v>
      </c>
      <c r="K148" s="14" t="s">
        <v>19914</v>
      </c>
    </row>
    <row r="149" spans="1:11">
      <c r="A149" s="14" t="s">
        <v>19265</v>
      </c>
      <c r="B149" s="14" t="s">
        <v>19266</v>
      </c>
      <c r="C149" s="14" t="s">
        <v>16086</v>
      </c>
      <c r="D149" s="14">
        <v>5</v>
      </c>
      <c r="E149" s="14">
        <v>1239</v>
      </c>
      <c r="F149" s="14">
        <v>24</v>
      </c>
      <c r="G149" s="14">
        <v>15605</v>
      </c>
      <c r="H149" s="14">
        <v>0.0373851934287425</v>
      </c>
      <c r="I149" s="14">
        <v>0.362254657702576</v>
      </c>
      <c r="J149" s="14">
        <v>2.62392386333064</v>
      </c>
      <c r="K149" s="14" t="s">
        <v>19915</v>
      </c>
    </row>
    <row r="150" spans="1:11">
      <c r="A150" s="14" t="s">
        <v>19371</v>
      </c>
      <c r="B150" s="14" t="s">
        <v>19372</v>
      </c>
      <c r="C150" s="14" t="s">
        <v>16090</v>
      </c>
      <c r="D150" s="14">
        <v>8</v>
      </c>
      <c r="E150" s="14">
        <v>1239</v>
      </c>
      <c r="F150" s="14">
        <v>49</v>
      </c>
      <c r="G150" s="14">
        <v>15605</v>
      </c>
      <c r="H150" s="14">
        <v>0.0377310907632119</v>
      </c>
      <c r="I150" s="14">
        <v>0.362254657702576</v>
      </c>
      <c r="J150" s="14">
        <v>2.05629951738565</v>
      </c>
      <c r="K150" s="14" t="s">
        <v>19916</v>
      </c>
    </row>
    <row r="151" spans="1:11">
      <c r="A151" s="14" t="s">
        <v>2960</v>
      </c>
      <c r="B151" s="14" t="s">
        <v>2961</v>
      </c>
      <c r="C151" s="14" t="s">
        <v>16086</v>
      </c>
      <c r="D151" s="14">
        <v>10</v>
      </c>
      <c r="E151" s="14">
        <v>1239</v>
      </c>
      <c r="F151" s="14">
        <v>67</v>
      </c>
      <c r="G151" s="14">
        <v>15605</v>
      </c>
      <c r="H151" s="14">
        <v>0.0377718292496038</v>
      </c>
      <c r="I151" s="14">
        <v>0.362254657702576</v>
      </c>
      <c r="J151" s="14">
        <v>1.87982605134136</v>
      </c>
      <c r="K151" s="14" t="s">
        <v>19917</v>
      </c>
    </row>
    <row r="152" spans="1:11">
      <c r="A152" s="14" t="s">
        <v>16312</v>
      </c>
      <c r="B152" s="14" t="s">
        <v>16313</v>
      </c>
      <c r="C152" s="14" t="s">
        <v>16090</v>
      </c>
      <c r="D152" s="14">
        <v>3</v>
      </c>
      <c r="E152" s="14">
        <v>1239</v>
      </c>
      <c r="F152" s="14">
        <v>10</v>
      </c>
      <c r="G152" s="14">
        <v>15605</v>
      </c>
      <c r="H152" s="14">
        <v>0.0392528620405693</v>
      </c>
      <c r="I152" s="14">
        <v>0.371472449377309</v>
      </c>
      <c r="J152" s="14">
        <v>3.77845036319613</v>
      </c>
      <c r="K152" s="14" t="s">
        <v>19918</v>
      </c>
    </row>
    <row r="153" spans="1:11">
      <c r="A153" s="14" t="s">
        <v>18496</v>
      </c>
      <c r="B153" s="14" t="s">
        <v>18497</v>
      </c>
      <c r="C153" s="14" t="s">
        <v>16090</v>
      </c>
      <c r="D153" s="14">
        <v>3</v>
      </c>
      <c r="E153" s="14">
        <v>1239</v>
      </c>
      <c r="F153" s="14">
        <v>10</v>
      </c>
      <c r="G153" s="14">
        <v>15605</v>
      </c>
      <c r="H153" s="14">
        <v>0.0392528620405693</v>
      </c>
      <c r="I153" s="14">
        <v>0.371472449377309</v>
      </c>
      <c r="J153" s="14">
        <v>3.77845036319613</v>
      </c>
      <c r="K153" s="14" t="s">
        <v>19919</v>
      </c>
    </row>
    <row r="154" spans="1:11">
      <c r="A154" s="14" t="s">
        <v>19920</v>
      </c>
      <c r="B154" s="14" t="s">
        <v>19921</v>
      </c>
      <c r="C154" s="14" t="s">
        <v>16090</v>
      </c>
      <c r="D154" s="14">
        <v>4</v>
      </c>
      <c r="E154" s="14">
        <v>1239</v>
      </c>
      <c r="F154" s="14">
        <v>17</v>
      </c>
      <c r="G154" s="14">
        <v>15605</v>
      </c>
      <c r="H154" s="14">
        <v>0.0408481245309657</v>
      </c>
      <c r="I154" s="14">
        <v>0.381516143495098</v>
      </c>
      <c r="J154" s="14">
        <v>2.96349048093814</v>
      </c>
      <c r="K154" s="14" t="s">
        <v>19721</v>
      </c>
    </row>
    <row r="155" spans="1:11">
      <c r="A155" s="14" t="s">
        <v>19001</v>
      </c>
      <c r="B155" s="14" t="s">
        <v>19002</v>
      </c>
      <c r="C155" s="14" t="s">
        <v>16090</v>
      </c>
      <c r="D155" s="14">
        <v>4</v>
      </c>
      <c r="E155" s="14">
        <v>1239</v>
      </c>
      <c r="F155" s="14">
        <v>17</v>
      </c>
      <c r="G155" s="14">
        <v>15605</v>
      </c>
      <c r="H155" s="14">
        <v>0.0408481245309657</v>
      </c>
      <c r="I155" s="14">
        <v>0.381516143495098</v>
      </c>
      <c r="J155" s="14">
        <v>2.96349048093814</v>
      </c>
      <c r="K155" s="14" t="s">
        <v>19922</v>
      </c>
    </row>
    <row r="156" spans="1:11">
      <c r="A156" s="14" t="s">
        <v>19018</v>
      </c>
      <c r="B156" s="14" t="s">
        <v>19019</v>
      </c>
      <c r="C156" s="14" t="s">
        <v>16086</v>
      </c>
      <c r="D156" s="14">
        <v>6</v>
      </c>
      <c r="E156" s="14">
        <v>1239</v>
      </c>
      <c r="F156" s="14">
        <v>33</v>
      </c>
      <c r="G156" s="14">
        <v>15605</v>
      </c>
      <c r="H156" s="14">
        <v>0.0430426492367898</v>
      </c>
      <c r="I156" s="14">
        <v>0.399402245190731</v>
      </c>
      <c r="J156" s="14">
        <v>2.28996991708856</v>
      </c>
      <c r="K156" s="14" t="s">
        <v>19923</v>
      </c>
    </row>
    <row r="157" spans="1:11">
      <c r="A157" s="14" t="s">
        <v>17625</v>
      </c>
      <c r="B157" s="14" t="s">
        <v>17626</v>
      </c>
      <c r="C157" s="14" t="s">
        <v>16096</v>
      </c>
      <c r="D157" s="14">
        <v>5</v>
      </c>
      <c r="E157" s="14">
        <v>1239</v>
      </c>
      <c r="F157" s="14">
        <v>25</v>
      </c>
      <c r="G157" s="14">
        <v>15605</v>
      </c>
      <c r="H157" s="14">
        <v>0.0437817594162658</v>
      </c>
      <c r="I157" s="14">
        <v>0.400911498326477</v>
      </c>
      <c r="J157" s="14">
        <v>2.51896690879742</v>
      </c>
      <c r="K157" s="14" t="s">
        <v>19924</v>
      </c>
    </row>
    <row r="158" spans="1:11">
      <c r="A158" s="14" t="s">
        <v>16121</v>
      </c>
      <c r="B158" s="14" t="s">
        <v>16122</v>
      </c>
      <c r="C158" s="14" t="s">
        <v>16086</v>
      </c>
      <c r="D158" s="14">
        <v>8</v>
      </c>
      <c r="E158" s="14">
        <v>1239</v>
      </c>
      <c r="F158" s="14">
        <v>51</v>
      </c>
      <c r="G158" s="14">
        <v>15605</v>
      </c>
      <c r="H158" s="14">
        <v>0.0463978366850223</v>
      </c>
      <c r="I158" s="14">
        <v>0.400911498326477</v>
      </c>
      <c r="J158" s="14">
        <v>1.97566032062543</v>
      </c>
      <c r="K158" s="14" t="s">
        <v>19925</v>
      </c>
    </row>
    <row r="159" spans="1:11">
      <c r="A159" s="14" t="s">
        <v>19023</v>
      </c>
      <c r="B159" s="14" t="s">
        <v>19024</v>
      </c>
      <c r="C159" s="14" t="s">
        <v>16090</v>
      </c>
      <c r="D159" s="14">
        <v>4</v>
      </c>
      <c r="E159" s="14">
        <v>1239</v>
      </c>
      <c r="F159" s="14">
        <v>18</v>
      </c>
      <c r="G159" s="14">
        <v>15605</v>
      </c>
      <c r="H159" s="14">
        <v>0.0493233446509178</v>
      </c>
      <c r="I159" s="14">
        <v>0.400911498326477</v>
      </c>
      <c r="J159" s="14">
        <v>2.79885212088602</v>
      </c>
      <c r="K159" s="14" t="s">
        <v>19926</v>
      </c>
    </row>
    <row r="160" spans="1:11">
      <c r="A160" s="14" t="s">
        <v>18034</v>
      </c>
      <c r="B160" s="14" t="s">
        <v>18035</v>
      </c>
      <c r="C160" s="14" t="s">
        <v>16086</v>
      </c>
      <c r="D160" s="14">
        <v>4</v>
      </c>
      <c r="E160" s="14">
        <v>1239</v>
      </c>
      <c r="F160" s="14">
        <v>18</v>
      </c>
      <c r="G160" s="14">
        <v>15605</v>
      </c>
      <c r="H160" s="14">
        <v>0.0493233446509178</v>
      </c>
      <c r="I160" s="14">
        <v>0.400911498326477</v>
      </c>
      <c r="J160" s="14">
        <v>2.79885212088602</v>
      </c>
      <c r="K160" s="14" t="s">
        <v>19927</v>
      </c>
    </row>
    <row r="161" spans="1:11">
      <c r="A161" s="14" t="s">
        <v>17114</v>
      </c>
      <c r="B161" s="14" t="s">
        <v>17115</v>
      </c>
      <c r="C161" s="14" t="s">
        <v>16090</v>
      </c>
      <c r="D161" s="14">
        <v>4</v>
      </c>
      <c r="E161" s="14">
        <v>1239</v>
      </c>
      <c r="F161" s="14">
        <v>18</v>
      </c>
      <c r="G161" s="14">
        <v>15605</v>
      </c>
      <c r="H161" s="14">
        <v>0.0493233446509178</v>
      </c>
      <c r="I161" s="14">
        <v>0.400911498326477</v>
      </c>
      <c r="J161" s="14">
        <v>2.79885212088602</v>
      </c>
      <c r="K161" s="14" t="s">
        <v>19928</v>
      </c>
    </row>
    <row r="162" spans="1:11">
      <c r="A162" s="14" t="s">
        <v>16204</v>
      </c>
      <c r="B162" s="14" t="s">
        <v>16205</v>
      </c>
      <c r="C162" s="14" t="s">
        <v>16090</v>
      </c>
      <c r="D162" s="14">
        <v>14</v>
      </c>
      <c r="E162" s="14">
        <v>1239</v>
      </c>
      <c r="F162" s="14">
        <v>109</v>
      </c>
      <c r="G162" s="14">
        <v>15605</v>
      </c>
      <c r="H162" s="14">
        <v>0.0495928651602718</v>
      </c>
      <c r="I162" s="14">
        <v>0.400911498326477</v>
      </c>
      <c r="J162" s="14">
        <v>1.61768517078733</v>
      </c>
      <c r="K162" s="14" t="s">
        <v>19929</v>
      </c>
    </row>
    <row r="163" spans="1:11">
      <c r="A163" s="14" t="s">
        <v>17668</v>
      </c>
      <c r="B163" s="14" t="s">
        <v>17669</v>
      </c>
      <c r="C163" s="14" t="s">
        <v>16086</v>
      </c>
      <c r="D163" s="14">
        <v>5</v>
      </c>
      <c r="E163" s="14">
        <v>1239</v>
      </c>
      <c r="F163" s="14">
        <v>26</v>
      </c>
      <c r="G163" s="14">
        <v>15605</v>
      </c>
      <c r="H163" s="14">
        <v>0.0507935828511492</v>
      </c>
      <c r="I163" s="14">
        <v>0.400911498326477</v>
      </c>
      <c r="J163" s="14">
        <v>2.42208356615136</v>
      </c>
      <c r="K163" s="14" t="s">
        <v>19930</v>
      </c>
    </row>
    <row r="164" spans="1:11">
      <c r="A164" s="14" t="s">
        <v>19931</v>
      </c>
      <c r="B164" s="14" t="s">
        <v>19932</v>
      </c>
      <c r="C164" s="14" t="s">
        <v>16086</v>
      </c>
      <c r="D164" s="14">
        <v>3</v>
      </c>
      <c r="E164" s="14">
        <v>1239</v>
      </c>
      <c r="F164" s="14">
        <v>11</v>
      </c>
      <c r="G164" s="14">
        <v>15605</v>
      </c>
      <c r="H164" s="14">
        <v>0.0508631761667314</v>
      </c>
      <c r="I164" s="14">
        <v>0.400911498326477</v>
      </c>
      <c r="J164" s="14">
        <v>3.43495487563284</v>
      </c>
      <c r="K164" s="14" t="s">
        <v>19933</v>
      </c>
    </row>
    <row r="165" spans="1:11">
      <c r="A165" s="14" t="s">
        <v>18574</v>
      </c>
      <c r="B165" s="14" t="s">
        <v>18575</v>
      </c>
      <c r="C165" s="14" t="s">
        <v>16086</v>
      </c>
      <c r="D165" s="14">
        <v>3</v>
      </c>
      <c r="E165" s="14">
        <v>1239</v>
      </c>
      <c r="F165" s="14">
        <v>11</v>
      </c>
      <c r="G165" s="14">
        <v>15605</v>
      </c>
      <c r="H165" s="14">
        <v>0.0508631761667314</v>
      </c>
      <c r="I165" s="14">
        <v>0.400911498326477</v>
      </c>
      <c r="J165" s="14">
        <v>3.43495487563284</v>
      </c>
      <c r="K165" s="14" t="s">
        <v>19934</v>
      </c>
    </row>
    <row r="166" spans="1:11">
      <c r="A166" s="14" t="s">
        <v>17199</v>
      </c>
      <c r="B166" s="14" t="s">
        <v>17200</v>
      </c>
      <c r="C166" s="14" t="s">
        <v>16086</v>
      </c>
      <c r="D166" s="14">
        <v>3</v>
      </c>
      <c r="E166" s="14">
        <v>1239</v>
      </c>
      <c r="F166" s="14">
        <v>11</v>
      </c>
      <c r="G166" s="14">
        <v>15605</v>
      </c>
      <c r="H166" s="14">
        <v>0.0508631761667314</v>
      </c>
      <c r="I166" s="14">
        <v>0.400911498326477</v>
      </c>
      <c r="J166" s="14">
        <v>3.43495487563284</v>
      </c>
      <c r="K166" s="14" t="s">
        <v>19935</v>
      </c>
    </row>
    <row r="167" spans="1:11">
      <c r="A167" s="14" t="s">
        <v>19936</v>
      </c>
      <c r="B167" s="14" t="s">
        <v>19937</v>
      </c>
      <c r="C167" s="14" t="s">
        <v>16090</v>
      </c>
      <c r="D167" s="14">
        <v>3</v>
      </c>
      <c r="E167" s="14">
        <v>1239</v>
      </c>
      <c r="F167" s="14">
        <v>11</v>
      </c>
      <c r="G167" s="14">
        <v>15605</v>
      </c>
      <c r="H167" s="14">
        <v>0.0508631761667314</v>
      </c>
      <c r="I167" s="14">
        <v>0.400911498326477</v>
      </c>
      <c r="J167" s="14">
        <v>3.43495487563284</v>
      </c>
      <c r="K167" s="14" t="s">
        <v>19938</v>
      </c>
    </row>
    <row r="168" spans="1:11">
      <c r="A168" s="14" t="s">
        <v>18604</v>
      </c>
      <c r="B168" s="14" t="s">
        <v>18605</v>
      </c>
      <c r="C168" s="14" t="s">
        <v>16090</v>
      </c>
      <c r="D168" s="14">
        <v>3</v>
      </c>
      <c r="E168" s="14">
        <v>1239</v>
      </c>
      <c r="F168" s="14">
        <v>11</v>
      </c>
      <c r="G168" s="14">
        <v>15605</v>
      </c>
      <c r="H168" s="14">
        <v>0.0508631761667314</v>
      </c>
      <c r="I168" s="14">
        <v>0.400911498326477</v>
      </c>
      <c r="J168" s="14">
        <v>3.43495487563284</v>
      </c>
      <c r="K168" s="14" t="s">
        <v>19939</v>
      </c>
    </row>
    <row r="169" spans="1:11">
      <c r="A169" s="14" t="s">
        <v>19940</v>
      </c>
      <c r="B169" s="14" t="s">
        <v>19941</v>
      </c>
      <c r="C169" s="14" t="s">
        <v>16086</v>
      </c>
      <c r="D169" s="14">
        <v>2</v>
      </c>
      <c r="E169" s="14">
        <v>1239</v>
      </c>
      <c r="F169" s="14">
        <v>5</v>
      </c>
      <c r="G169" s="14">
        <v>15605</v>
      </c>
      <c r="H169" s="14">
        <v>0.0535857915887734</v>
      </c>
      <c r="I169" s="14">
        <v>0.400911498326477</v>
      </c>
      <c r="J169" s="14">
        <v>5.03793381759483</v>
      </c>
      <c r="K169" s="14" t="s">
        <v>19942</v>
      </c>
    </row>
    <row r="170" spans="1:11">
      <c r="A170" s="14" t="s">
        <v>19943</v>
      </c>
      <c r="B170" s="14" t="s">
        <v>19944</v>
      </c>
      <c r="C170" s="14" t="s">
        <v>16096</v>
      </c>
      <c r="D170" s="14">
        <v>2</v>
      </c>
      <c r="E170" s="14">
        <v>1239</v>
      </c>
      <c r="F170" s="14">
        <v>5</v>
      </c>
      <c r="G170" s="14">
        <v>15605</v>
      </c>
      <c r="H170" s="14">
        <v>0.0535857915887734</v>
      </c>
      <c r="I170" s="14">
        <v>0.400911498326477</v>
      </c>
      <c r="J170" s="14">
        <v>5.03793381759483</v>
      </c>
      <c r="K170" s="14" t="s">
        <v>19945</v>
      </c>
    </row>
    <row r="171" spans="1:11">
      <c r="A171" s="14" t="s">
        <v>19946</v>
      </c>
      <c r="B171" s="14" t="s">
        <v>19947</v>
      </c>
      <c r="C171" s="14" t="s">
        <v>16086</v>
      </c>
      <c r="D171" s="14">
        <v>2</v>
      </c>
      <c r="E171" s="14">
        <v>1239</v>
      </c>
      <c r="F171" s="14">
        <v>5</v>
      </c>
      <c r="G171" s="14">
        <v>15605</v>
      </c>
      <c r="H171" s="14">
        <v>0.0535857915887734</v>
      </c>
      <c r="I171" s="14">
        <v>0.400911498326477</v>
      </c>
      <c r="J171" s="14">
        <v>5.03793381759483</v>
      </c>
      <c r="K171" s="14" t="s">
        <v>19948</v>
      </c>
    </row>
    <row r="172" spans="1:11">
      <c r="A172" s="14" t="s">
        <v>17488</v>
      </c>
      <c r="B172" s="14" t="s">
        <v>17489</v>
      </c>
      <c r="C172" s="14" t="s">
        <v>16096</v>
      </c>
      <c r="D172" s="14">
        <v>2</v>
      </c>
      <c r="E172" s="14">
        <v>1239</v>
      </c>
      <c r="F172" s="14">
        <v>5</v>
      </c>
      <c r="G172" s="14">
        <v>15605</v>
      </c>
      <c r="H172" s="14">
        <v>0.0535857915887734</v>
      </c>
      <c r="I172" s="14">
        <v>0.400911498326477</v>
      </c>
      <c r="J172" s="14">
        <v>5.03793381759483</v>
      </c>
      <c r="K172" s="14" t="s">
        <v>19949</v>
      </c>
    </row>
    <row r="173" spans="1:11">
      <c r="A173" s="14" t="s">
        <v>19950</v>
      </c>
      <c r="B173" s="14" t="s">
        <v>19951</v>
      </c>
      <c r="C173" s="14" t="s">
        <v>16090</v>
      </c>
      <c r="D173" s="14">
        <v>2</v>
      </c>
      <c r="E173" s="14">
        <v>1239</v>
      </c>
      <c r="F173" s="14">
        <v>5</v>
      </c>
      <c r="G173" s="14">
        <v>15605</v>
      </c>
      <c r="H173" s="14">
        <v>0.0535857915887734</v>
      </c>
      <c r="I173" s="14">
        <v>0.400911498326477</v>
      </c>
      <c r="J173" s="14">
        <v>5.03793381759483</v>
      </c>
      <c r="K173" s="14" t="s">
        <v>19952</v>
      </c>
    </row>
    <row r="174" spans="1:11">
      <c r="A174" s="14" t="s">
        <v>19953</v>
      </c>
      <c r="B174" s="14" t="s">
        <v>19954</v>
      </c>
      <c r="C174" s="14" t="s">
        <v>16090</v>
      </c>
      <c r="D174" s="14">
        <v>2</v>
      </c>
      <c r="E174" s="14">
        <v>1239</v>
      </c>
      <c r="F174" s="14">
        <v>5</v>
      </c>
      <c r="G174" s="14">
        <v>15605</v>
      </c>
      <c r="H174" s="14">
        <v>0.0535857915887734</v>
      </c>
      <c r="I174" s="14">
        <v>0.400911498326477</v>
      </c>
      <c r="J174" s="14">
        <v>5.03793381759483</v>
      </c>
      <c r="K174" s="14" t="s">
        <v>19955</v>
      </c>
    </row>
    <row r="175" spans="1:11">
      <c r="A175" s="14" t="s">
        <v>19956</v>
      </c>
      <c r="B175" s="14" t="s">
        <v>19957</v>
      </c>
      <c r="C175" s="14" t="s">
        <v>16090</v>
      </c>
      <c r="D175" s="14">
        <v>2</v>
      </c>
      <c r="E175" s="14">
        <v>1239</v>
      </c>
      <c r="F175" s="14">
        <v>5</v>
      </c>
      <c r="G175" s="14">
        <v>15605</v>
      </c>
      <c r="H175" s="14">
        <v>0.0535857915887734</v>
      </c>
      <c r="I175" s="14">
        <v>0.400911498326477</v>
      </c>
      <c r="J175" s="14">
        <v>5.03793381759483</v>
      </c>
      <c r="K175" s="14" t="s">
        <v>19958</v>
      </c>
    </row>
    <row r="176" spans="1:11">
      <c r="A176" s="14" t="s">
        <v>17506</v>
      </c>
      <c r="B176" s="14" t="s">
        <v>17507</v>
      </c>
      <c r="C176" s="14" t="s">
        <v>16090</v>
      </c>
      <c r="D176" s="14">
        <v>2</v>
      </c>
      <c r="E176" s="14">
        <v>1239</v>
      </c>
      <c r="F176" s="14">
        <v>5</v>
      </c>
      <c r="G176" s="14">
        <v>15605</v>
      </c>
      <c r="H176" s="14">
        <v>0.0535857915887734</v>
      </c>
      <c r="I176" s="14">
        <v>0.400911498326477</v>
      </c>
      <c r="J176" s="14">
        <v>5.03793381759483</v>
      </c>
      <c r="K176" s="14" t="s">
        <v>19959</v>
      </c>
    </row>
    <row r="177" spans="1:11">
      <c r="A177" s="14" t="s">
        <v>17508</v>
      </c>
      <c r="B177" s="14" t="s">
        <v>17509</v>
      </c>
      <c r="C177" s="14" t="s">
        <v>16086</v>
      </c>
      <c r="D177" s="14">
        <v>2</v>
      </c>
      <c r="E177" s="14">
        <v>1239</v>
      </c>
      <c r="F177" s="14">
        <v>5</v>
      </c>
      <c r="G177" s="14">
        <v>15605</v>
      </c>
      <c r="H177" s="14">
        <v>0.0535857915887734</v>
      </c>
      <c r="I177" s="14">
        <v>0.400911498326477</v>
      </c>
      <c r="J177" s="14">
        <v>5.03793381759483</v>
      </c>
      <c r="K177" s="14" t="s">
        <v>19960</v>
      </c>
    </row>
    <row r="178" spans="1:11">
      <c r="A178" s="14" t="s">
        <v>19961</v>
      </c>
      <c r="B178" s="14" t="s">
        <v>19962</v>
      </c>
      <c r="C178" s="14" t="s">
        <v>16086</v>
      </c>
      <c r="D178" s="14">
        <v>2</v>
      </c>
      <c r="E178" s="14">
        <v>1239</v>
      </c>
      <c r="F178" s="14">
        <v>5</v>
      </c>
      <c r="G178" s="14">
        <v>15605</v>
      </c>
      <c r="H178" s="14">
        <v>0.0535857915887734</v>
      </c>
      <c r="I178" s="14">
        <v>0.400911498326477</v>
      </c>
      <c r="J178" s="14">
        <v>5.03793381759483</v>
      </c>
      <c r="K178" s="14" t="s">
        <v>19963</v>
      </c>
    </row>
    <row r="179" spans="1:11">
      <c r="A179" s="14" t="s">
        <v>17530</v>
      </c>
      <c r="B179" s="14" t="s">
        <v>17531</v>
      </c>
      <c r="C179" s="14" t="s">
        <v>16090</v>
      </c>
      <c r="D179" s="14">
        <v>2</v>
      </c>
      <c r="E179" s="14">
        <v>1239</v>
      </c>
      <c r="F179" s="14">
        <v>5</v>
      </c>
      <c r="G179" s="14">
        <v>15605</v>
      </c>
      <c r="H179" s="14">
        <v>0.0535857915887734</v>
      </c>
      <c r="I179" s="14">
        <v>0.400911498326477</v>
      </c>
      <c r="J179" s="14">
        <v>5.03793381759483</v>
      </c>
      <c r="K179" s="14" t="s">
        <v>19964</v>
      </c>
    </row>
    <row r="180" spans="1:11">
      <c r="A180" s="14" t="s">
        <v>19965</v>
      </c>
      <c r="B180" s="14" t="s">
        <v>19966</v>
      </c>
      <c r="C180" s="14" t="s">
        <v>16090</v>
      </c>
      <c r="D180" s="14">
        <v>2</v>
      </c>
      <c r="E180" s="14">
        <v>1239</v>
      </c>
      <c r="F180" s="14">
        <v>5</v>
      </c>
      <c r="G180" s="14">
        <v>15605</v>
      </c>
      <c r="H180" s="14">
        <v>0.0535857915887734</v>
      </c>
      <c r="I180" s="14">
        <v>0.400911498326477</v>
      </c>
      <c r="J180" s="14">
        <v>5.03793381759483</v>
      </c>
      <c r="K180" s="14" t="s">
        <v>19967</v>
      </c>
    </row>
    <row r="181" spans="1:11">
      <c r="A181" s="14" t="s">
        <v>19968</v>
      </c>
      <c r="B181" s="14" t="s">
        <v>19969</v>
      </c>
      <c r="C181" s="14" t="s">
        <v>16090</v>
      </c>
      <c r="D181" s="14">
        <v>2</v>
      </c>
      <c r="E181" s="14">
        <v>1239</v>
      </c>
      <c r="F181" s="14">
        <v>5</v>
      </c>
      <c r="G181" s="14">
        <v>15605</v>
      </c>
      <c r="H181" s="14">
        <v>0.0535857915887734</v>
      </c>
      <c r="I181" s="14">
        <v>0.400911498326477</v>
      </c>
      <c r="J181" s="14">
        <v>5.03793381759483</v>
      </c>
      <c r="K181" s="14" t="s">
        <v>19970</v>
      </c>
    </row>
    <row r="182" spans="1:11">
      <c r="A182" s="14" t="s">
        <v>19971</v>
      </c>
      <c r="B182" s="14" t="s">
        <v>19972</v>
      </c>
      <c r="C182" s="14" t="s">
        <v>16090</v>
      </c>
      <c r="D182" s="14">
        <v>2</v>
      </c>
      <c r="E182" s="14">
        <v>1239</v>
      </c>
      <c r="F182" s="14">
        <v>5</v>
      </c>
      <c r="G182" s="14">
        <v>15605</v>
      </c>
      <c r="H182" s="14">
        <v>0.0535857915887734</v>
      </c>
      <c r="I182" s="14">
        <v>0.400911498326477</v>
      </c>
      <c r="J182" s="14">
        <v>5.03793381759483</v>
      </c>
      <c r="K182" s="14" t="s">
        <v>19973</v>
      </c>
    </row>
    <row r="183" spans="1:11">
      <c r="A183" s="14" t="s">
        <v>19974</v>
      </c>
      <c r="B183" s="14" t="s">
        <v>19975</v>
      </c>
      <c r="C183" s="14" t="s">
        <v>16090</v>
      </c>
      <c r="D183" s="14">
        <v>2</v>
      </c>
      <c r="E183" s="14">
        <v>1239</v>
      </c>
      <c r="F183" s="14">
        <v>5</v>
      </c>
      <c r="G183" s="14">
        <v>15605</v>
      </c>
      <c r="H183" s="14">
        <v>0.0535857915887734</v>
      </c>
      <c r="I183" s="14">
        <v>0.400911498326477</v>
      </c>
      <c r="J183" s="14">
        <v>5.03793381759483</v>
      </c>
      <c r="K183" s="14" t="s">
        <v>19976</v>
      </c>
    </row>
    <row r="184" spans="1:11">
      <c r="A184" s="14" t="s">
        <v>19977</v>
      </c>
      <c r="B184" s="14" t="s">
        <v>19978</v>
      </c>
      <c r="C184" s="14" t="s">
        <v>16090</v>
      </c>
      <c r="D184" s="14">
        <v>2</v>
      </c>
      <c r="E184" s="14">
        <v>1239</v>
      </c>
      <c r="F184" s="14">
        <v>5</v>
      </c>
      <c r="G184" s="14">
        <v>15605</v>
      </c>
      <c r="H184" s="14">
        <v>0.0535857915887734</v>
      </c>
      <c r="I184" s="14">
        <v>0.400911498326477</v>
      </c>
      <c r="J184" s="14">
        <v>5.03793381759483</v>
      </c>
      <c r="K184" s="14" t="s">
        <v>19948</v>
      </c>
    </row>
    <row r="185" spans="1:11">
      <c r="A185" s="14" t="s">
        <v>19979</v>
      </c>
      <c r="B185" s="14" t="s">
        <v>19980</v>
      </c>
      <c r="C185" s="14" t="s">
        <v>16090</v>
      </c>
      <c r="D185" s="14">
        <v>2</v>
      </c>
      <c r="E185" s="14">
        <v>1239</v>
      </c>
      <c r="F185" s="14">
        <v>5</v>
      </c>
      <c r="G185" s="14">
        <v>15605</v>
      </c>
      <c r="H185" s="14">
        <v>0.0535857915887734</v>
      </c>
      <c r="I185" s="14">
        <v>0.400911498326477</v>
      </c>
      <c r="J185" s="14">
        <v>5.03793381759483</v>
      </c>
      <c r="K185" s="14" t="s">
        <v>19981</v>
      </c>
    </row>
    <row r="186" spans="1:11">
      <c r="A186" s="14" t="s">
        <v>19982</v>
      </c>
      <c r="B186" s="14" t="s">
        <v>19983</v>
      </c>
      <c r="C186" s="14" t="s">
        <v>16090</v>
      </c>
      <c r="D186" s="14">
        <v>2</v>
      </c>
      <c r="E186" s="14">
        <v>1239</v>
      </c>
      <c r="F186" s="14">
        <v>5</v>
      </c>
      <c r="G186" s="14">
        <v>15605</v>
      </c>
      <c r="H186" s="14">
        <v>0.0535857915887734</v>
      </c>
      <c r="I186" s="14">
        <v>0.400911498326477</v>
      </c>
      <c r="J186" s="14">
        <v>5.03793381759483</v>
      </c>
      <c r="K186" s="14" t="s">
        <v>19984</v>
      </c>
    </row>
    <row r="187" spans="1:11">
      <c r="A187" s="14" t="s">
        <v>19985</v>
      </c>
      <c r="B187" s="14" t="s">
        <v>19986</v>
      </c>
      <c r="C187" s="14" t="s">
        <v>16090</v>
      </c>
      <c r="D187" s="14">
        <v>2</v>
      </c>
      <c r="E187" s="14">
        <v>1239</v>
      </c>
      <c r="F187" s="14">
        <v>5</v>
      </c>
      <c r="G187" s="14">
        <v>15605</v>
      </c>
      <c r="H187" s="14">
        <v>0.0535857915887734</v>
      </c>
      <c r="I187" s="14">
        <v>0.400911498326477</v>
      </c>
      <c r="J187" s="14">
        <v>5.03793381759483</v>
      </c>
      <c r="K187" s="14" t="s">
        <v>19987</v>
      </c>
    </row>
    <row r="188" spans="1:11">
      <c r="A188" s="14" t="s">
        <v>19988</v>
      </c>
      <c r="B188" s="14" t="s">
        <v>19989</v>
      </c>
      <c r="C188" s="14" t="s">
        <v>16090</v>
      </c>
      <c r="D188" s="14">
        <v>2</v>
      </c>
      <c r="E188" s="14">
        <v>1239</v>
      </c>
      <c r="F188" s="14">
        <v>5</v>
      </c>
      <c r="G188" s="14">
        <v>15605</v>
      </c>
      <c r="H188" s="14">
        <v>0.0535857915887734</v>
      </c>
      <c r="I188" s="14">
        <v>0.400911498326477</v>
      </c>
      <c r="J188" s="14">
        <v>5.03793381759483</v>
      </c>
      <c r="K188" s="14" t="s">
        <v>19984</v>
      </c>
    </row>
    <row r="189" spans="1:11">
      <c r="A189" s="14" t="s">
        <v>19990</v>
      </c>
      <c r="B189" s="14" t="s">
        <v>19991</v>
      </c>
      <c r="C189" s="14" t="s">
        <v>16086</v>
      </c>
      <c r="D189" s="14">
        <v>2</v>
      </c>
      <c r="E189" s="14">
        <v>1239</v>
      </c>
      <c r="F189" s="14">
        <v>5</v>
      </c>
      <c r="G189" s="14">
        <v>15605</v>
      </c>
      <c r="H189" s="14">
        <v>0.0535857915887734</v>
      </c>
      <c r="I189" s="14">
        <v>0.400911498326477</v>
      </c>
      <c r="J189" s="14">
        <v>5.03793381759483</v>
      </c>
      <c r="K189" s="14" t="s">
        <v>19992</v>
      </c>
    </row>
    <row r="190" spans="1:11">
      <c r="A190" s="14" t="s">
        <v>19993</v>
      </c>
      <c r="B190" s="14" t="s">
        <v>19994</v>
      </c>
      <c r="C190" s="14" t="s">
        <v>16086</v>
      </c>
      <c r="D190" s="14">
        <v>2</v>
      </c>
      <c r="E190" s="14">
        <v>1239</v>
      </c>
      <c r="F190" s="14">
        <v>5</v>
      </c>
      <c r="G190" s="14">
        <v>15605</v>
      </c>
      <c r="H190" s="14">
        <v>0.0535857915887734</v>
      </c>
      <c r="I190" s="14">
        <v>0.400911498326477</v>
      </c>
      <c r="J190" s="14">
        <v>5.03793381759483</v>
      </c>
      <c r="K190" s="14" t="s">
        <v>19992</v>
      </c>
    </row>
    <row r="191" spans="1:11">
      <c r="A191" s="14" t="s">
        <v>17588</v>
      </c>
      <c r="B191" s="14" t="s">
        <v>17589</v>
      </c>
      <c r="C191" s="14" t="s">
        <v>16090</v>
      </c>
      <c r="D191" s="14">
        <v>2</v>
      </c>
      <c r="E191" s="14">
        <v>1239</v>
      </c>
      <c r="F191" s="14">
        <v>5</v>
      </c>
      <c r="G191" s="14">
        <v>15605</v>
      </c>
      <c r="H191" s="14">
        <v>0.0535857915887734</v>
      </c>
      <c r="I191" s="14">
        <v>0.400911498326477</v>
      </c>
      <c r="J191" s="14">
        <v>5.03793381759483</v>
      </c>
      <c r="K191" s="14" t="s">
        <v>19995</v>
      </c>
    </row>
    <row r="192" spans="1:11">
      <c r="A192" s="14" t="s">
        <v>19996</v>
      </c>
      <c r="B192" s="14" t="s">
        <v>19997</v>
      </c>
      <c r="C192" s="14" t="s">
        <v>16090</v>
      </c>
      <c r="D192" s="14">
        <v>2</v>
      </c>
      <c r="E192" s="14">
        <v>1239</v>
      </c>
      <c r="F192" s="14">
        <v>5</v>
      </c>
      <c r="G192" s="14">
        <v>15605</v>
      </c>
      <c r="H192" s="14">
        <v>0.0535857915887734</v>
      </c>
      <c r="I192" s="14">
        <v>0.400911498326477</v>
      </c>
      <c r="J192" s="14">
        <v>5.03793381759483</v>
      </c>
      <c r="K192" s="14" t="s">
        <v>19998</v>
      </c>
    </row>
    <row r="193" spans="1:11">
      <c r="A193" s="14" t="s">
        <v>19999</v>
      </c>
      <c r="B193" s="14" t="s">
        <v>20000</v>
      </c>
      <c r="C193" s="14" t="s">
        <v>16096</v>
      </c>
      <c r="D193" s="14">
        <v>2</v>
      </c>
      <c r="E193" s="14">
        <v>1239</v>
      </c>
      <c r="F193" s="14">
        <v>5</v>
      </c>
      <c r="G193" s="14">
        <v>15605</v>
      </c>
      <c r="H193" s="14">
        <v>0.0535857915887734</v>
      </c>
      <c r="I193" s="14">
        <v>0.400911498326477</v>
      </c>
      <c r="J193" s="14">
        <v>5.03793381759483</v>
      </c>
      <c r="K193" s="14" t="s">
        <v>19984</v>
      </c>
    </row>
    <row r="194" spans="1:11">
      <c r="A194" s="14" t="s">
        <v>17090</v>
      </c>
      <c r="B194" s="14" t="s">
        <v>17091</v>
      </c>
      <c r="C194" s="14" t="s">
        <v>16090</v>
      </c>
      <c r="D194" s="14">
        <v>7</v>
      </c>
      <c r="E194" s="14">
        <v>1239</v>
      </c>
      <c r="F194" s="14">
        <v>44</v>
      </c>
      <c r="G194" s="14">
        <v>15605</v>
      </c>
      <c r="H194" s="14">
        <v>0.0565990847446452</v>
      </c>
      <c r="I194" s="14">
        <v>0.42125047968801</v>
      </c>
      <c r="J194" s="14">
        <v>2.00372367745249</v>
      </c>
      <c r="K194" s="14" t="s">
        <v>20001</v>
      </c>
    </row>
    <row r="195" spans="1:11">
      <c r="A195" s="14" t="s">
        <v>17158</v>
      </c>
      <c r="B195" s="14" t="s">
        <v>17159</v>
      </c>
      <c r="C195" s="14" t="s">
        <v>16090</v>
      </c>
      <c r="D195" s="14">
        <v>4</v>
      </c>
      <c r="E195" s="14">
        <v>1239</v>
      </c>
      <c r="F195" s="14">
        <v>19</v>
      </c>
      <c r="G195" s="14">
        <v>15605</v>
      </c>
      <c r="H195" s="14">
        <v>0.0586877913689432</v>
      </c>
      <c r="I195" s="14">
        <v>0.427881907480714</v>
      </c>
      <c r="J195" s="14">
        <v>2.6515441145236</v>
      </c>
      <c r="K195" s="14" t="s">
        <v>20002</v>
      </c>
    </row>
    <row r="196" spans="1:11">
      <c r="A196" s="14" t="s">
        <v>19068</v>
      </c>
      <c r="B196" s="14" t="s">
        <v>19069</v>
      </c>
      <c r="C196" s="14" t="s">
        <v>16086</v>
      </c>
      <c r="D196" s="14">
        <v>4</v>
      </c>
      <c r="E196" s="14">
        <v>1239</v>
      </c>
      <c r="F196" s="14">
        <v>19</v>
      </c>
      <c r="G196" s="14">
        <v>15605</v>
      </c>
      <c r="H196" s="14">
        <v>0.0586877913689432</v>
      </c>
      <c r="I196" s="14">
        <v>0.427881907480714</v>
      </c>
      <c r="J196" s="14">
        <v>2.6515441145236</v>
      </c>
      <c r="K196" s="14" t="s">
        <v>20003</v>
      </c>
    </row>
    <row r="197" spans="1:11">
      <c r="A197" s="14" t="s">
        <v>18073</v>
      </c>
      <c r="B197" s="14" t="s">
        <v>18074</v>
      </c>
      <c r="C197" s="14" t="s">
        <v>16090</v>
      </c>
      <c r="D197" s="14">
        <v>4</v>
      </c>
      <c r="E197" s="14">
        <v>1239</v>
      </c>
      <c r="F197" s="14">
        <v>19</v>
      </c>
      <c r="G197" s="14">
        <v>15605</v>
      </c>
      <c r="H197" s="14">
        <v>0.0586877913689432</v>
      </c>
      <c r="I197" s="14">
        <v>0.427881907480714</v>
      </c>
      <c r="J197" s="14">
        <v>2.6515441145236</v>
      </c>
      <c r="K197" s="14" t="s">
        <v>20004</v>
      </c>
    </row>
    <row r="198" spans="1:11">
      <c r="A198" s="14" t="s">
        <v>20005</v>
      </c>
      <c r="B198" s="14" t="s">
        <v>20006</v>
      </c>
      <c r="C198" s="14" t="s">
        <v>16090</v>
      </c>
      <c r="D198" s="14">
        <v>4</v>
      </c>
      <c r="E198" s="14">
        <v>1239</v>
      </c>
      <c r="F198" s="14">
        <v>19</v>
      </c>
      <c r="G198" s="14">
        <v>15605</v>
      </c>
      <c r="H198" s="14">
        <v>0.0586877913689432</v>
      </c>
      <c r="I198" s="14">
        <v>0.427881907480714</v>
      </c>
      <c r="J198" s="14">
        <v>2.6515441145236</v>
      </c>
      <c r="K198" s="14" t="s">
        <v>20007</v>
      </c>
    </row>
    <row r="199" spans="1:11">
      <c r="A199" s="14" t="s">
        <v>18549</v>
      </c>
      <c r="B199" s="14" t="s">
        <v>18550</v>
      </c>
      <c r="C199" s="14" t="s">
        <v>16090</v>
      </c>
      <c r="D199" s="14">
        <v>6</v>
      </c>
      <c r="E199" s="14">
        <v>1239</v>
      </c>
      <c r="F199" s="14">
        <v>36</v>
      </c>
      <c r="G199" s="14">
        <v>15605</v>
      </c>
      <c r="H199" s="14">
        <v>0.0619925822052536</v>
      </c>
      <c r="I199" s="14">
        <v>0.443467344747542</v>
      </c>
      <c r="J199" s="14">
        <v>2.09913909066451</v>
      </c>
      <c r="K199" s="14" t="s">
        <v>20008</v>
      </c>
    </row>
    <row r="200" spans="1:11">
      <c r="A200" s="14" t="s">
        <v>16362</v>
      </c>
      <c r="B200" s="14" t="s">
        <v>16363</v>
      </c>
      <c r="C200" s="14" t="s">
        <v>16086</v>
      </c>
      <c r="D200" s="14">
        <v>7</v>
      </c>
      <c r="E200" s="14">
        <v>1239</v>
      </c>
      <c r="F200" s="14">
        <v>45</v>
      </c>
      <c r="G200" s="14">
        <v>15605</v>
      </c>
      <c r="H200" s="14">
        <v>0.0626395772983081</v>
      </c>
      <c r="I200" s="14">
        <v>0.443467344747542</v>
      </c>
      <c r="J200" s="14">
        <v>1.95919648462021</v>
      </c>
      <c r="K200" s="14" t="s">
        <v>20009</v>
      </c>
    </row>
    <row r="201" spans="1:11">
      <c r="A201" s="14" t="s">
        <v>18692</v>
      </c>
      <c r="B201" s="14" t="s">
        <v>18693</v>
      </c>
      <c r="C201" s="14" t="s">
        <v>16090</v>
      </c>
      <c r="D201" s="14">
        <v>3</v>
      </c>
      <c r="E201" s="14">
        <v>1239</v>
      </c>
      <c r="F201" s="14">
        <v>12</v>
      </c>
      <c r="G201" s="14">
        <v>15605</v>
      </c>
      <c r="H201" s="14">
        <v>0.0639288124688548</v>
      </c>
      <c r="I201" s="14">
        <v>0.443467344747542</v>
      </c>
      <c r="J201" s="14">
        <v>3.14870863599677</v>
      </c>
      <c r="K201" s="14" t="s">
        <v>19896</v>
      </c>
    </row>
    <row r="202" spans="1:11">
      <c r="A202" s="14" t="s">
        <v>18698</v>
      </c>
      <c r="B202" s="14" t="s">
        <v>18699</v>
      </c>
      <c r="C202" s="14" t="s">
        <v>16090</v>
      </c>
      <c r="D202" s="14">
        <v>3</v>
      </c>
      <c r="E202" s="14">
        <v>1239</v>
      </c>
      <c r="F202" s="14">
        <v>12</v>
      </c>
      <c r="G202" s="14">
        <v>15605</v>
      </c>
      <c r="H202" s="14">
        <v>0.0639288124688548</v>
      </c>
      <c r="I202" s="14">
        <v>0.443467344747542</v>
      </c>
      <c r="J202" s="14">
        <v>3.14870863599677</v>
      </c>
      <c r="K202" s="14" t="s">
        <v>20010</v>
      </c>
    </row>
    <row r="203" spans="1:11">
      <c r="A203" s="14" t="s">
        <v>17288</v>
      </c>
      <c r="B203" s="14" t="s">
        <v>17289</v>
      </c>
      <c r="C203" s="14" t="s">
        <v>16090</v>
      </c>
      <c r="D203" s="14">
        <v>3</v>
      </c>
      <c r="E203" s="14">
        <v>1239</v>
      </c>
      <c r="F203" s="14">
        <v>12</v>
      </c>
      <c r="G203" s="14">
        <v>15605</v>
      </c>
      <c r="H203" s="14">
        <v>0.0639288124688548</v>
      </c>
      <c r="I203" s="14">
        <v>0.443467344747542</v>
      </c>
      <c r="J203" s="14">
        <v>3.14870863599677</v>
      </c>
      <c r="K203" s="14" t="s">
        <v>20011</v>
      </c>
    </row>
    <row r="204" spans="1:11">
      <c r="A204" s="14" t="s">
        <v>17294</v>
      </c>
      <c r="B204" s="14" t="s">
        <v>17295</v>
      </c>
      <c r="C204" s="14" t="s">
        <v>16090</v>
      </c>
      <c r="D204" s="14">
        <v>3</v>
      </c>
      <c r="E204" s="14">
        <v>1239</v>
      </c>
      <c r="F204" s="14">
        <v>12</v>
      </c>
      <c r="G204" s="14">
        <v>15605</v>
      </c>
      <c r="H204" s="14">
        <v>0.0639288124688548</v>
      </c>
      <c r="I204" s="14">
        <v>0.443467344747542</v>
      </c>
      <c r="J204" s="14">
        <v>3.14870863599677</v>
      </c>
      <c r="K204" s="14" t="s">
        <v>20012</v>
      </c>
    </row>
    <row r="205" spans="1:11">
      <c r="A205" s="14" t="s">
        <v>18704</v>
      </c>
      <c r="B205" s="14" t="s">
        <v>18705</v>
      </c>
      <c r="C205" s="14" t="s">
        <v>16086</v>
      </c>
      <c r="D205" s="14">
        <v>3</v>
      </c>
      <c r="E205" s="14">
        <v>1239</v>
      </c>
      <c r="F205" s="14">
        <v>12</v>
      </c>
      <c r="G205" s="14">
        <v>15605</v>
      </c>
      <c r="H205" s="14">
        <v>0.0639288124688548</v>
      </c>
      <c r="I205" s="14">
        <v>0.443467344747542</v>
      </c>
      <c r="J205" s="14">
        <v>3.14870863599677</v>
      </c>
      <c r="K205" s="14" t="s">
        <v>20013</v>
      </c>
    </row>
    <row r="206" spans="1:11">
      <c r="A206" s="14" t="s">
        <v>17302</v>
      </c>
      <c r="B206" s="14" t="s">
        <v>17303</v>
      </c>
      <c r="C206" s="14" t="s">
        <v>16086</v>
      </c>
      <c r="D206" s="14">
        <v>3</v>
      </c>
      <c r="E206" s="14">
        <v>1239</v>
      </c>
      <c r="F206" s="14">
        <v>12</v>
      </c>
      <c r="G206" s="14">
        <v>15605</v>
      </c>
      <c r="H206" s="14">
        <v>0.0639288124688548</v>
      </c>
      <c r="I206" s="14">
        <v>0.443467344747542</v>
      </c>
      <c r="J206" s="14">
        <v>3.14870863599677</v>
      </c>
      <c r="K206" s="14" t="s">
        <v>19779</v>
      </c>
    </row>
    <row r="207" spans="1:11">
      <c r="A207" s="14" t="s">
        <v>20014</v>
      </c>
      <c r="B207" s="14" t="s">
        <v>20015</v>
      </c>
      <c r="C207" s="14" t="s">
        <v>16090</v>
      </c>
      <c r="D207" s="14">
        <v>3</v>
      </c>
      <c r="E207" s="14">
        <v>1239</v>
      </c>
      <c r="F207" s="14">
        <v>12</v>
      </c>
      <c r="G207" s="14">
        <v>15605</v>
      </c>
      <c r="H207" s="14">
        <v>0.0639288124688548</v>
      </c>
      <c r="I207" s="14">
        <v>0.443467344747542</v>
      </c>
      <c r="J207" s="14">
        <v>3.14870863599677</v>
      </c>
      <c r="K207" s="14" t="s">
        <v>20016</v>
      </c>
    </row>
    <row r="208" spans="1:11">
      <c r="A208" s="14" t="s">
        <v>18708</v>
      </c>
      <c r="B208" s="14" t="s">
        <v>18709</v>
      </c>
      <c r="C208" s="14" t="s">
        <v>16086</v>
      </c>
      <c r="D208" s="14">
        <v>3</v>
      </c>
      <c r="E208" s="14">
        <v>1239</v>
      </c>
      <c r="F208" s="14">
        <v>12</v>
      </c>
      <c r="G208" s="14">
        <v>15605</v>
      </c>
      <c r="H208" s="14">
        <v>0.0639288124688548</v>
      </c>
      <c r="I208" s="14">
        <v>0.443467344747542</v>
      </c>
      <c r="J208" s="14">
        <v>3.14870863599677</v>
      </c>
      <c r="K208" s="14" t="s">
        <v>20017</v>
      </c>
    </row>
    <row r="209" spans="1:11">
      <c r="A209" s="14" t="s">
        <v>19347</v>
      </c>
      <c r="B209" s="14" t="s">
        <v>19348</v>
      </c>
      <c r="C209" s="14" t="s">
        <v>16090</v>
      </c>
      <c r="D209" s="14">
        <v>5</v>
      </c>
      <c r="E209" s="14">
        <v>1239</v>
      </c>
      <c r="F209" s="14">
        <v>28</v>
      </c>
      <c r="G209" s="14">
        <v>15605</v>
      </c>
      <c r="H209" s="14">
        <v>0.0666716813999414</v>
      </c>
      <c r="I209" s="14">
        <v>0.460260061451769</v>
      </c>
      <c r="J209" s="14">
        <v>2.24907759714055</v>
      </c>
      <c r="K209" s="14" t="s">
        <v>20018</v>
      </c>
    </row>
    <row r="210" spans="1:11">
      <c r="A210" s="14" t="s">
        <v>19482</v>
      </c>
      <c r="B210" s="14" t="s">
        <v>19483</v>
      </c>
      <c r="C210" s="14" t="s">
        <v>16090</v>
      </c>
      <c r="D210" s="14">
        <v>17</v>
      </c>
      <c r="E210" s="14">
        <v>1239</v>
      </c>
      <c r="F210" s="14">
        <v>147</v>
      </c>
      <c r="G210" s="14">
        <v>15605</v>
      </c>
      <c r="H210" s="14">
        <v>0.0748638713458938</v>
      </c>
      <c r="I210" s="14">
        <v>0.481937613091126</v>
      </c>
      <c r="J210" s="14">
        <v>1.4565454914815</v>
      </c>
      <c r="K210" s="14" t="s">
        <v>20019</v>
      </c>
    </row>
    <row r="211" spans="1:11">
      <c r="A211" s="14" t="s">
        <v>18010</v>
      </c>
      <c r="B211" s="14" t="s">
        <v>18011</v>
      </c>
      <c r="C211" s="14" t="s">
        <v>16090</v>
      </c>
      <c r="D211" s="14">
        <v>5</v>
      </c>
      <c r="E211" s="14">
        <v>1239</v>
      </c>
      <c r="F211" s="14">
        <v>29</v>
      </c>
      <c r="G211" s="14">
        <v>15605</v>
      </c>
      <c r="H211" s="14">
        <v>0.0755318112614228</v>
      </c>
      <c r="I211" s="14">
        <v>0.481937613091126</v>
      </c>
      <c r="J211" s="14">
        <v>2.17152319723915</v>
      </c>
      <c r="K211" s="14" t="s">
        <v>20020</v>
      </c>
    </row>
    <row r="212" spans="1:11">
      <c r="A212" s="14" t="s">
        <v>19136</v>
      </c>
      <c r="B212" s="14" t="s">
        <v>19137</v>
      </c>
      <c r="C212" s="14" t="s">
        <v>16086</v>
      </c>
      <c r="D212" s="14">
        <v>9</v>
      </c>
      <c r="E212" s="14">
        <v>1239</v>
      </c>
      <c r="F212" s="14">
        <v>66</v>
      </c>
      <c r="G212" s="14">
        <v>15605</v>
      </c>
      <c r="H212" s="14">
        <v>0.0759444021003659</v>
      </c>
      <c r="I212" s="14">
        <v>0.481937613091126</v>
      </c>
      <c r="J212" s="14">
        <v>1.71747743781642</v>
      </c>
      <c r="K212" s="14" t="s">
        <v>20021</v>
      </c>
    </row>
    <row r="213" spans="1:11">
      <c r="A213" s="14" t="s">
        <v>20022</v>
      </c>
      <c r="B213" s="14" t="s">
        <v>20023</v>
      </c>
      <c r="C213" s="14" t="s">
        <v>16090</v>
      </c>
      <c r="D213" s="14">
        <v>2</v>
      </c>
      <c r="E213" s="14">
        <v>1239</v>
      </c>
      <c r="F213" s="14">
        <v>6</v>
      </c>
      <c r="G213" s="14">
        <v>15605</v>
      </c>
      <c r="H213" s="14">
        <v>0.0762196644916687</v>
      </c>
      <c r="I213" s="14">
        <v>0.481937613091126</v>
      </c>
      <c r="J213" s="14">
        <v>4.19827818132903</v>
      </c>
      <c r="K213" s="14" t="s">
        <v>20024</v>
      </c>
    </row>
    <row r="214" spans="1:11">
      <c r="A214" s="14" t="s">
        <v>20025</v>
      </c>
      <c r="B214" s="14" t="s">
        <v>20026</v>
      </c>
      <c r="C214" s="14" t="s">
        <v>16096</v>
      </c>
      <c r="D214" s="14">
        <v>2</v>
      </c>
      <c r="E214" s="14">
        <v>1239</v>
      </c>
      <c r="F214" s="14">
        <v>6</v>
      </c>
      <c r="G214" s="14">
        <v>15605</v>
      </c>
      <c r="H214" s="14">
        <v>0.0762196644916687</v>
      </c>
      <c r="I214" s="14">
        <v>0.481937613091126</v>
      </c>
      <c r="J214" s="14">
        <v>4.19827818132903</v>
      </c>
      <c r="K214" s="14" t="s">
        <v>20027</v>
      </c>
    </row>
    <row r="215" spans="1:11">
      <c r="A215" s="14" t="s">
        <v>20028</v>
      </c>
      <c r="B215" s="14" t="s">
        <v>20029</v>
      </c>
      <c r="C215" s="14" t="s">
        <v>16086</v>
      </c>
      <c r="D215" s="14">
        <v>2</v>
      </c>
      <c r="E215" s="14">
        <v>1239</v>
      </c>
      <c r="F215" s="14">
        <v>6</v>
      </c>
      <c r="G215" s="14">
        <v>15605</v>
      </c>
      <c r="H215" s="14">
        <v>0.0762196644916687</v>
      </c>
      <c r="I215" s="14">
        <v>0.481937613091126</v>
      </c>
      <c r="J215" s="14">
        <v>4.19827818132903</v>
      </c>
      <c r="K215" s="14" t="s">
        <v>20030</v>
      </c>
    </row>
    <row r="216" spans="1:11">
      <c r="A216" s="14" t="s">
        <v>17724</v>
      </c>
      <c r="B216" s="14" t="s">
        <v>17725</v>
      </c>
      <c r="C216" s="14" t="s">
        <v>16086</v>
      </c>
      <c r="D216" s="14">
        <v>2</v>
      </c>
      <c r="E216" s="14">
        <v>1239</v>
      </c>
      <c r="F216" s="14">
        <v>6</v>
      </c>
      <c r="G216" s="14">
        <v>15605</v>
      </c>
      <c r="H216" s="14">
        <v>0.0762196644916687</v>
      </c>
      <c r="I216" s="14">
        <v>0.481937613091126</v>
      </c>
      <c r="J216" s="14">
        <v>4.19827818132903</v>
      </c>
      <c r="K216" s="14" t="s">
        <v>20031</v>
      </c>
    </row>
    <row r="217" spans="1:11">
      <c r="A217" s="14" t="s">
        <v>20032</v>
      </c>
      <c r="B217" s="14" t="s">
        <v>20033</v>
      </c>
      <c r="C217" s="14" t="s">
        <v>16090</v>
      </c>
      <c r="D217" s="14">
        <v>2</v>
      </c>
      <c r="E217" s="14">
        <v>1239</v>
      </c>
      <c r="F217" s="14">
        <v>6</v>
      </c>
      <c r="G217" s="14">
        <v>15605</v>
      </c>
      <c r="H217" s="14">
        <v>0.0762196644916687</v>
      </c>
      <c r="I217" s="14">
        <v>0.481937613091126</v>
      </c>
      <c r="J217" s="14">
        <v>4.19827818132903</v>
      </c>
      <c r="K217" s="14" t="s">
        <v>20034</v>
      </c>
    </row>
    <row r="218" spans="1:11">
      <c r="A218" s="14" t="s">
        <v>20035</v>
      </c>
      <c r="B218" s="14" t="s">
        <v>20036</v>
      </c>
      <c r="C218" s="14" t="s">
        <v>16090</v>
      </c>
      <c r="D218" s="14">
        <v>2</v>
      </c>
      <c r="E218" s="14">
        <v>1239</v>
      </c>
      <c r="F218" s="14">
        <v>6</v>
      </c>
      <c r="G218" s="14">
        <v>15605</v>
      </c>
      <c r="H218" s="14">
        <v>0.0762196644916687</v>
      </c>
      <c r="I218" s="14">
        <v>0.481937613091126</v>
      </c>
      <c r="J218" s="14">
        <v>4.19827818132903</v>
      </c>
      <c r="K218" s="14" t="s">
        <v>20037</v>
      </c>
    </row>
    <row r="219" spans="1:11">
      <c r="A219" s="14" t="s">
        <v>16728</v>
      </c>
      <c r="B219" s="14" t="s">
        <v>16729</v>
      </c>
      <c r="C219" s="14" t="s">
        <v>16090</v>
      </c>
      <c r="D219" s="14">
        <v>2</v>
      </c>
      <c r="E219" s="14">
        <v>1239</v>
      </c>
      <c r="F219" s="14">
        <v>6</v>
      </c>
      <c r="G219" s="14">
        <v>15605</v>
      </c>
      <c r="H219" s="14">
        <v>0.0762196644916687</v>
      </c>
      <c r="I219" s="14">
        <v>0.481937613091126</v>
      </c>
      <c r="J219" s="14">
        <v>4.19827818132903</v>
      </c>
      <c r="K219" s="14" t="s">
        <v>20038</v>
      </c>
    </row>
    <row r="220" spans="1:11">
      <c r="A220" s="14" t="s">
        <v>20039</v>
      </c>
      <c r="B220" s="14" t="s">
        <v>20040</v>
      </c>
      <c r="C220" s="14" t="s">
        <v>16090</v>
      </c>
      <c r="D220" s="14">
        <v>2</v>
      </c>
      <c r="E220" s="14">
        <v>1239</v>
      </c>
      <c r="F220" s="14">
        <v>6</v>
      </c>
      <c r="G220" s="14">
        <v>15605</v>
      </c>
      <c r="H220" s="14">
        <v>0.0762196644916687</v>
      </c>
      <c r="I220" s="14">
        <v>0.481937613091126</v>
      </c>
      <c r="J220" s="14">
        <v>4.19827818132903</v>
      </c>
      <c r="K220" s="14" t="s">
        <v>20041</v>
      </c>
    </row>
    <row r="221" spans="1:11">
      <c r="A221" s="14" t="s">
        <v>16731</v>
      </c>
      <c r="B221" s="14" t="s">
        <v>16732</v>
      </c>
      <c r="C221" s="14" t="s">
        <v>16086</v>
      </c>
      <c r="D221" s="14">
        <v>2</v>
      </c>
      <c r="E221" s="14">
        <v>1239</v>
      </c>
      <c r="F221" s="14">
        <v>6</v>
      </c>
      <c r="G221" s="14">
        <v>15605</v>
      </c>
      <c r="H221" s="14">
        <v>0.0762196644916687</v>
      </c>
      <c r="I221" s="14">
        <v>0.481937613091126</v>
      </c>
      <c r="J221" s="14">
        <v>4.19827818132903</v>
      </c>
      <c r="K221" s="14" t="s">
        <v>20042</v>
      </c>
    </row>
    <row r="222" spans="1:11">
      <c r="A222" s="14" t="s">
        <v>17752</v>
      </c>
      <c r="B222" s="14" t="s">
        <v>17753</v>
      </c>
      <c r="C222" s="14" t="s">
        <v>16086</v>
      </c>
      <c r="D222" s="14">
        <v>2</v>
      </c>
      <c r="E222" s="14">
        <v>1239</v>
      </c>
      <c r="F222" s="14">
        <v>6</v>
      </c>
      <c r="G222" s="14">
        <v>15605</v>
      </c>
      <c r="H222" s="14">
        <v>0.0762196644916687</v>
      </c>
      <c r="I222" s="14">
        <v>0.481937613091126</v>
      </c>
      <c r="J222" s="14">
        <v>4.19827818132903</v>
      </c>
      <c r="K222" s="14" t="s">
        <v>20043</v>
      </c>
    </row>
    <row r="223" spans="1:11">
      <c r="A223" s="14" t="s">
        <v>20044</v>
      </c>
      <c r="B223" s="14" t="s">
        <v>20045</v>
      </c>
      <c r="C223" s="14" t="s">
        <v>16086</v>
      </c>
      <c r="D223" s="14">
        <v>2</v>
      </c>
      <c r="E223" s="14">
        <v>1239</v>
      </c>
      <c r="F223" s="14">
        <v>6</v>
      </c>
      <c r="G223" s="14">
        <v>15605</v>
      </c>
      <c r="H223" s="14">
        <v>0.0762196644916687</v>
      </c>
      <c r="I223" s="14">
        <v>0.481937613091126</v>
      </c>
      <c r="J223" s="14">
        <v>4.19827818132903</v>
      </c>
      <c r="K223" s="14" t="s">
        <v>20046</v>
      </c>
    </row>
    <row r="224" spans="1:11">
      <c r="A224" s="14" t="s">
        <v>20047</v>
      </c>
      <c r="B224" s="14" t="s">
        <v>20048</v>
      </c>
      <c r="C224" s="14" t="s">
        <v>16090</v>
      </c>
      <c r="D224" s="14">
        <v>2</v>
      </c>
      <c r="E224" s="14">
        <v>1239</v>
      </c>
      <c r="F224" s="14">
        <v>6</v>
      </c>
      <c r="G224" s="14">
        <v>15605</v>
      </c>
      <c r="H224" s="14">
        <v>0.0762196644916687</v>
      </c>
      <c r="I224" s="14">
        <v>0.481937613091126</v>
      </c>
      <c r="J224" s="14">
        <v>4.19827818132903</v>
      </c>
      <c r="K224" s="14" t="s">
        <v>20049</v>
      </c>
    </row>
    <row r="225" spans="1:11">
      <c r="A225" s="14" t="s">
        <v>20050</v>
      </c>
      <c r="B225" s="14" t="s">
        <v>20051</v>
      </c>
      <c r="C225" s="14" t="s">
        <v>16090</v>
      </c>
      <c r="D225" s="14">
        <v>2</v>
      </c>
      <c r="E225" s="14">
        <v>1239</v>
      </c>
      <c r="F225" s="14">
        <v>6</v>
      </c>
      <c r="G225" s="14">
        <v>15605</v>
      </c>
      <c r="H225" s="14">
        <v>0.0762196644916687</v>
      </c>
      <c r="I225" s="14">
        <v>0.481937613091126</v>
      </c>
      <c r="J225" s="14">
        <v>4.19827818132903</v>
      </c>
      <c r="K225" s="14" t="s">
        <v>20052</v>
      </c>
    </row>
    <row r="226" spans="1:11">
      <c r="A226" s="14" t="s">
        <v>20053</v>
      </c>
      <c r="B226" s="14" t="s">
        <v>20054</v>
      </c>
      <c r="C226" s="14" t="s">
        <v>16090</v>
      </c>
      <c r="D226" s="14">
        <v>2</v>
      </c>
      <c r="E226" s="14">
        <v>1239</v>
      </c>
      <c r="F226" s="14">
        <v>6</v>
      </c>
      <c r="G226" s="14">
        <v>15605</v>
      </c>
      <c r="H226" s="14">
        <v>0.0762196644916687</v>
      </c>
      <c r="I226" s="14">
        <v>0.481937613091126</v>
      </c>
      <c r="J226" s="14">
        <v>4.19827818132903</v>
      </c>
      <c r="K226" s="14" t="s">
        <v>20055</v>
      </c>
    </row>
    <row r="227" spans="1:11">
      <c r="A227" s="14" t="s">
        <v>20056</v>
      </c>
      <c r="B227" s="14" t="s">
        <v>20057</v>
      </c>
      <c r="C227" s="14" t="s">
        <v>16090</v>
      </c>
      <c r="D227" s="14">
        <v>2</v>
      </c>
      <c r="E227" s="14">
        <v>1239</v>
      </c>
      <c r="F227" s="14">
        <v>6</v>
      </c>
      <c r="G227" s="14">
        <v>15605</v>
      </c>
      <c r="H227" s="14">
        <v>0.0762196644916687</v>
      </c>
      <c r="I227" s="14">
        <v>0.481937613091126</v>
      </c>
      <c r="J227" s="14">
        <v>4.19827818132903</v>
      </c>
      <c r="K227" s="14" t="s">
        <v>20058</v>
      </c>
    </row>
    <row r="228" spans="1:11">
      <c r="A228" s="14" t="s">
        <v>17802</v>
      </c>
      <c r="B228" s="14" t="s">
        <v>17803</v>
      </c>
      <c r="C228" s="14" t="s">
        <v>16086</v>
      </c>
      <c r="D228" s="14">
        <v>2</v>
      </c>
      <c r="E228" s="14">
        <v>1239</v>
      </c>
      <c r="F228" s="14">
        <v>6</v>
      </c>
      <c r="G228" s="14">
        <v>15605</v>
      </c>
      <c r="H228" s="14">
        <v>0.0762196644916687</v>
      </c>
      <c r="I228" s="14">
        <v>0.481937613091126</v>
      </c>
      <c r="J228" s="14">
        <v>4.19827818132903</v>
      </c>
      <c r="K228" s="14" t="s">
        <v>20059</v>
      </c>
    </row>
    <row r="229" spans="1:11">
      <c r="A229" s="14" t="s">
        <v>19652</v>
      </c>
      <c r="B229" s="14" t="s">
        <v>19653</v>
      </c>
      <c r="C229" s="14" t="s">
        <v>16086</v>
      </c>
      <c r="D229" s="14">
        <v>57</v>
      </c>
      <c r="E229" s="14">
        <v>1239</v>
      </c>
      <c r="F229" s="14">
        <v>594</v>
      </c>
      <c r="G229" s="14">
        <v>15605</v>
      </c>
      <c r="H229" s="14">
        <v>0.0769927581942252</v>
      </c>
      <c r="I229" s="14">
        <v>0.484681283962766</v>
      </c>
      <c r="J229" s="14">
        <v>1.20859523401896</v>
      </c>
      <c r="K229" s="14" t="s">
        <v>20060</v>
      </c>
    </row>
    <row r="230" spans="1:11">
      <c r="A230" s="14" t="s">
        <v>16776</v>
      </c>
      <c r="B230" s="14" t="s">
        <v>16777</v>
      </c>
      <c r="C230" s="14" t="s">
        <v>16086</v>
      </c>
      <c r="D230" s="14">
        <v>3</v>
      </c>
      <c r="E230" s="14">
        <v>1239</v>
      </c>
      <c r="F230" s="14">
        <v>13</v>
      </c>
      <c r="G230" s="14">
        <v>15605</v>
      </c>
      <c r="H230" s="14">
        <v>0.0783647778679122</v>
      </c>
      <c r="I230" s="14">
        <v>0.484776050100634</v>
      </c>
      <c r="J230" s="14">
        <v>2.90650027938164</v>
      </c>
      <c r="K230" s="14" t="s">
        <v>20061</v>
      </c>
    </row>
    <row r="231" spans="1:11">
      <c r="A231" s="14" t="s">
        <v>18772</v>
      </c>
      <c r="B231" s="14" t="s">
        <v>18773</v>
      </c>
      <c r="C231" s="14" t="s">
        <v>16090</v>
      </c>
      <c r="D231" s="14">
        <v>3</v>
      </c>
      <c r="E231" s="14">
        <v>1239</v>
      </c>
      <c r="F231" s="14">
        <v>13</v>
      </c>
      <c r="G231" s="14">
        <v>15605</v>
      </c>
      <c r="H231" s="14">
        <v>0.0783647778679122</v>
      </c>
      <c r="I231" s="14">
        <v>0.484776050100634</v>
      </c>
      <c r="J231" s="14">
        <v>2.90650027938164</v>
      </c>
      <c r="K231" s="14" t="s">
        <v>20062</v>
      </c>
    </row>
    <row r="232" spans="1:11">
      <c r="A232" s="14" t="s">
        <v>16150</v>
      </c>
      <c r="B232" s="14" t="s">
        <v>16151</v>
      </c>
      <c r="C232" s="14" t="s">
        <v>16090</v>
      </c>
      <c r="D232" s="14">
        <v>3</v>
      </c>
      <c r="E232" s="14">
        <v>1239</v>
      </c>
      <c r="F232" s="14">
        <v>13</v>
      </c>
      <c r="G232" s="14">
        <v>15605</v>
      </c>
      <c r="H232" s="14">
        <v>0.0783647778679122</v>
      </c>
      <c r="I232" s="14">
        <v>0.484776050100634</v>
      </c>
      <c r="J232" s="14">
        <v>2.90650027938164</v>
      </c>
      <c r="K232" s="14" t="s">
        <v>20063</v>
      </c>
    </row>
    <row r="233" spans="1:11">
      <c r="A233" s="14" t="s">
        <v>20064</v>
      </c>
      <c r="B233" s="14" t="s">
        <v>20065</v>
      </c>
      <c r="C233" s="14" t="s">
        <v>16086</v>
      </c>
      <c r="D233" s="14">
        <v>3</v>
      </c>
      <c r="E233" s="14">
        <v>1239</v>
      </c>
      <c r="F233" s="14">
        <v>13</v>
      </c>
      <c r="G233" s="14">
        <v>15605</v>
      </c>
      <c r="H233" s="14">
        <v>0.0783647778679122</v>
      </c>
      <c r="I233" s="14">
        <v>0.484776050100634</v>
      </c>
      <c r="J233" s="14">
        <v>2.90650027938164</v>
      </c>
      <c r="K233" s="14" t="s">
        <v>20066</v>
      </c>
    </row>
    <row r="234" spans="1:11">
      <c r="A234" s="14" t="s">
        <v>17271</v>
      </c>
      <c r="B234" s="14" t="s">
        <v>17272</v>
      </c>
      <c r="C234" s="14" t="s">
        <v>16086</v>
      </c>
      <c r="D234" s="14">
        <v>4</v>
      </c>
      <c r="E234" s="14">
        <v>1239</v>
      </c>
      <c r="F234" s="14">
        <v>21</v>
      </c>
      <c r="G234" s="14">
        <v>15605</v>
      </c>
      <c r="H234" s="14">
        <v>0.0800184030358438</v>
      </c>
      <c r="I234" s="14">
        <v>0.490756643511677</v>
      </c>
      <c r="J234" s="14">
        <v>2.39901610361659</v>
      </c>
      <c r="K234" s="14" t="s">
        <v>20067</v>
      </c>
    </row>
    <row r="235" spans="1:11">
      <c r="A235" s="14" t="s">
        <v>20068</v>
      </c>
      <c r="B235" s="14" t="s">
        <v>20069</v>
      </c>
      <c r="C235" s="14" t="s">
        <v>16090</v>
      </c>
      <c r="D235" s="14">
        <v>4</v>
      </c>
      <c r="E235" s="14">
        <v>1239</v>
      </c>
      <c r="F235" s="14">
        <v>21</v>
      </c>
      <c r="G235" s="14">
        <v>15605</v>
      </c>
      <c r="H235" s="14">
        <v>0.0800184030358438</v>
      </c>
      <c r="I235" s="14">
        <v>0.490756643511677</v>
      </c>
      <c r="J235" s="14">
        <v>2.39901610361659</v>
      </c>
      <c r="K235" s="14" t="s">
        <v>20070</v>
      </c>
    </row>
    <row r="236" spans="1:11">
      <c r="A236" s="14" t="s">
        <v>19229</v>
      </c>
      <c r="B236" s="14" t="s">
        <v>19230</v>
      </c>
      <c r="C236" s="14" t="s">
        <v>16096</v>
      </c>
      <c r="D236" s="14">
        <v>6</v>
      </c>
      <c r="E236" s="14">
        <v>1239</v>
      </c>
      <c r="F236" s="14">
        <v>39</v>
      </c>
      <c r="G236" s="14">
        <v>15605</v>
      </c>
      <c r="H236" s="14">
        <v>0.0851613754637142</v>
      </c>
      <c r="I236" s="14">
        <v>0.520066690331827</v>
      </c>
      <c r="J236" s="14">
        <v>1.93766685292109</v>
      </c>
      <c r="K236" s="14" t="s">
        <v>20071</v>
      </c>
    </row>
    <row r="237" spans="1:11">
      <c r="A237" s="14" t="s">
        <v>18404</v>
      </c>
      <c r="B237" s="14" t="s">
        <v>18405</v>
      </c>
      <c r="C237" s="14" t="s">
        <v>16090</v>
      </c>
      <c r="D237" s="14">
        <v>4</v>
      </c>
      <c r="E237" s="14">
        <v>1239</v>
      </c>
      <c r="F237" s="14">
        <v>22</v>
      </c>
      <c r="G237" s="14">
        <v>15605</v>
      </c>
      <c r="H237" s="14">
        <v>0.0919329871656263</v>
      </c>
      <c r="I237" s="14">
        <v>0.554391320955559</v>
      </c>
      <c r="J237" s="14">
        <v>2.28996991708856</v>
      </c>
      <c r="K237" s="14" t="s">
        <v>20072</v>
      </c>
    </row>
    <row r="238" spans="1:11">
      <c r="A238" s="14" t="s">
        <v>18962</v>
      </c>
      <c r="B238" s="14" t="s">
        <v>18963</v>
      </c>
      <c r="C238" s="14" t="s">
        <v>16086</v>
      </c>
      <c r="D238" s="14">
        <v>8</v>
      </c>
      <c r="E238" s="14">
        <v>1239</v>
      </c>
      <c r="F238" s="14">
        <v>59</v>
      </c>
      <c r="G238" s="14">
        <v>15605</v>
      </c>
      <c r="H238" s="14">
        <v>0.0933909853479357</v>
      </c>
      <c r="I238" s="14">
        <v>0.554391320955559</v>
      </c>
      <c r="J238" s="14">
        <v>1.70777417545588</v>
      </c>
      <c r="K238" s="14" t="s">
        <v>20073</v>
      </c>
    </row>
    <row r="239" spans="1:11">
      <c r="A239" s="14" t="s">
        <v>18828</v>
      </c>
      <c r="B239" s="14" t="s">
        <v>18829</v>
      </c>
      <c r="C239" s="14" t="s">
        <v>16090</v>
      </c>
      <c r="D239" s="14">
        <v>3</v>
      </c>
      <c r="E239" s="14">
        <v>1239</v>
      </c>
      <c r="F239" s="14">
        <v>14</v>
      </c>
      <c r="G239" s="14">
        <v>15605</v>
      </c>
      <c r="H239" s="14">
        <v>0.0940730393918596</v>
      </c>
      <c r="I239" s="14">
        <v>0.554391320955559</v>
      </c>
      <c r="J239" s="14">
        <v>2.69889311656866</v>
      </c>
      <c r="K239" s="14" t="s">
        <v>20074</v>
      </c>
    </row>
    <row r="240" spans="1:11">
      <c r="A240" s="14" t="s">
        <v>20075</v>
      </c>
      <c r="B240" s="14" t="s">
        <v>20076</v>
      </c>
      <c r="C240" s="14" t="s">
        <v>16090</v>
      </c>
      <c r="D240" s="14">
        <v>3</v>
      </c>
      <c r="E240" s="14">
        <v>1239</v>
      </c>
      <c r="F240" s="14">
        <v>14</v>
      </c>
      <c r="G240" s="14">
        <v>15605</v>
      </c>
      <c r="H240" s="14">
        <v>0.0940730393918596</v>
      </c>
      <c r="I240" s="14">
        <v>0.554391320955559</v>
      </c>
      <c r="J240" s="14">
        <v>2.69889311656866</v>
      </c>
      <c r="K240" s="14" t="s">
        <v>20077</v>
      </c>
    </row>
    <row r="241" spans="1:11">
      <c r="A241" s="14" t="s">
        <v>20078</v>
      </c>
      <c r="B241" s="14" t="s">
        <v>20079</v>
      </c>
      <c r="C241" s="14" t="s">
        <v>16090</v>
      </c>
      <c r="D241" s="14">
        <v>3</v>
      </c>
      <c r="E241" s="14">
        <v>1239</v>
      </c>
      <c r="F241" s="14">
        <v>14</v>
      </c>
      <c r="G241" s="14">
        <v>15605</v>
      </c>
      <c r="H241" s="14">
        <v>0.0940730393918596</v>
      </c>
      <c r="I241" s="14">
        <v>0.554391320955559</v>
      </c>
      <c r="J241" s="14">
        <v>2.69889311656866</v>
      </c>
      <c r="K241" s="14" t="s">
        <v>20080</v>
      </c>
    </row>
    <row r="242" spans="1:11">
      <c r="A242" s="14" t="s">
        <v>17464</v>
      </c>
      <c r="B242" s="14" t="s">
        <v>17465</v>
      </c>
      <c r="C242" s="14" t="s">
        <v>16090</v>
      </c>
      <c r="D242" s="14">
        <v>3</v>
      </c>
      <c r="E242" s="14">
        <v>1239</v>
      </c>
      <c r="F242" s="14">
        <v>14</v>
      </c>
      <c r="G242" s="14">
        <v>15605</v>
      </c>
      <c r="H242" s="14">
        <v>0.0940730393918596</v>
      </c>
      <c r="I242" s="14">
        <v>0.554391320955559</v>
      </c>
      <c r="J242" s="14">
        <v>2.69889311656866</v>
      </c>
      <c r="K242" s="14" t="s">
        <v>20081</v>
      </c>
    </row>
    <row r="243" spans="1:11">
      <c r="A243" s="14" t="s">
        <v>20082</v>
      </c>
      <c r="B243" s="14" t="s">
        <v>20083</v>
      </c>
      <c r="C243" s="14" t="s">
        <v>16086</v>
      </c>
      <c r="D243" s="14">
        <v>5</v>
      </c>
      <c r="E243" s="14">
        <v>1239</v>
      </c>
      <c r="F243" s="14">
        <v>31</v>
      </c>
      <c r="G243" s="14">
        <v>15605</v>
      </c>
      <c r="H243" s="14">
        <v>0.095049596664879</v>
      </c>
      <c r="I243" s="14">
        <v>0.554391320955559</v>
      </c>
      <c r="J243" s="14">
        <v>2.03142492644953</v>
      </c>
      <c r="K243" s="14" t="s">
        <v>20084</v>
      </c>
    </row>
    <row r="244" spans="1:11">
      <c r="A244" s="14" t="s">
        <v>16544</v>
      </c>
      <c r="B244" s="14" t="s">
        <v>16545</v>
      </c>
      <c r="C244" s="14" t="s">
        <v>16090</v>
      </c>
      <c r="D244" s="14">
        <v>5</v>
      </c>
      <c r="E244" s="14">
        <v>1239</v>
      </c>
      <c r="F244" s="14">
        <v>31</v>
      </c>
      <c r="G244" s="14">
        <v>15605</v>
      </c>
      <c r="H244" s="14">
        <v>0.095049596664879</v>
      </c>
      <c r="I244" s="14">
        <v>0.554391320955559</v>
      </c>
      <c r="J244" s="14">
        <v>2.03142492644953</v>
      </c>
      <c r="K244" s="14" t="s">
        <v>20085</v>
      </c>
    </row>
    <row r="245" spans="1:11">
      <c r="A245" s="14" t="s">
        <v>18209</v>
      </c>
      <c r="B245" s="14" t="s">
        <v>18210</v>
      </c>
      <c r="C245" s="14" t="s">
        <v>16090</v>
      </c>
      <c r="D245" s="14">
        <v>5</v>
      </c>
      <c r="E245" s="14">
        <v>1239</v>
      </c>
      <c r="F245" s="14">
        <v>31</v>
      </c>
      <c r="G245" s="14">
        <v>15605</v>
      </c>
      <c r="H245" s="14">
        <v>0.095049596664879</v>
      </c>
      <c r="I245" s="14">
        <v>0.554391320955559</v>
      </c>
      <c r="J245" s="14">
        <v>2.03142492644953</v>
      </c>
      <c r="K245" s="14" t="s">
        <v>20086</v>
      </c>
    </row>
    <row r="246" spans="1:11">
      <c r="A246" s="14" t="s">
        <v>9165</v>
      </c>
      <c r="B246" s="14" t="s">
        <v>9166</v>
      </c>
      <c r="C246" s="14" t="s">
        <v>16086</v>
      </c>
      <c r="D246" s="14">
        <v>5</v>
      </c>
      <c r="E246" s="14">
        <v>1239</v>
      </c>
      <c r="F246" s="14">
        <v>31</v>
      </c>
      <c r="G246" s="14">
        <v>15605</v>
      </c>
      <c r="H246" s="14">
        <v>0.095049596664879</v>
      </c>
      <c r="I246" s="14">
        <v>0.554391320955559</v>
      </c>
      <c r="J246" s="14">
        <v>2.03142492644953</v>
      </c>
      <c r="K246" s="14" t="s">
        <v>20087</v>
      </c>
    </row>
    <row r="247" spans="1:11">
      <c r="A247" s="14" t="s">
        <v>16910</v>
      </c>
      <c r="B247" s="14" t="s">
        <v>16911</v>
      </c>
      <c r="C247" s="14" t="s">
        <v>16086</v>
      </c>
      <c r="D247" s="14">
        <v>5</v>
      </c>
      <c r="E247" s="14">
        <v>1239</v>
      </c>
      <c r="F247" s="14">
        <v>31</v>
      </c>
      <c r="G247" s="14">
        <v>15605</v>
      </c>
      <c r="H247" s="14">
        <v>0.095049596664879</v>
      </c>
      <c r="I247" s="14">
        <v>0.554391320955559</v>
      </c>
      <c r="J247" s="14">
        <v>2.03142492644953</v>
      </c>
      <c r="K247" s="14" t="s">
        <v>20088</v>
      </c>
    </row>
    <row r="248" spans="1:11">
      <c r="A248" s="14" t="s">
        <v>19508</v>
      </c>
      <c r="B248" s="14" t="s">
        <v>19509</v>
      </c>
      <c r="C248" s="14" t="s">
        <v>16086</v>
      </c>
      <c r="D248" s="14">
        <v>7</v>
      </c>
      <c r="E248" s="14">
        <v>1239</v>
      </c>
      <c r="F248" s="14">
        <v>50</v>
      </c>
      <c r="G248" s="14">
        <v>15605</v>
      </c>
      <c r="H248" s="14">
        <v>0.0984985309585713</v>
      </c>
      <c r="I248" s="14">
        <v>0.556494885836643</v>
      </c>
      <c r="J248" s="14">
        <v>1.76327683615819</v>
      </c>
      <c r="K248" s="14" t="s">
        <v>20089</v>
      </c>
    </row>
    <row r="249" spans="1:11">
      <c r="A249" s="14" t="s">
        <v>17914</v>
      </c>
      <c r="B249" s="14" t="s">
        <v>17915</v>
      </c>
      <c r="C249" s="14" t="s">
        <v>16086</v>
      </c>
      <c r="D249" s="14">
        <v>2</v>
      </c>
      <c r="E249" s="14">
        <v>1239</v>
      </c>
      <c r="F249" s="14">
        <v>7</v>
      </c>
      <c r="G249" s="14">
        <v>15605</v>
      </c>
      <c r="H249" s="14">
        <v>0.101226473848529</v>
      </c>
      <c r="I249" s="14">
        <v>0.556494885836643</v>
      </c>
      <c r="J249" s="14">
        <v>3.59852415542488</v>
      </c>
      <c r="K249" s="14" t="s">
        <v>20090</v>
      </c>
    </row>
    <row r="250" spans="1:11">
      <c r="A250" s="14" t="s">
        <v>8226</v>
      </c>
      <c r="B250" s="14" t="s">
        <v>8227</v>
      </c>
      <c r="C250" s="14" t="s">
        <v>16086</v>
      </c>
      <c r="D250" s="14">
        <v>2</v>
      </c>
      <c r="E250" s="14">
        <v>1239</v>
      </c>
      <c r="F250" s="14">
        <v>7</v>
      </c>
      <c r="G250" s="14">
        <v>15605</v>
      </c>
      <c r="H250" s="14">
        <v>0.101226473848529</v>
      </c>
      <c r="I250" s="14">
        <v>0.556494885836643</v>
      </c>
      <c r="J250" s="14">
        <v>3.59852415542488</v>
      </c>
      <c r="K250" s="14" t="s">
        <v>20091</v>
      </c>
    </row>
    <row r="251" spans="1:11">
      <c r="A251" s="14" t="s">
        <v>20092</v>
      </c>
      <c r="B251" s="14" t="s">
        <v>20093</v>
      </c>
      <c r="C251" s="14" t="s">
        <v>16086</v>
      </c>
      <c r="D251" s="14">
        <v>2</v>
      </c>
      <c r="E251" s="14">
        <v>1239</v>
      </c>
      <c r="F251" s="14">
        <v>7</v>
      </c>
      <c r="G251" s="14">
        <v>15605</v>
      </c>
      <c r="H251" s="14">
        <v>0.101226473848529</v>
      </c>
      <c r="I251" s="14">
        <v>0.556494885836643</v>
      </c>
      <c r="J251" s="14">
        <v>3.59852415542488</v>
      </c>
      <c r="K251" s="14" t="s">
        <v>20094</v>
      </c>
    </row>
    <row r="252" spans="1:11">
      <c r="A252" s="14" t="s">
        <v>20095</v>
      </c>
      <c r="B252" s="14" t="s">
        <v>20096</v>
      </c>
      <c r="C252" s="14" t="s">
        <v>16086</v>
      </c>
      <c r="D252" s="14">
        <v>2</v>
      </c>
      <c r="E252" s="14">
        <v>1239</v>
      </c>
      <c r="F252" s="14">
        <v>7</v>
      </c>
      <c r="G252" s="14">
        <v>15605</v>
      </c>
      <c r="H252" s="14">
        <v>0.101226473848529</v>
      </c>
      <c r="I252" s="14">
        <v>0.556494885836643</v>
      </c>
      <c r="J252" s="14">
        <v>3.59852415542488</v>
      </c>
      <c r="K252" s="14" t="s">
        <v>20097</v>
      </c>
    </row>
    <row r="253" spans="1:11">
      <c r="A253" s="14" t="s">
        <v>20098</v>
      </c>
      <c r="B253" s="14" t="s">
        <v>20099</v>
      </c>
      <c r="C253" s="14" t="s">
        <v>16090</v>
      </c>
      <c r="D253" s="14">
        <v>2</v>
      </c>
      <c r="E253" s="14">
        <v>1239</v>
      </c>
      <c r="F253" s="14">
        <v>7</v>
      </c>
      <c r="G253" s="14">
        <v>15605</v>
      </c>
      <c r="H253" s="14">
        <v>0.101226473848529</v>
      </c>
      <c r="I253" s="14">
        <v>0.556494885836643</v>
      </c>
      <c r="J253" s="14">
        <v>3.59852415542488</v>
      </c>
      <c r="K253" s="14" t="s">
        <v>19963</v>
      </c>
    </row>
    <row r="254" spans="1:11">
      <c r="A254" s="14" t="s">
        <v>20100</v>
      </c>
      <c r="B254" s="14" t="s">
        <v>20101</v>
      </c>
      <c r="C254" s="14" t="s">
        <v>16086</v>
      </c>
      <c r="D254" s="14">
        <v>2</v>
      </c>
      <c r="E254" s="14">
        <v>1239</v>
      </c>
      <c r="F254" s="14">
        <v>7</v>
      </c>
      <c r="G254" s="14">
        <v>15605</v>
      </c>
      <c r="H254" s="14">
        <v>0.101226473848529</v>
      </c>
      <c r="I254" s="14">
        <v>0.556494885836643</v>
      </c>
      <c r="J254" s="14">
        <v>3.59852415542488</v>
      </c>
      <c r="K254" s="14" t="s">
        <v>20102</v>
      </c>
    </row>
    <row r="255" spans="1:11">
      <c r="A255" s="14" t="s">
        <v>17934</v>
      </c>
      <c r="B255" s="14" t="s">
        <v>17935</v>
      </c>
      <c r="C255" s="14" t="s">
        <v>16090</v>
      </c>
      <c r="D255" s="14">
        <v>2</v>
      </c>
      <c r="E255" s="14">
        <v>1239</v>
      </c>
      <c r="F255" s="14">
        <v>7</v>
      </c>
      <c r="G255" s="14">
        <v>15605</v>
      </c>
      <c r="H255" s="14">
        <v>0.101226473848529</v>
      </c>
      <c r="I255" s="14">
        <v>0.556494885836643</v>
      </c>
      <c r="J255" s="14">
        <v>3.59852415542488</v>
      </c>
      <c r="K255" s="14" t="s">
        <v>20103</v>
      </c>
    </row>
    <row r="256" spans="1:11">
      <c r="A256" s="14" t="s">
        <v>17936</v>
      </c>
      <c r="B256" s="14" t="s">
        <v>17937</v>
      </c>
      <c r="C256" s="14" t="s">
        <v>16086</v>
      </c>
      <c r="D256" s="14">
        <v>2</v>
      </c>
      <c r="E256" s="14">
        <v>1239</v>
      </c>
      <c r="F256" s="14">
        <v>7</v>
      </c>
      <c r="G256" s="14">
        <v>15605</v>
      </c>
      <c r="H256" s="14">
        <v>0.101226473848529</v>
      </c>
      <c r="I256" s="14">
        <v>0.556494885836643</v>
      </c>
      <c r="J256" s="14">
        <v>3.59852415542488</v>
      </c>
      <c r="K256" s="14" t="s">
        <v>19992</v>
      </c>
    </row>
    <row r="257" spans="1:11">
      <c r="A257" s="14" t="s">
        <v>16381</v>
      </c>
      <c r="B257" s="14" t="s">
        <v>16382</v>
      </c>
      <c r="C257" s="14" t="s">
        <v>16086</v>
      </c>
      <c r="D257" s="14">
        <v>2</v>
      </c>
      <c r="E257" s="14">
        <v>1239</v>
      </c>
      <c r="F257" s="14">
        <v>7</v>
      </c>
      <c r="G257" s="14">
        <v>15605</v>
      </c>
      <c r="H257" s="14">
        <v>0.101226473848529</v>
      </c>
      <c r="I257" s="14">
        <v>0.556494885836643</v>
      </c>
      <c r="J257" s="14">
        <v>3.59852415542488</v>
      </c>
      <c r="K257" s="14" t="s">
        <v>20104</v>
      </c>
    </row>
    <row r="258" spans="1:11">
      <c r="A258" s="14" t="s">
        <v>17978</v>
      </c>
      <c r="B258" s="14" t="s">
        <v>17979</v>
      </c>
      <c r="C258" s="14" t="s">
        <v>16090</v>
      </c>
      <c r="D258" s="14">
        <v>2</v>
      </c>
      <c r="E258" s="14">
        <v>1239</v>
      </c>
      <c r="F258" s="14">
        <v>7</v>
      </c>
      <c r="G258" s="14">
        <v>15605</v>
      </c>
      <c r="H258" s="14">
        <v>0.101226473848529</v>
      </c>
      <c r="I258" s="14">
        <v>0.556494885836643</v>
      </c>
      <c r="J258" s="14">
        <v>3.59852415542488</v>
      </c>
      <c r="K258" s="14" t="s">
        <v>20105</v>
      </c>
    </row>
    <row r="259" spans="1:11">
      <c r="A259" s="14" t="s">
        <v>16873</v>
      </c>
      <c r="B259" s="14" t="s">
        <v>16874</v>
      </c>
      <c r="C259" s="14" t="s">
        <v>16086</v>
      </c>
      <c r="D259" s="14">
        <v>2</v>
      </c>
      <c r="E259" s="14">
        <v>1239</v>
      </c>
      <c r="F259" s="14">
        <v>7</v>
      </c>
      <c r="G259" s="14">
        <v>15605</v>
      </c>
      <c r="H259" s="14">
        <v>0.101226473848529</v>
      </c>
      <c r="I259" s="14">
        <v>0.556494885836643</v>
      </c>
      <c r="J259" s="14">
        <v>3.59852415542488</v>
      </c>
      <c r="K259" s="14" t="s">
        <v>20106</v>
      </c>
    </row>
    <row r="260" spans="1:11">
      <c r="A260" s="14" t="s">
        <v>20107</v>
      </c>
      <c r="B260" s="14" t="s">
        <v>20108</v>
      </c>
      <c r="C260" s="14" t="s">
        <v>16086</v>
      </c>
      <c r="D260" s="14">
        <v>2</v>
      </c>
      <c r="E260" s="14">
        <v>1239</v>
      </c>
      <c r="F260" s="14">
        <v>7</v>
      </c>
      <c r="G260" s="14">
        <v>15605</v>
      </c>
      <c r="H260" s="14">
        <v>0.101226473848529</v>
      </c>
      <c r="I260" s="14">
        <v>0.556494885836643</v>
      </c>
      <c r="J260" s="14">
        <v>3.59852415542488</v>
      </c>
      <c r="K260" s="14" t="s">
        <v>19992</v>
      </c>
    </row>
    <row r="261" spans="1:11">
      <c r="A261" s="14" t="s">
        <v>20109</v>
      </c>
      <c r="B261" s="14" t="s">
        <v>20110</v>
      </c>
      <c r="C261" s="14" t="s">
        <v>16086</v>
      </c>
      <c r="D261" s="14">
        <v>2</v>
      </c>
      <c r="E261" s="14">
        <v>1239</v>
      </c>
      <c r="F261" s="14">
        <v>7</v>
      </c>
      <c r="G261" s="14">
        <v>15605</v>
      </c>
      <c r="H261" s="14">
        <v>0.101226473848529</v>
      </c>
      <c r="I261" s="14">
        <v>0.556494885836643</v>
      </c>
      <c r="J261" s="14">
        <v>3.59852415542488</v>
      </c>
      <c r="K261" s="14" t="s">
        <v>20111</v>
      </c>
    </row>
    <row r="262" spans="1:11">
      <c r="A262" s="14" t="s">
        <v>18083</v>
      </c>
      <c r="B262" s="14" t="s">
        <v>18084</v>
      </c>
      <c r="C262" s="14" t="s">
        <v>16086</v>
      </c>
      <c r="D262" s="14">
        <v>13</v>
      </c>
      <c r="E262" s="14">
        <v>1239</v>
      </c>
      <c r="F262" s="14">
        <v>111</v>
      </c>
      <c r="G262" s="14">
        <v>15605</v>
      </c>
      <c r="H262" s="14">
        <v>0.101251693714155</v>
      </c>
      <c r="I262" s="14">
        <v>0.556494885836643</v>
      </c>
      <c r="J262" s="14">
        <v>1.47507071235885</v>
      </c>
      <c r="K262" s="14" t="s">
        <v>20112</v>
      </c>
    </row>
    <row r="263" spans="1:11">
      <c r="A263" s="14" t="s">
        <v>16419</v>
      </c>
      <c r="B263" s="14" t="s">
        <v>16420</v>
      </c>
      <c r="C263" s="14" t="s">
        <v>16090</v>
      </c>
      <c r="D263" s="14">
        <v>6</v>
      </c>
      <c r="E263" s="14">
        <v>1239</v>
      </c>
      <c r="F263" s="14">
        <v>41</v>
      </c>
      <c r="G263" s="14">
        <v>15605</v>
      </c>
      <c r="H263" s="14">
        <v>0.102914276449405</v>
      </c>
      <c r="I263" s="14">
        <v>0.563465521249809</v>
      </c>
      <c r="J263" s="14">
        <v>1.84314651863226</v>
      </c>
      <c r="K263" s="14" t="s">
        <v>20113</v>
      </c>
    </row>
    <row r="264" spans="1:11">
      <c r="A264" s="14" t="s">
        <v>18513</v>
      </c>
      <c r="B264" s="14" t="s">
        <v>18514</v>
      </c>
      <c r="C264" s="14" t="s">
        <v>16086</v>
      </c>
      <c r="D264" s="14">
        <v>4</v>
      </c>
      <c r="E264" s="14">
        <v>1239</v>
      </c>
      <c r="F264" s="14">
        <v>23</v>
      </c>
      <c r="G264" s="14">
        <v>15605</v>
      </c>
      <c r="H264" s="14">
        <v>0.104635459725368</v>
      </c>
      <c r="I264" s="14">
        <v>0.570702564685308</v>
      </c>
      <c r="J264" s="14">
        <v>2.19040600764993</v>
      </c>
      <c r="K264" s="14" t="s">
        <v>20114</v>
      </c>
    </row>
    <row r="265" spans="1:11">
      <c r="A265" s="14" t="s">
        <v>18980</v>
      </c>
      <c r="B265" s="14" t="s">
        <v>18981</v>
      </c>
      <c r="C265" s="14" t="s">
        <v>16086</v>
      </c>
      <c r="D265" s="14">
        <v>5</v>
      </c>
      <c r="E265" s="14">
        <v>1239</v>
      </c>
      <c r="F265" s="14">
        <v>32</v>
      </c>
      <c r="G265" s="14">
        <v>15605</v>
      </c>
      <c r="H265" s="14">
        <v>0.105678734871802</v>
      </c>
      <c r="I265" s="14">
        <v>0.574201186812946</v>
      </c>
      <c r="J265" s="14">
        <v>1.96794289749798</v>
      </c>
      <c r="K265" s="14" t="s">
        <v>20115</v>
      </c>
    </row>
    <row r="266" spans="1:11">
      <c r="A266" s="14" t="s">
        <v>18052</v>
      </c>
      <c r="B266" s="14" t="s">
        <v>18053</v>
      </c>
      <c r="C266" s="14" t="s">
        <v>16086</v>
      </c>
      <c r="D266" s="14">
        <v>16</v>
      </c>
      <c r="E266" s="14">
        <v>1239</v>
      </c>
      <c r="F266" s="14">
        <v>144</v>
      </c>
      <c r="G266" s="14">
        <v>15605</v>
      </c>
      <c r="H266" s="14">
        <v>0.1073710557563</v>
      </c>
      <c r="I266" s="14">
        <v>0.581186510135426</v>
      </c>
      <c r="J266" s="14">
        <v>1.39942606044301</v>
      </c>
      <c r="K266" s="14" t="s">
        <v>20116</v>
      </c>
    </row>
    <row r="267" spans="1:11">
      <c r="A267" s="14" t="s">
        <v>20117</v>
      </c>
      <c r="B267" s="14" t="s">
        <v>20118</v>
      </c>
      <c r="C267" s="14" t="s">
        <v>16090</v>
      </c>
      <c r="D267" s="14">
        <v>3</v>
      </c>
      <c r="E267" s="14">
        <v>1239</v>
      </c>
      <c r="F267" s="14">
        <v>15</v>
      </c>
      <c r="G267" s="14">
        <v>15605</v>
      </c>
      <c r="H267" s="14">
        <v>0.110946499071951</v>
      </c>
      <c r="I267" s="14">
        <v>0.585027849349883</v>
      </c>
      <c r="J267" s="14">
        <v>2.51896690879742</v>
      </c>
      <c r="K267" s="14" t="s">
        <v>19842</v>
      </c>
    </row>
    <row r="268" spans="1:11">
      <c r="A268" s="14" t="s">
        <v>18892</v>
      </c>
      <c r="B268" s="14" t="s">
        <v>18893</v>
      </c>
      <c r="C268" s="14" t="s">
        <v>16090</v>
      </c>
      <c r="D268" s="14">
        <v>3</v>
      </c>
      <c r="E268" s="14">
        <v>1239</v>
      </c>
      <c r="F268" s="14">
        <v>15</v>
      </c>
      <c r="G268" s="14">
        <v>15605</v>
      </c>
      <c r="H268" s="14">
        <v>0.110946499071951</v>
      </c>
      <c r="I268" s="14">
        <v>0.585027849349883</v>
      </c>
      <c r="J268" s="14">
        <v>2.51896690879742</v>
      </c>
      <c r="K268" s="14" t="s">
        <v>20119</v>
      </c>
    </row>
    <row r="269" spans="1:11">
      <c r="A269" s="14" t="s">
        <v>18894</v>
      </c>
      <c r="B269" s="14" t="s">
        <v>18895</v>
      </c>
      <c r="C269" s="14" t="s">
        <v>16086</v>
      </c>
      <c r="D269" s="14">
        <v>3</v>
      </c>
      <c r="E269" s="14">
        <v>1239</v>
      </c>
      <c r="F269" s="14">
        <v>15</v>
      </c>
      <c r="G269" s="14">
        <v>15605</v>
      </c>
      <c r="H269" s="14">
        <v>0.110946499071951</v>
      </c>
      <c r="I269" s="14">
        <v>0.585027849349883</v>
      </c>
      <c r="J269" s="14">
        <v>2.51896690879742</v>
      </c>
      <c r="K269" s="14" t="s">
        <v>20120</v>
      </c>
    </row>
    <row r="270" spans="1:11">
      <c r="A270" s="14" t="s">
        <v>18896</v>
      </c>
      <c r="B270" s="14" t="s">
        <v>18897</v>
      </c>
      <c r="C270" s="14" t="s">
        <v>16090</v>
      </c>
      <c r="D270" s="14">
        <v>3</v>
      </c>
      <c r="E270" s="14">
        <v>1239</v>
      </c>
      <c r="F270" s="14">
        <v>15</v>
      </c>
      <c r="G270" s="14">
        <v>15605</v>
      </c>
      <c r="H270" s="14">
        <v>0.110946499071951</v>
      </c>
      <c r="I270" s="14">
        <v>0.585027849349883</v>
      </c>
      <c r="J270" s="14">
        <v>2.51896690879742</v>
      </c>
      <c r="K270" s="14" t="s">
        <v>20121</v>
      </c>
    </row>
    <row r="271" spans="1:11">
      <c r="A271" s="14" t="s">
        <v>18906</v>
      </c>
      <c r="B271" s="14" t="s">
        <v>18907</v>
      </c>
      <c r="C271" s="14" t="s">
        <v>16086</v>
      </c>
      <c r="D271" s="14">
        <v>3</v>
      </c>
      <c r="E271" s="14">
        <v>1239</v>
      </c>
      <c r="F271" s="14">
        <v>15</v>
      </c>
      <c r="G271" s="14">
        <v>15605</v>
      </c>
      <c r="H271" s="14">
        <v>0.110946499071951</v>
      </c>
      <c r="I271" s="14">
        <v>0.585027849349883</v>
      </c>
      <c r="J271" s="14">
        <v>2.51896690879742</v>
      </c>
      <c r="K271" s="14" t="s">
        <v>20122</v>
      </c>
    </row>
    <row r="272" spans="1:11">
      <c r="A272" s="14" t="s">
        <v>17652</v>
      </c>
      <c r="B272" s="14" t="s">
        <v>17653</v>
      </c>
      <c r="C272" s="14" t="s">
        <v>16090</v>
      </c>
      <c r="D272" s="14">
        <v>3</v>
      </c>
      <c r="E272" s="14">
        <v>1239</v>
      </c>
      <c r="F272" s="14">
        <v>15</v>
      </c>
      <c r="G272" s="14">
        <v>15605</v>
      </c>
      <c r="H272" s="14">
        <v>0.110946499071951</v>
      </c>
      <c r="I272" s="14">
        <v>0.585027849349883</v>
      </c>
      <c r="J272" s="14">
        <v>2.51896690879742</v>
      </c>
      <c r="K272" s="14" t="s">
        <v>20123</v>
      </c>
    </row>
    <row r="273" spans="1:11">
      <c r="A273" s="14" t="s">
        <v>18914</v>
      </c>
      <c r="B273" s="14" t="s">
        <v>18915</v>
      </c>
      <c r="C273" s="14" t="s">
        <v>16086</v>
      </c>
      <c r="D273" s="14">
        <v>3</v>
      </c>
      <c r="E273" s="14">
        <v>1239</v>
      </c>
      <c r="F273" s="14">
        <v>15</v>
      </c>
      <c r="G273" s="14">
        <v>15605</v>
      </c>
      <c r="H273" s="14">
        <v>0.110946499071951</v>
      </c>
      <c r="I273" s="14">
        <v>0.585027849349883</v>
      </c>
      <c r="J273" s="14">
        <v>2.51896690879742</v>
      </c>
      <c r="K273" s="14" t="s">
        <v>20122</v>
      </c>
    </row>
    <row r="274" spans="1:11">
      <c r="A274" s="14" t="s">
        <v>19488</v>
      </c>
      <c r="B274" s="14" t="s">
        <v>19489</v>
      </c>
      <c r="C274" s="14" t="s">
        <v>16090</v>
      </c>
      <c r="D274" s="14">
        <v>6</v>
      </c>
      <c r="E274" s="14">
        <v>1239</v>
      </c>
      <c r="F274" s="14">
        <v>42</v>
      </c>
      <c r="G274" s="14">
        <v>15605</v>
      </c>
      <c r="H274" s="14">
        <v>0.112460016057737</v>
      </c>
      <c r="I274" s="14">
        <v>0.59082854024451</v>
      </c>
      <c r="J274" s="14">
        <v>1.79926207771244</v>
      </c>
      <c r="K274" s="14" t="s">
        <v>20124</v>
      </c>
    </row>
    <row r="275" spans="1:11">
      <c r="A275" s="14" t="s">
        <v>16088</v>
      </c>
      <c r="B275" s="14" t="s">
        <v>16089</v>
      </c>
      <c r="C275" s="14" t="s">
        <v>16090</v>
      </c>
      <c r="D275" s="14">
        <v>17</v>
      </c>
      <c r="E275" s="14">
        <v>1239</v>
      </c>
      <c r="F275" s="14">
        <v>156</v>
      </c>
      <c r="G275" s="14">
        <v>15605</v>
      </c>
      <c r="H275" s="14">
        <v>0.113275995229712</v>
      </c>
      <c r="I275" s="14">
        <v>0.592935520817797</v>
      </c>
      <c r="J275" s="14">
        <v>1.37251402081911</v>
      </c>
      <c r="K275" s="14" t="s">
        <v>20125</v>
      </c>
    </row>
    <row r="276" spans="1:11">
      <c r="A276" s="14" t="s">
        <v>17028</v>
      </c>
      <c r="B276" s="14" t="s">
        <v>17029</v>
      </c>
      <c r="C276" s="14" t="s">
        <v>16086</v>
      </c>
      <c r="D276" s="14">
        <v>10</v>
      </c>
      <c r="E276" s="14">
        <v>1239</v>
      </c>
      <c r="F276" s="14">
        <v>82</v>
      </c>
      <c r="G276" s="14">
        <v>15605</v>
      </c>
      <c r="H276" s="14">
        <v>0.113988485889078</v>
      </c>
      <c r="I276" s="14">
        <v>0.594487395385008</v>
      </c>
      <c r="J276" s="14">
        <v>1.53595543219355</v>
      </c>
      <c r="K276" s="14" t="s">
        <v>20126</v>
      </c>
    </row>
    <row r="277" spans="1:11">
      <c r="A277" s="14" t="s">
        <v>18608</v>
      </c>
      <c r="B277" s="14" t="s">
        <v>18609</v>
      </c>
      <c r="C277" s="14" t="s">
        <v>16090</v>
      </c>
      <c r="D277" s="14">
        <v>4</v>
      </c>
      <c r="E277" s="14">
        <v>1239</v>
      </c>
      <c r="F277" s="14">
        <v>24</v>
      </c>
      <c r="G277" s="14">
        <v>15605</v>
      </c>
      <c r="H277" s="14">
        <v>0.118085512984693</v>
      </c>
      <c r="I277" s="14">
        <v>0.611392021938863</v>
      </c>
      <c r="J277" s="14">
        <v>2.09913909066451</v>
      </c>
      <c r="K277" s="14" t="s">
        <v>20127</v>
      </c>
    </row>
    <row r="278" spans="1:11">
      <c r="A278" s="14" t="s">
        <v>19269</v>
      </c>
      <c r="B278" s="14" t="s">
        <v>19270</v>
      </c>
      <c r="C278" s="14" t="s">
        <v>16090</v>
      </c>
      <c r="D278" s="14">
        <v>4</v>
      </c>
      <c r="E278" s="14">
        <v>1239</v>
      </c>
      <c r="F278" s="14">
        <v>24</v>
      </c>
      <c r="G278" s="14">
        <v>15605</v>
      </c>
      <c r="H278" s="14">
        <v>0.118085512984693</v>
      </c>
      <c r="I278" s="14">
        <v>0.611392021938863</v>
      </c>
      <c r="J278" s="14">
        <v>2.09913909066451</v>
      </c>
      <c r="K278" s="14" t="s">
        <v>20128</v>
      </c>
    </row>
    <row r="279" spans="1:11">
      <c r="A279" s="14" t="s">
        <v>17396</v>
      </c>
      <c r="B279" s="14" t="s">
        <v>17397</v>
      </c>
      <c r="C279" s="14" t="s">
        <v>16090</v>
      </c>
      <c r="D279" s="14">
        <v>6</v>
      </c>
      <c r="E279" s="14">
        <v>1239</v>
      </c>
      <c r="F279" s="14">
        <v>43</v>
      </c>
      <c r="G279" s="14">
        <v>15605</v>
      </c>
      <c r="H279" s="14">
        <v>0.122437246947826</v>
      </c>
      <c r="I279" s="14">
        <v>0.611822373874137</v>
      </c>
      <c r="J279" s="14">
        <v>1.75741877357959</v>
      </c>
      <c r="K279" s="14" t="s">
        <v>20129</v>
      </c>
    </row>
    <row r="280" spans="1:11">
      <c r="A280" s="14" t="s">
        <v>16938</v>
      </c>
      <c r="B280" s="14" t="s">
        <v>16939</v>
      </c>
      <c r="C280" s="14" t="s">
        <v>16086</v>
      </c>
      <c r="D280" s="14">
        <v>2</v>
      </c>
      <c r="E280" s="14">
        <v>1239</v>
      </c>
      <c r="F280" s="14">
        <v>8</v>
      </c>
      <c r="G280" s="14">
        <v>15605</v>
      </c>
      <c r="H280" s="14">
        <v>0.128087391105197</v>
      </c>
      <c r="I280" s="14">
        <v>0.611822373874137</v>
      </c>
      <c r="J280" s="14">
        <v>3.14870863599677</v>
      </c>
      <c r="K280" s="14" t="s">
        <v>20130</v>
      </c>
    </row>
    <row r="281" spans="1:11">
      <c r="A281" s="14" t="s">
        <v>20131</v>
      </c>
      <c r="B281" s="14" t="s">
        <v>20132</v>
      </c>
      <c r="C281" s="14" t="s">
        <v>16090</v>
      </c>
      <c r="D281" s="14">
        <v>2</v>
      </c>
      <c r="E281" s="14">
        <v>1239</v>
      </c>
      <c r="F281" s="14">
        <v>8</v>
      </c>
      <c r="G281" s="14">
        <v>15605</v>
      </c>
      <c r="H281" s="14">
        <v>0.128087391105197</v>
      </c>
      <c r="I281" s="14">
        <v>0.611822373874137</v>
      </c>
      <c r="J281" s="14">
        <v>3.14870863599677</v>
      </c>
      <c r="K281" s="14" t="s">
        <v>20133</v>
      </c>
    </row>
    <row r="282" spans="1:11">
      <c r="A282" s="14" t="s">
        <v>20134</v>
      </c>
      <c r="B282" s="14" t="s">
        <v>20135</v>
      </c>
      <c r="C282" s="14" t="s">
        <v>16090</v>
      </c>
      <c r="D282" s="14">
        <v>2</v>
      </c>
      <c r="E282" s="14">
        <v>1239</v>
      </c>
      <c r="F282" s="14">
        <v>8</v>
      </c>
      <c r="G282" s="14">
        <v>15605</v>
      </c>
      <c r="H282" s="14">
        <v>0.128087391105197</v>
      </c>
      <c r="I282" s="14">
        <v>0.611822373874137</v>
      </c>
      <c r="J282" s="14">
        <v>3.14870863599677</v>
      </c>
      <c r="K282" s="14" t="s">
        <v>20136</v>
      </c>
    </row>
    <row r="283" spans="1:11">
      <c r="A283" s="14" t="s">
        <v>20137</v>
      </c>
      <c r="B283" s="14" t="s">
        <v>20138</v>
      </c>
      <c r="C283" s="14" t="s">
        <v>16090</v>
      </c>
      <c r="D283" s="14">
        <v>2</v>
      </c>
      <c r="E283" s="14">
        <v>1239</v>
      </c>
      <c r="F283" s="14">
        <v>8</v>
      </c>
      <c r="G283" s="14">
        <v>15605</v>
      </c>
      <c r="H283" s="14">
        <v>0.128087391105197</v>
      </c>
      <c r="I283" s="14">
        <v>0.611822373874137</v>
      </c>
      <c r="J283" s="14">
        <v>3.14870863599677</v>
      </c>
      <c r="K283" s="14" t="s">
        <v>20139</v>
      </c>
    </row>
    <row r="284" spans="1:11">
      <c r="A284" s="14" t="s">
        <v>20140</v>
      </c>
      <c r="B284" s="14" t="s">
        <v>20141</v>
      </c>
      <c r="C284" s="14" t="s">
        <v>16090</v>
      </c>
      <c r="D284" s="14">
        <v>2</v>
      </c>
      <c r="E284" s="14">
        <v>1239</v>
      </c>
      <c r="F284" s="14">
        <v>8</v>
      </c>
      <c r="G284" s="14">
        <v>15605</v>
      </c>
      <c r="H284" s="14">
        <v>0.128087391105197</v>
      </c>
      <c r="I284" s="14">
        <v>0.611822373874137</v>
      </c>
      <c r="J284" s="14">
        <v>3.14870863599677</v>
      </c>
      <c r="K284" s="14" t="s">
        <v>20142</v>
      </c>
    </row>
    <row r="285" spans="1:11">
      <c r="A285" s="14" t="s">
        <v>20143</v>
      </c>
      <c r="B285" s="14" t="s">
        <v>20144</v>
      </c>
      <c r="C285" s="14" t="s">
        <v>16090</v>
      </c>
      <c r="D285" s="14">
        <v>2</v>
      </c>
      <c r="E285" s="14">
        <v>1239</v>
      </c>
      <c r="F285" s="14">
        <v>8</v>
      </c>
      <c r="G285" s="14">
        <v>15605</v>
      </c>
      <c r="H285" s="14">
        <v>0.128087391105197</v>
      </c>
      <c r="I285" s="14">
        <v>0.611822373874137</v>
      </c>
      <c r="J285" s="14">
        <v>3.14870863599677</v>
      </c>
      <c r="K285" s="14" t="s">
        <v>20145</v>
      </c>
    </row>
    <row r="286" spans="1:11">
      <c r="A286" s="14" t="s">
        <v>18122</v>
      </c>
      <c r="B286" s="14" t="s">
        <v>18123</v>
      </c>
      <c r="C286" s="14" t="s">
        <v>16096</v>
      </c>
      <c r="D286" s="14">
        <v>2</v>
      </c>
      <c r="E286" s="14">
        <v>1239</v>
      </c>
      <c r="F286" s="14">
        <v>8</v>
      </c>
      <c r="G286" s="14">
        <v>15605</v>
      </c>
      <c r="H286" s="14">
        <v>0.128087391105197</v>
      </c>
      <c r="I286" s="14">
        <v>0.611822373874137</v>
      </c>
      <c r="J286" s="14">
        <v>3.14870863599677</v>
      </c>
      <c r="K286" s="14" t="s">
        <v>20146</v>
      </c>
    </row>
    <row r="287" spans="1:11">
      <c r="A287" s="14" t="s">
        <v>18124</v>
      </c>
      <c r="B287" s="14" t="s">
        <v>18125</v>
      </c>
      <c r="C287" s="14" t="s">
        <v>16086</v>
      </c>
      <c r="D287" s="14">
        <v>2</v>
      </c>
      <c r="E287" s="14">
        <v>1239</v>
      </c>
      <c r="F287" s="14">
        <v>8</v>
      </c>
      <c r="G287" s="14">
        <v>15605</v>
      </c>
      <c r="H287" s="14">
        <v>0.128087391105197</v>
      </c>
      <c r="I287" s="14">
        <v>0.611822373874137</v>
      </c>
      <c r="J287" s="14">
        <v>3.14870863599677</v>
      </c>
      <c r="K287" s="14" t="s">
        <v>20147</v>
      </c>
    </row>
    <row r="288" spans="1:11">
      <c r="A288" s="14" t="s">
        <v>20148</v>
      </c>
      <c r="B288" s="14" t="s">
        <v>20149</v>
      </c>
      <c r="C288" s="14" t="s">
        <v>16086</v>
      </c>
      <c r="D288" s="14">
        <v>2</v>
      </c>
      <c r="E288" s="14">
        <v>1239</v>
      </c>
      <c r="F288" s="14">
        <v>8</v>
      </c>
      <c r="G288" s="14">
        <v>15605</v>
      </c>
      <c r="H288" s="14">
        <v>0.128087391105197</v>
      </c>
      <c r="I288" s="14">
        <v>0.611822373874137</v>
      </c>
      <c r="J288" s="14">
        <v>3.14870863599677</v>
      </c>
      <c r="K288" s="14" t="s">
        <v>20150</v>
      </c>
    </row>
    <row r="289" spans="1:11">
      <c r="A289" s="14" t="s">
        <v>20151</v>
      </c>
      <c r="B289" s="14" t="s">
        <v>20152</v>
      </c>
      <c r="C289" s="14" t="s">
        <v>16086</v>
      </c>
      <c r="D289" s="14">
        <v>2</v>
      </c>
      <c r="E289" s="14">
        <v>1239</v>
      </c>
      <c r="F289" s="14">
        <v>8</v>
      </c>
      <c r="G289" s="14">
        <v>15605</v>
      </c>
      <c r="H289" s="14">
        <v>0.128087391105197</v>
      </c>
      <c r="I289" s="14">
        <v>0.611822373874137</v>
      </c>
      <c r="J289" s="14">
        <v>3.14870863599677</v>
      </c>
      <c r="K289" s="14" t="s">
        <v>20153</v>
      </c>
    </row>
    <row r="290" spans="1:11">
      <c r="A290" s="14" t="s">
        <v>20154</v>
      </c>
      <c r="B290" s="14" t="s">
        <v>20155</v>
      </c>
      <c r="C290" s="14" t="s">
        <v>16090</v>
      </c>
      <c r="D290" s="14">
        <v>2</v>
      </c>
      <c r="E290" s="14">
        <v>1239</v>
      </c>
      <c r="F290" s="14">
        <v>8</v>
      </c>
      <c r="G290" s="14">
        <v>15605</v>
      </c>
      <c r="H290" s="14">
        <v>0.128087391105197</v>
      </c>
      <c r="I290" s="14">
        <v>0.611822373874137</v>
      </c>
      <c r="J290" s="14">
        <v>3.14870863599677</v>
      </c>
      <c r="K290" s="14" t="s">
        <v>20156</v>
      </c>
    </row>
    <row r="291" spans="1:11">
      <c r="A291" s="14" t="s">
        <v>18140</v>
      </c>
      <c r="B291" s="14" t="s">
        <v>18141</v>
      </c>
      <c r="C291" s="14" t="s">
        <v>16086</v>
      </c>
      <c r="D291" s="14">
        <v>2</v>
      </c>
      <c r="E291" s="14">
        <v>1239</v>
      </c>
      <c r="F291" s="14">
        <v>8</v>
      </c>
      <c r="G291" s="14">
        <v>15605</v>
      </c>
      <c r="H291" s="14">
        <v>0.128087391105197</v>
      </c>
      <c r="I291" s="14">
        <v>0.611822373874137</v>
      </c>
      <c r="J291" s="14">
        <v>3.14870863599677</v>
      </c>
      <c r="K291" s="14" t="s">
        <v>20103</v>
      </c>
    </row>
    <row r="292" spans="1:11">
      <c r="A292" s="14" t="s">
        <v>20157</v>
      </c>
      <c r="B292" s="14" t="s">
        <v>20158</v>
      </c>
      <c r="C292" s="14" t="s">
        <v>16090</v>
      </c>
      <c r="D292" s="14">
        <v>2</v>
      </c>
      <c r="E292" s="14">
        <v>1239</v>
      </c>
      <c r="F292" s="14">
        <v>8</v>
      </c>
      <c r="G292" s="14">
        <v>15605</v>
      </c>
      <c r="H292" s="14">
        <v>0.128087391105197</v>
      </c>
      <c r="I292" s="14">
        <v>0.611822373874137</v>
      </c>
      <c r="J292" s="14">
        <v>3.14870863599677</v>
      </c>
      <c r="K292" s="14" t="s">
        <v>20159</v>
      </c>
    </row>
    <row r="293" spans="1:11">
      <c r="A293" s="14" t="s">
        <v>20160</v>
      </c>
      <c r="B293" s="14" t="s">
        <v>20161</v>
      </c>
      <c r="C293" s="14" t="s">
        <v>16090</v>
      </c>
      <c r="D293" s="14">
        <v>2</v>
      </c>
      <c r="E293" s="14">
        <v>1239</v>
      </c>
      <c r="F293" s="14">
        <v>8</v>
      </c>
      <c r="G293" s="14">
        <v>15605</v>
      </c>
      <c r="H293" s="14">
        <v>0.128087391105197</v>
      </c>
      <c r="I293" s="14">
        <v>0.611822373874137</v>
      </c>
      <c r="J293" s="14">
        <v>3.14870863599677</v>
      </c>
      <c r="K293" s="14" t="s">
        <v>20162</v>
      </c>
    </row>
    <row r="294" spans="1:11">
      <c r="A294" s="14" t="s">
        <v>20163</v>
      </c>
      <c r="B294" s="14" t="s">
        <v>20164</v>
      </c>
      <c r="C294" s="14" t="s">
        <v>16086</v>
      </c>
      <c r="D294" s="14">
        <v>2</v>
      </c>
      <c r="E294" s="14">
        <v>1239</v>
      </c>
      <c r="F294" s="14">
        <v>8</v>
      </c>
      <c r="G294" s="14">
        <v>15605</v>
      </c>
      <c r="H294" s="14">
        <v>0.128087391105197</v>
      </c>
      <c r="I294" s="14">
        <v>0.611822373874137</v>
      </c>
      <c r="J294" s="14">
        <v>3.14870863599677</v>
      </c>
      <c r="K294" s="14" t="s">
        <v>20165</v>
      </c>
    </row>
    <row r="295" spans="1:11">
      <c r="A295" s="14" t="s">
        <v>20166</v>
      </c>
      <c r="B295" s="14" t="s">
        <v>20167</v>
      </c>
      <c r="C295" s="14" t="s">
        <v>16086</v>
      </c>
      <c r="D295" s="14">
        <v>2</v>
      </c>
      <c r="E295" s="14">
        <v>1239</v>
      </c>
      <c r="F295" s="14">
        <v>8</v>
      </c>
      <c r="G295" s="14">
        <v>15605</v>
      </c>
      <c r="H295" s="14">
        <v>0.128087391105197</v>
      </c>
      <c r="I295" s="14">
        <v>0.611822373874137</v>
      </c>
      <c r="J295" s="14">
        <v>3.14870863599677</v>
      </c>
      <c r="K295" s="14" t="s">
        <v>20139</v>
      </c>
    </row>
    <row r="296" spans="1:11">
      <c r="A296" s="14" t="s">
        <v>20168</v>
      </c>
      <c r="B296" s="14" t="s">
        <v>20169</v>
      </c>
      <c r="C296" s="14" t="s">
        <v>16086</v>
      </c>
      <c r="D296" s="14">
        <v>2</v>
      </c>
      <c r="E296" s="14">
        <v>1239</v>
      </c>
      <c r="F296" s="14">
        <v>8</v>
      </c>
      <c r="G296" s="14">
        <v>15605</v>
      </c>
      <c r="H296" s="14">
        <v>0.128087391105197</v>
      </c>
      <c r="I296" s="14">
        <v>0.611822373874137</v>
      </c>
      <c r="J296" s="14">
        <v>3.14870863599677</v>
      </c>
      <c r="K296" s="14" t="s">
        <v>20139</v>
      </c>
    </row>
    <row r="297" spans="1:11">
      <c r="A297" s="14" t="s">
        <v>20170</v>
      </c>
      <c r="B297" s="14" t="s">
        <v>20171</v>
      </c>
      <c r="C297" s="14" t="s">
        <v>16086</v>
      </c>
      <c r="D297" s="14">
        <v>2</v>
      </c>
      <c r="E297" s="14">
        <v>1239</v>
      </c>
      <c r="F297" s="14">
        <v>8</v>
      </c>
      <c r="G297" s="14">
        <v>15605</v>
      </c>
      <c r="H297" s="14">
        <v>0.128087391105197</v>
      </c>
      <c r="I297" s="14">
        <v>0.611822373874137</v>
      </c>
      <c r="J297" s="14">
        <v>3.14870863599677</v>
      </c>
      <c r="K297" s="14" t="s">
        <v>20139</v>
      </c>
    </row>
    <row r="298" spans="1:11">
      <c r="A298" s="14" t="s">
        <v>16972</v>
      </c>
      <c r="B298" s="14" t="s">
        <v>16973</v>
      </c>
      <c r="C298" s="14" t="s">
        <v>16090</v>
      </c>
      <c r="D298" s="14">
        <v>2</v>
      </c>
      <c r="E298" s="14">
        <v>1239</v>
      </c>
      <c r="F298" s="14">
        <v>8</v>
      </c>
      <c r="G298" s="14">
        <v>15605</v>
      </c>
      <c r="H298" s="14">
        <v>0.128087391105197</v>
      </c>
      <c r="I298" s="14">
        <v>0.611822373874137</v>
      </c>
      <c r="J298" s="14">
        <v>3.14870863599677</v>
      </c>
      <c r="K298" s="14" t="s">
        <v>20172</v>
      </c>
    </row>
    <row r="299" spans="1:11">
      <c r="A299" s="14" t="s">
        <v>18182</v>
      </c>
      <c r="B299" s="14" t="s">
        <v>18183</v>
      </c>
      <c r="C299" s="14" t="s">
        <v>16090</v>
      </c>
      <c r="D299" s="14">
        <v>2</v>
      </c>
      <c r="E299" s="14">
        <v>1239</v>
      </c>
      <c r="F299" s="14">
        <v>8</v>
      </c>
      <c r="G299" s="14">
        <v>15605</v>
      </c>
      <c r="H299" s="14">
        <v>0.128087391105197</v>
      </c>
      <c r="I299" s="14">
        <v>0.611822373874137</v>
      </c>
      <c r="J299" s="14">
        <v>3.14870863599677</v>
      </c>
      <c r="K299" s="14" t="s">
        <v>20173</v>
      </c>
    </row>
    <row r="300" spans="1:11">
      <c r="A300" s="14" t="s">
        <v>20174</v>
      </c>
      <c r="B300" s="14" t="s">
        <v>20175</v>
      </c>
      <c r="C300" s="14" t="s">
        <v>16090</v>
      </c>
      <c r="D300" s="14">
        <v>2</v>
      </c>
      <c r="E300" s="14">
        <v>1239</v>
      </c>
      <c r="F300" s="14">
        <v>8</v>
      </c>
      <c r="G300" s="14">
        <v>15605</v>
      </c>
      <c r="H300" s="14">
        <v>0.128087391105197</v>
      </c>
      <c r="I300" s="14">
        <v>0.611822373874137</v>
      </c>
      <c r="J300" s="14">
        <v>3.14870863599677</v>
      </c>
      <c r="K300" s="14" t="s">
        <v>20176</v>
      </c>
    </row>
    <row r="301" spans="1:11">
      <c r="A301" s="14" t="s">
        <v>18196</v>
      </c>
      <c r="B301" s="14" t="s">
        <v>18197</v>
      </c>
      <c r="C301" s="14" t="s">
        <v>16090</v>
      </c>
      <c r="D301" s="14">
        <v>2</v>
      </c>
      <c r="E301" s="14">
        <v>1239</v>
      </c>
      <c r="F301" s="14">
        <v>8</v>
      </c>
      <c r="G301" s="14">
        <v>15605</v>
      </c>
      <c r="H301" s="14">
        <v>0.128087391105197</v>
      </c>
      <c r="I301" s="14">
        <v>0.611822373874137</v>
      </c>
      <c r="J301" s="14">
        <v>3.14870863599677</v>
      </c>
      <c r="K301" s="14" t="s">
        <v>20177</v>
      </c>
    </row>
    <row r="302" spans="1:11">
      <c r="A302" s="14" t="s">
        <v>20178</v>
      </c>
      <c r="B302" s="14" t="s">
        <v>20179</v>
      </c>
      <c r="C302" s="14" t="s">
        <v>16086</v>
      </c>
      <c r="D302" s="14">
        <v>3</v>
      </c>
      <c r="E302" s="14">
        <v>1239</v>
      </c>
      <c r="F302" s="14">
        <v>16</v>
      </c>
      <c r="G302" s="14">
        <v>15605</v>
      </c>
      <c r="H302" s="14">
        <v>0.128872312481536</v>
      </c>
      <c r="I302" s="14">
        <v>0.611822373874137</v>
      </c>
      <c r="J302" s="14">
        <v>2.36153147699758</v>
      </c>
      <c r="K302" s="14" t="s">
        <v>20180</v>
      </c>
    </row>
    <row r="303" spans="1:11">
      <c r="A303" s="14" t="s">
        <v>16526</v>
      </c>
      <c r="B303" s="14" t="s">
        <v>16527</v>
      </c>
      <c r="C303" s="14" t="s">
        <v>16090</v>
      </c>
      <c r="D303" s="14">
        <v>3</v>
      </c>
      <c r="E303" s="14">
        <v>1239</v>
      </c>
      <c r="F303" s="14">
        <v>16</v>
      </c>
      <c r="G303" s="14">
        <v>15605</v>
      </c>
      <c r="H303" s="14">
        <v>0.128872312481536</v>
      </c>
      <c r="I303" s="14">
        <v>0.611822373874137</v>
      </c>
      <c r="J303" s="14">
        <v>2.36153147699758</v>
      </c>
      <c r="K303" s="14" t="s">
        <v>20181</v>
      </c>
    </row>
    <row r="304" spans="1:11">
      <c r="A304" s="14" t="s">
        <v>16593</v>
      </c>
      <c r="B304" s="14" t="s">
        <v>16594</v>
      </c>
      <c r="C304" s="14" t="s">
        <v>16090</v>
      </c>
      <c r="D304" s="14">
        <v>4</v>
      </c>
      <c r="E304" s="14">
        <v>1239</v>
      </c>
      <c r="F304" s="14">
        <v>25</v>
      </c>
      <c r="G304" s="14">
        <v>15605</v>
      </c>
      <c r="H304" s="14">
        <v>0.132238608902488</v>
      </c>
      <c r="I304" s="14">
        <v>0.624401297307038</v>
      </c>
      <c r="J304" s="14">
        <v>2.01517352703793</v>
      </c>
      <c r="K304" s="14" t="s">
        <v>20182</v>
      </c>
    </row>
    <row r="305" spans="1:11">
      <c r="A305" s="14" t="s">
        <v>482</v>
      </c>
      <c r="B305" s="14" t="s">
        <v>483</v>
      </c>
      <c r="C305" s="14" t="s">
        <v>16096</v>
      </c>
      <c r="D305" s="14">
        <v>176</v>
      </c>
      <c r="E305" s="14">
        <v>1239</v>
      </c>
      <c r="F305" s="14">
        <v>2050</v>
      </c>
      <c r="G305" s="14">
        <v>15605</v>
      </c>
      <c r="H305" s="14">
        <v>0.132590494755057</v>
      </c>
      <c r="I305" s="14">
        <v>0.624401297307038</v>
      </c>
      <c r="J305" s="14">
        <v>1.08131262426426</v>
      </c>
      <c r="K305" s="14" t="s">
        <v>20183</v>
      </c>
    </row>
    <row r="306" spans="1:11">
      <c r="A306" s="14" t="s">
        <v>18247</v>
      </c>
      <c r="B306" s="14" t="s">
        <v>18248</v>
      </c>
      <c r="C306" s="14" t="s">
        <v>16086</v>
      </c>
      <c r="D306" s="14">
        <v>6</v>
      </c>
      <c r="E306" s="14">
        <v>1239</v>
      </c>
      <c r="F306" s="14">
        <v>44</v>
      </c>
      <c r="G306" s="14">
        <v>15605</v>
      </c>
      <c r="H306" s="14">
        <v>0.132832746243065</v>
      </c>
      <c r="I306" s="14">
        <v>0.624401297307038</v>
      </c>
      <c r="J306" s="14">
        <v>1.71747743781642</v>
      </c>
      <c r="K306" s="14" t="s">
        <v>20008</v>
      </c>
    </row>
    <row r="307" spans="1:11">
      <c r="A307" s="14" t="s">
        <v>16172</v>
      </c>
      <c r="B307" s="14" t="s">
        <v>16173</v>
      </c>
      <c r="C307" s="14" t="s">
        <v>16086</v>
      </c>
      <c r="D307" s="14">
        <v>5</v>
      </c>
      <c r="E307" s="14">
        <v>1239</v>
      </c>
      <c r="F307" s="14">
        <v>35</v>
      </c>
      <c r="G307" s="14">
        <v>15605</v>
      </c>
      <c r="H307" s="14">
        <v>0.14081206265097</v>
      </c>
      <c r="I307" s="14">
        <v>0.655441164587087</v>
      </c>
      <c r="J307" s="14">
        <v>1.79926207771244</v>
      </c>
      <c r="K307" s="14" t="s">
        <v>20184</v>
      </c>
    </row>
    <row r="308" spans="1:11">
      <c r="A308" s="14" t="s">
        <v>20185</v>
      </c>
      <c r="B308" s="14" t="s">
        <v>14158</v>
      </c>
      <c r="C308" s="14" t="s">
        <v>16090</v>
      </c>
      <c r="D308" s="14">
        <v>5</v>
      </c>
      <c r="E308" s="14">
        <v>1239</v>
      </c>
      <c r="F308" s="14">
        <v>35</v>
      </c>
      <c r="G308" s="14">
        <v>15605</v>
      </c>
      <c r="H308" s="14">
        <v>0.14081206265097</v>
      </c>
      <c r="I308" s="14">
        <v>0.655441164587087</v>
      </c>
      <c r="J308" s="14">
        <v>1.79926207771244</v>
      </c>
      <c r="K308" s="14" t="s">
        <v>20186</v>
      </c>
    </row>
    <row r="309" spans="1:11">
      <c r="A309" s="14" t="s">
        <v>20187</v>
      </c>
      <c r="B309" s="14" t="s">
        <v>20188</v>
      </c>
      <c r="C309" s="14" t="s">
        <v>16090</v>
      </c>
      <c r="D309" s="14">
        <v>5</v>
      </c>
      <c r="E309" s="14">
        <v>1239</v>
      </c>
      <c r="F309" s="14">
        <v>35</v>
      </c>
      <c r="G309" s="14">
        <v>15605</v>
      </c>
      <c r="H309" s="14">
        <v>0.14081206265097</v>
      </c>
      <c r="I309" s="14">
        <v>0.655441164587087</v>
      </c>
      <c r="J309" s="14">
        <v>1.79926207771244</v>
      </c>
      <c r="K309" s="14" t="s">
        <v>20189</v>
      </c>
    </row>
    <row r="310" spans="1:11">
      <c r="A310" s="14" t="s">
        <v>4551</v>
      </c>
      <c r="B310" s="14" t="s">
        <v>4552</v>
      </c>
      <c r="C310" s="14" t="s">
        <v>16096</v>
      </c>
      <c r="D310" s="14">
        <v>134</v>
      </c>
      <c r="E310" s="14">
        <v>1239</v>
      </c>
      <c r="F310" s="14">
        <v>1545</v>
      </c>
      <c r="G310" s="14">
        <v>15605</v>
      </c>
      <c r="H310" s="14">
        <v>0.141797876268574</v>
      </c>
      <c r="I310" s="14">
        <v>0.657886899960364</v>
      </c>
      <c r="J310" s="14">
        <v>1.09236752679241</v>
      </c>
      <c r="K310" s="14" t="s">
        <v>20190</v>
      </c>
    </row>
    <row r="311" spans="1:11">
      <c r="A311" s="14" t="s">
        <v>1945</v>
      </c>
      <c r="B311" s="14" t="s">
        <v>1946</v>
      </c>
      <c r="C311" s="14" t="s">
        <v>16086</v>
      </c>
      <c r="D311" s="14">
        <v>27</v>
      </c>
      <c r="E311" s="14">
        <v>1239</v>
      </c>
      <c r="F311" s="14">
        <v>274</v>
      </c>
      <c r="G311" s="14">
        <v>15605</v>
      </c>
      <c r="H311" s="14">
        <v>0.142956497473345</v>
      </c>
      <c r="I311" s="14">
        <v>0.66111597051589</v>
      </c>
      <c r="J311" s="14">
        <v>1.24109683462646</v>
      </c>
      <c r="K311" s="14" t="s">
        <v>20191</v>
      </c>
    </row>
    <row r="312" spans="1:11">
      <c r="A312" s="14" t="s">
        <v>18732</v>
      </c>
      <c r="B312" s="14" t="s">
        <v>18733</v>
      </c>
      <c r="C312" s="14" t="s">
        <v>16090</v>
      </c>
      <c r="D312" s="14">
        <v>4</v>
      </c>
      <c r="E312" s="14">
        <v>1239</v>
      </c>
      <c r="F312" s="14">
        <v>26</v>
      </c>
      <c r="G312" s="14">
        <v>15605</v>
      </c>
      <c r="H312" s="14">
        <v>0.147046795457277</v>
      </c>
      <c r="I312" s="14">
        <v>0.676643584535189</v>
      </c>
      <c r="J312" s="14">
        <v>1.93766685292109</v>
      </c>
      <c r="K312" s="14" t="s">
        <v>20192</v>
      </c>
    </row>
    <row r="313" spans="1:11">
      <c r="A313" s="14" t="s">
        <v>4703</v>
      </c>
      <c r="B313" s="14" t="s">
        <v>4704</v>
      </c>
      <c r="C313" s="14" t="s">
        <v>16086</v>
      </c>
      <c r="D313" s="14">
        <v>3</v>
      </c>
      <c r="E313" s="14">
        <v>1239</v>
      </c>
      <c r="F313" s="14">
        <v>17</v>
      </c>
      <c r="G313" s="14">
        <v>15605</v>
      </c>
      <c r="H313" s="14">
        <v>0.147734638470944</v>
      </c>
      <c r="I313" s="14">
        <v>0.676643584535189</v>
      </c>
      <c r="J313" s="14">
        <v>2.2226178607036</v>
      </c>
      <c r="K313" s="14" t="s">
        <v>20193</v>
      </c>
    </row>
    <row r="314" spans="1:11">
      <c r="A314" s="14" t="s">
        <v>17850</v>
      </c>
      <c r="B314" s="14" t="s">
        <v>17851</v>
      </c>
      <c r="C314" s="14" t="s">
        <v>16086</v>
      </c>
      <c r="D314" s="14">
        <v>3</v>
      </c>
      <c r="E314" s="14">
        <v>1239</v>
      </c>
      <c r="F314" s="14">
        <v>17</v>
      </c>
      <c r="G314" s="14">
        <v>15605</v>
      </c>
      <c r="H314" s="14">
        <v>0.147734638470944</v>
      </c>
      <c r="I314" s="14">
        <v>0.676643584535189</v>
      </c>
      <c r="J314" s="14">
        <v>2.2226178607036</v>
      </c>
      <c r="K314" s="14" t="s">
        <v>20194</v>
      </c>
    </row>
    <row r="315" spans="1:11">
      <c r="A315" s="14" t="s">
        <v>19424</v>
      </c>
      <c r="B315" s="14" t="s">
        <v>19425</v>
      </c>
      <c r="C315" s="14" t="s">
        <v>16096</v>
      </c>
      <c r="D315" s="14">
        <v>13</v>
      </c>
      <c r="E315" s="14">
        <v>1239</v>
      </c>
      <c r="F315" s="14">
        <v>119</v>
      </c>
      <c r="G315" s="14">
        <v>15605</v>
      </c>
      <c r="H315" s="14">
        <v>0.14947703272622</v>
      </c>
      <c r="I315" s="14">
        <v>0.679104690353266</v>
      </c>
      <c r="J315" s="14">
        <v>1.37590629472128</v>
      </c>
      <c r="K315" s="14" t="s">
        <v>20195</v>
      </c>
    </row>
    <row r="316" spans="1:11">
      <c r="A316" s="14" t="s">
        <v>18540</v>
      </c>
      <c r="B316" s="14" t="s">
        <v>18541</v>
      </c>
      <c r="C316" s="14" t="s">
        <v>16090</v>
      </c>
      <c r="D316" s="14">
        <v>5</v>
      </c>
      <c r="E316" s="14">
        <v>1239</v>
      </c>
      <c r="F316" s="14">
        <v>36</v>
      </c>
      <c r="G316" s="14">
        <v>15605</v>
      </c>
      <c r="H316" s="14">
        <v>0.153524882077698</v>
      </c>
      <c r="I316" s="14">
        <v>0.679104690353266</v>
      </c>
      <c r="J316" s="14">
        <v>1.74928257555376</v>
      </c>
      <c r="K316" s="14" t="s">
        <v>20196</v>
      </c>
    </row>
    <row r="317" spans="1:11">
      <c r="A317" s="14" t="s">
        <v>19344</v>
      </c>
      <c r="B317" s="14" t="s">
        <v>19345</v>
      </c>
      <c r="C317" s="14" t="s">
        <v>16090</v>
      </c>
      <c r="D317" s="14">
        <v>6</v>
      </c>
      <c r="E317" s="14">
        <v>1239</v>
      </c>
      <c r="F317" s="14">
        <v>46</v>
      </c>
      <c r="G317" s="14">
        <v>15605</v>
      </c>
      <c r="H317" s="14">
        <v>0.154817820710989</v>
      </c>
      <c r="I317" s="14">
        <v>0.679104690353266</v>
      </c>
      <c r="J317" s="14">
        <v>1.64280450573745</v>
      </c>
      <c r="K317" s="14" t="s">
        <v>20197</v>
      </c>
    </row>
    <row r="318" spans="1:11">
      <c r="A318" s="14" t="s">
        <v>17628</v>
      </c>
      <c r="B318" s="14" t="s">
        <v>17629</v>
      </c>
      <c r="C318" s="14" t="s">
        <v>16086</v>
      </c>
      <c r="D318" s="14">
        <v>6</v>
      </c>
      <c r="E318" s="14">
        <v>1239</v>
      </c>
      <c r="F318" s="14">
        <v>46</v>
      </c>
      <c r="G318" s="14">
        <v>15605</v>
      </c>
      <c r="H318" s="14">
        <v>0.154817820710989</v>
      </c>
      <c r="I318" s="14">
        <v>0.679104690353266</v>
      </c>
      <c r="J318" s="14">
        <v>1.64280450573745</v>
      </c>
      <c r="K318" s="14" t="s">
        <v>20198</v>
      </c>
    </row>
    <row r="319" spans="1:11">
      <c r="A319" s="14" t="s">
        <v>17037</v>
      </c>
      <c r="B319" s="14" t="s">
        <v>17038</v>
      </c>
      <c r="C319" s="14" t="s">
        <v>16086</v>
      </c>
      <c r="D319" s="14">
        <v>2</v>
      </c>
      <c r="E319" s="14">
        <v>1239</v>
      </c>
      <c r="F319" s="14">
        <v>9</v>
      </c>
      <c r="G319" s="14">
        <v>15605</v>
      </c>
      <c r="H319" s="14">
        <v>0.156350904916882</v>
      </c>
      <c r="I319" s="14">
        <v>0.679104690353266</v>
      </c>
      <c r="J319" s="14">
        <v>2.79885212088602</v>
      </c>
      <c r="K319" s="14" t="s">
        <v>20199</v>
      </c>
    </row>
    <row r="320" spans="1:11">
      <c r="A320" s="14" t="s">
        <v>20200</v>
      </c>
      <c r="B320" s="14" t="s">
        <v>20201</v>
      </c>
      <c r="C320" s="14" t="s">
        <v>16086</v>
      </c>
      <c r="D320" s="14">
        <v>2</v>
      </c>
      <c r="E320" s="14">
        <v>1239</v>
      </c>
      <c r="F320" s="14">
        <v>9</v>
      </c>
      <c r="G320" s="14">
        <v>15605</v>
      </c>
      <c r="H320" s="14">
        <v>0.156350904916882</v>
      </c>
      <c r="I320" s="14">
        <v>0.679104690353266</v>
      </c>
      <c r="J320" s="14">
        <v>2.79885212088602</v>
      </c>
      <c r="K320" s="14" t="s">
        <v>20202</v>
      </c>
    </row>
    <row r="321" spans="1:11">
      <c r="A321" s="14" t="s">
        <v>20203</v>
      </c>
      <c r="B321" s="14" t="s">
        <v>20204</v>
      </c>
      <c r="C321" s="14" t="s">
        <v>16086</v>
      </c>
      <c r="D321" s="14">
        <v>2</v>
      </c>
      <c r="E321" s="14">
        <v>1239</v>
      </c>
      <c r="F321" s="14">
        <v>9</v>
      </c>
      <c r="G321" s="14">
        <v>15605</v>
      </c>
      <c r="H321" s="14">
        <v>0.156350904916882</v>
      </c>
      <c r="I321" s="14">
        <v>0.679104690353266</v>
      </c>
      <c r="J321" s="14">
        <v>2.79885212088602</v>
      </c>
      <c r="K321" s="14" t="s">
        <v>20205</v>
      </c>
    </row>
    <row r="322" spans="1:11">
      <c r="A322" s="14" t="s">
        <v>18296</v>
      </c>
      <c r="B322" s="14" t="s">
        <v>18297</v>
      </c>
      <c r="C322" s="14" t="s">
        <v>16090</v>
      </c>
      <c r="D322" s="14">
        <v>2</v>
      </c>
      <c r="E322" s="14">
        <v>1239</v>
      </c>
      <c r="F322" s="14">
        <v>9</v>
      </c>
      <c r="G322" s="14">
        <v>15605</v>
      </c>
      <c r="H322" s="14">
        <v>0.156350904916882</v>
      </c>
      <c r="I322" s="14">
        <v>0.679104690353266</v>
      </c>
      <c r="J322" s="14">
        <v>2.79885212088602</v>
      </c>
      <c r="K322" s="14" t="s">
        <v>20206</v>
      </c>
    </row>
    <row r="323" spans="1:11">
      <c r="A323" s="14" t="s">
        <v>18306</v>
      </c>
      <c r="B323" s="14" t="s">
        <v>18307</v>
      </c>
      <c r="C323" s="14" t="s">
        <v>16086</v>
      </c>
      <c r="D323" s="14">
        <v>2</v>
      </c>
      <c r="E323" s="14">
        <v>1239</v>
      </c>
      <c r="F323" s="14">
        <v>9</v>
      </c>
      <c r="G323" s="14">
        <v>15605</v>
      </c>
      <c r="H323" s="14">
        <v>0.156350904916882</v>
      </c>
      <c r="I323" s="14">
        <v>0.679104690353266</v>
      </c>
      <c r="J323" s="14">
        <v>2.79885212088602</v>
      </c>
      <c r="K323" s="14" t="s">
        <v>20207</v>
      </c>
    </row>
    <row r="324" spans="1:11">
      <c r="A324" s="14" t="s">
        <v>16254</v>
      </c>
      <c r="B324" s="14" t="s">
        <v>16255</v>
      </c>
      <c r="C324" s="14" t="s">
        <v>16090</v>
      </c>
      <c r="D324" s="14">
        <v>2</v>
      </c>
      <c r="E324" s="14">
        <v>1239</v>
      </c>
      <c r="F324" s="14">
        <v>9</v>
      </c>
      <c r="G324" s="14">
        <v>15605</v>
      </c>
      <c r="H324" s="14">
        <v>0.156350904916882</v>
      </c>
      <c r="I324" s="14">
        <v>0.679104690353266</v>
      </c>
      <c r="J324" s="14">
        <v>2.79885212088602</v>
      </c>
      <c r="K324" s="14" t="s">
        <v>20208</v>
      </c>
    </row>
    <row r="325" spans="1:11">
      <c r="A325" s="14" t="s">
        <v>18312</v>
      </c>
      <c r="B325" s="14" t="s">
        <v>18313</v>
      </c>
      <c r="C325" s="14" t="s">
        <v>16090</v>
      </c>
      <c r="D325" s="14">
        <v>2</v>
      </c>
      <c r="E325" s="14">
        <v>1239</v>
      </c>
      <c r="F325" s="14">
        <v>9</v>
      </c>
      <c r="G325" s="14">
        <v>15605</v>
      </c>
      <c r="H325" s="14">
        <v>0.156350904916882</v>
      </c>
      <c r="I325" s="14">
        <v>0.679104690353266</v>
      </c>
      <c r="J325" s="14">
        <v>2.79885212088602</v>
      </c>
      <c r="K325" s="14" t="s">
        <v>20209</v>
      </c>
    </row>
    <row r="326" spans="1:11">
      <c r="A326" s="14" t="s">
        <v>17070</v>
      </c>
      <c r="B326" s="14" t="s">
        <v>17071</v>
      </c>
      <c r="C326" s="14" t="s">
        <v>16090</v>
      </c>
      <c r="D326" s="14">
        <v>2</v>
      </c>
      <c r="E326" s="14">
        <v>1239</v>
      </c>
      <c r="F326" s="14">
        <v>9</v>
      </c>
      <c r="G326" s="14">
        <v>15605</v>
      </c>
      <c r="H326" s="14">
        <v>0.156350904916882</v>
      </c>
      <c r="I326" s="14">
        <v>0.679104690353266</v>
      </c>
      <c r="J326" s="14">
        <v>2.79885212088602</v>
      </c>
      <c r="K326" s="14" t="s">
        <v>20210</v>
      </c>
    </row>
    <row r="327" spans="1:11">
      <c r="A327" s="14" t="s">
        <v>18342</v>
      </c>
      <c r="B327" s="14" t="s">
        <v>18343</v>
      </c>
      <c r="C327" s="14" t="s">
        <v>16090</v>
      </c>
      <c r="D327" s="14">
        <v>2</v>
      </c>
      <c r="E327" s="14">
        <v>1239</v>
      </c>
      <c r="F327" s="14">
        <v>9</v>
      </c>
      <c r="G327" s="14">
        <v>15605</v>
      </c>
      <c r="H327" s="14">
        <v>0.156350904916882</v>
      </c>
      <c r="I327" s="14">
        <v>0.679104690353266</v>
      </c>
      <c r="J327" s="14">
        <v>2.79885212088602</v>
      </c>
      <c r="K327" s="14" t="s">
        <v>20211</v>
      </c>
    </row>
    <row r="328" spans="1:11">
      <c r="A328" s="14" t="s">
        <v>18354</v>
      </c>
      <c r="B328" s="14" t="s">
        <v>18355</v>
      </c>
      <c r="C328" s="14" t="s">
        <v>16090</v>
      </c>
      <c r="D328" s="14">
        <v>2</v>
      </c>
      <c r="E328" s="14">
        <v>1239</v>
      </c>
      <c r="F328" s="14">
        <v>9</v>
      </c>
      <c r="G328" s="14">
        <v>15605</v>
      </c>
      <c r="H328" s="14">
        <v>0.156350904916882</v>
      </c>
      <c r="I328" s="14">
        <v>0.679104690353266</v>
      </c>
      <c r="J328" s="14">
        <v>2.79885212088602</v>
      </c>
      <c r="K328" s="14" t="s">
        <v>20147</v>
      </c>
    </row>
    <row r="329" spans="1:11">
      <c r="A329" s="14" t="s">
        <v>20212</v>
      </c>
      <c r="B329" s="14" t="s">
        <v>20213</v>
      </c>
      <c r="C329" s="14" t="s">
        <v>16090</v>
      </c>
      <c r="D329" s="14">
        <v>2</v>
      </c>
      <c r="E329" s="14">
        <v>1239</v>
      </c>
      <c r="F329" s="14">
        <v>9</v>
      </c>
      <c r="G329" s="14">
        <v>15605</v>
      </c>
      <c r="H329" s="14">
        <v>0.156350904916882</v>
      </c>
      <c r="I329" s="14">
        <v>0.679104690353266</v>
      </c>
      <c r="J329" s="14">
        <v>2.79885212088602</v>
      </c>
      <c r="K329" s="14" t="s">
        <v>20214</v>
      </c>
    </row>
    <row r="330" spans="1:11">
      <c r="A330" s="14" t="s">
        <v>17082</v>
      </c>
      <c r="B330" s="14" t="s">
        <v>17083</v>
      </c>
      <c r="C330" s="14" t="s">
        <v>16086</v>
      </c>
      <c r="D330" s="14">
        <v>2</v>
      </c>
      <c r="E330" s="14">
        <v>1239</v>
      </c>
      <c r="F330" s="14">
        <v>9</v>
      </c>
      <c r="G330" s="14">
        <v>15605</v>
      </c>
      <c r="H330" s="14">
        <v>0.156350904916882</v>
      </c>
      <c r="I330" s="14">
        <v>0.679104690353266</v>
      </c>
      <c r="J330" s="14">
        <v>2.79885212088602</v>
      </c>
      <c r="K330" s="14" t="s">
        <v>20199</v>
      </c>
    </row>
    <row r="331" spans="1:11">
      <c r="A331" s="14" t="s">
        <v>20215</v>
      </c>
      <c r="B331" s="14" t="s">
        <v>20216</v>
      </c>
      <c r="C331" s="14" t="s">
        <v>16090</v>
      </c>
      <c r="D331" s="14">
        <v>2</v>
      </c>
      <c r="E331" s="14">
        <v>1239</v>
      </c>
      <c r="F331" s="14">
        <v>9</v>
      </c>
      <c r="G331" s="14">
        <v>15605</v>
      </c>
      <c r="H331" s="14">
        <v>0.156350904916882</v>
      </c>
      <c r="I331" s="14">
        <v>0.679104690353266</v>
      </c>
      <c r="J331" s="14">
        <v>2.79885212088602</v>
      </c>
      <c r="K331" s="14" t="s">
        <v>20217</v>
      </c>
    </row>
    <row r="332" spans="1:11">
      <c r="A332" s="14" t="s">
        <v>17117</v>
      </c>
      <c r="B332" s="14" t="s">
        <v>17118</v>
      </c>
      <c r="C332" s="14" t="s">
        <v>16090</v>
      </c>
      <c r="D332" s="14">
        <v>4</v>
      </c>
      <c r="E332" s="14">
        <v>1239</v>
      </c>
      <c r="F332" s="14">
        <v>27</v>
      </c>
      <c r="G332" s="14">
        <v>15605</v>
      </c>
      <c r="H332" s="14">
        <v>0.16245947285324</v>
      </c>
      <c r="I332" s="14">
        <v>0.701373373738007</v>
      </c>
      <c r="J332" s="14">
        <v>1.86590141392401</v>
      </c>
      <c r="K332" s="14" t="s">
        <v>20218</v>
      </c>
    </row>
    <row r="333" spans="1:11">
      <c r="A333" s="14" t="s">
        <v>16446</v>
      </c>
      <c r="B333" s="14" t="s">
        <v>16447</v>
      </c>
      <c r="C333" s="14" t="s">
        <v>16086</v>
      </c>
      <c r="D333" s="14">
        <v>4</v>
      </c>
      <c r="E333" s="14">
        <v>1239</v>
      </c>
      <c r="F333" s="14">
        <v>27</v>
      </c>
      <c r="G333" s="14">
        <v>15605</v>
      </c>
      <c r="H333" s="14">
        <v>0.16245947285324</v>
      </c>
      <c r="I333" s="14">
        <v>0.701373373738007</v>
      </c>
      <c r="J333" s="14">
        <v>1.86590141392401</v>
      </c>
      <c r="K333" s="14" t="s">
        <v>20219</v>
      </c>
    </row>
    <row r="334" spans="1:11">
      <c r="A334" s="14" t="s">
        <v>17666</v>
      </c>
      <c r="B334" s="14" t="s">
        <v>17667</v>
      </c>
      <c r="C334" s="14" t="s">
        <v>16086</v>
      </c>
      <c r="D334" s="14">
        <v>6</v>
      </c>
      <c r="E334" s="14">
        <v>1239</v>
      </c>
      <c r="F334" s="14">
        <v>47</v>
      </c>
      <c r="G334" s="14">
        <v>15605</v>
      </c>
      <c r="H334" s="14">
        <v>0.166373538433411</v>
      </c>
      <c r="I334" s="14">
        <v>0.714145510891769</v>
      </c>
      <c r="J334" s="14">
        <v>1.60785121838133</v>
      </c>
      <c r="K334" s="14" t="s">
        <v>20198</v>
      </c>
    </row>
    <row r="335" spans="1:11">
      <c r="A335" s="14" t="s">
        <v>16511</v>
      </c>
      <c r="B335" s="14" t="s">
        <v>16512</v>
      </c>
      <c r="C335" s="14" t="s">
        <v>16090</v>
      </c>
      <c r="D335" s="14">
        <v>5</v>
      </c>
      <c r="E335" s="14">
        <v>1239</v>
      </c>
      <c r="F335" s="14">
        <v>37</v>
      </c>
      <c r="G335" s="14">
        <v>15605</v>
      </c>
      <c r="H335" s="14">
        <v>0.166693232632802</v>
      </c>
      <c r="I335" s="14">
        <v>0.714145510891769</v>
      </c>
      <c r="J335" s="14">
        <v>1.70200466810636</v>
      </c>
      <c r="K335" s="14" t="s">
        <v>20220</v>
      </c>
    </row>
    <row r="336" spans="1:11">
      <c r="A336" s="14" t="s">
        <v>20221</v>
      </c>
      <c r="B336" s="14" t="s">
        <v>20222</v>
      </c>
      <c r="C336" s="14" t="s">
        <v>16090</v>
      </c>
      <c r="D336" s="14">
        <v>3</v>
      </c>
      <c r="E336" s="14">
        <v>1239</v>
      </c>
      <c r="F336" s="14">
        <v>18</v>
      </c>
      <c r="G336" s="14">
        <v>15605</v>
      </c>
      <c r="H336" s="14">
        <v>0.167416897234949</v>
      </c>
      <c r="I336" s="14">
        <v>0.714145510891769</v>
      </c>
      <c r="J336" s="14">
        <v>2.09913909066451</v>
      </c>
      <c r="K336" s="14" t="s">
        <v>20223</v>
      </c>
    </row>
    <row r="337" spans="1:11">
      <c r="A337" s="14" t="s">
        <v>20224</v>
      </c>
      <c r="B337" s="14" t="s">
        <v>20225</v>
      </c>
      <c r="C337" s="14" t="s">
        <v>16086</v>
      </c>
      <c r="D337" s="14">
        <v>3</v>
      </c>
      <c r="E337" s="14">
        <v>1239</v>
      </c>
      <c r="F337" s="14">
        <v>18</v>
      </c>
      <c r="G337" s="14">
        <v>15605</v>
      </c>
      <c r="H337" s="14">
        <v>0.167416897234949</v>
      </c>
      <c r="I337" s="14">
        <v>0.714145510891769</v>
      </c>
      <c r="J337" s="14">
        <v>2.09913909066451</v>
      </c>
      <c r="K337" s="14" t="s">
        <v>20226</v>
      </c>
    </row>
    <row r="338" spans="1:11">
      <c r="A338" s="14" t="s">
        <v>19449</v>
      </c>
      <c r="B338" s="14" t="s">
        <v>19450</v>
      </c>
      <c r="C338" s="14" t="s">
        <v>16090</v>
      </c>
      <c r="D338" s="14">
        <v>5</v>
      </c>
      <c r="E338" s="14">
        <v>1239</v>
      </c>
      <c r="F338" s="14">
        <v>38</v>
      </c>
      <c r="G338" s="14">
        <v>15605</v>
      </c>
      <c r="H338" s="14">
        <v>0.180287435316832</v>
      </c>
      <c r="I338" s="14">
        <v>0.764482923049712</v>
      </c>
      <c r="J338" s="14">
        <v>1.65721507157725</v>
      </c>
      <c r="K338" s="14" t="s">
        <v>20227</v>
      </c>
    </row>
    <row r="339" spans="1:11">
      <c r="A339" s="14" t="s">
        <v>19188</v>
      </c>
      <c r="B339" s="14" t="s">
        <v>19189</v>
      </c>
      <c r="C339" s="14" t="s">
        <v>16090</v>
      </c>
      <c r="D339" s="14">
        <v>5</v>
      </c>
      <c r="E339" s="14">
        <v>1239</v>
      </c>
      <c r="F339" s="14">
        <v>38</v>
      </c>
      <c r="G339" s="14">
        <v>15605</v>
      </c>
      <c r="H339" s="14">
        <v>0.180287435316832</v>
      </c>
      <c r="I339" s="14">
        <v>0.764482923049712</v>
      </c>
      <c r="J339" s="14">
        <v>1.65721507157725</v>
      </c>
      <c r="K339" s="14" t="s">
        <v>20228</v>
      </c>
    </row>
    <row r="340" spans="1:11">
      <c r="A340" s="14" t="s">
        <v>18498</v>
      </c>
      <c r="B340" s="14" t="s">
        <v>18499</v>
      </c>
      <c r="C340" s="14" t="s">
        <v>16090</v>
      </c>
      <c r="D340" s="14">
        <v>7</v>
      </c>
      <c r="E340" s="14">
        <v>1239</v>
      </c>
      <c r="F340" s="14">
        <v>59</v>
      </c>
      <c r="G340" s="14">
        <v>15605</v>
      </c>
      <c r="H340" s="14">
        <v>0.185333385976569</v>
      </c>
      <c r="I340" s="14">
        <v>0.766643696369327</v>
      </c>
      <c r="J340" s="14">
        <v>1.49430240352389</v>
      </c>
      <c r="K340" s="14" t="s">
        <v>20229</v>
      </c>
    </row>
    <row r="341" spans="1:11">
      <c r="A341" s="14" t="s">
        <v>18430</v>
      </c>
      <c r="B341" s="14" t="s">
        <v>18431</v>
      </c>
      <c r="C341" s="14" t="s">
        <v>16090</v>
      </c>
      <c r="D341" s="14">
        <v>2</v>
      </c>
      <c r="E341" s="14">
        <v>1239</v>
      </c>
      <c r="F341" s="14">
        <v>10</v>
      </c>
      <c r="G341" s="14">
        <v>15605</v>
      </c>
      <c r="H341" s="14">
        <v>0.18562541563596</v>
      </c>
      <c r="I341" s="14">
        <v>0.766643696369327</v>
      </c>
      <c r="J341" s="14">
        <v>2.51896690879742</v>
      </c>
      <c r="K341" s="14" t="s">
        <v>20230</v>
      </c>
    </row>
    <row r="342" spans="1:11">
      <c r="A342" s="14" t="s">
        <v>20231</v>
      </c>
      <c r="B342" s="14" t="s">
        <v>20232</v>
      </c>
      <c r="C342" s="14" t="s">
        <v>16090</v>
      </c>
      <c r="D342" s="14">
        <v>2</v>
      </c>
      <c r="E342" s="14">
        <v>1239</v>
      </c>
      <c r="F342" s="14">
        <v>10</v>
      </c>
      <c r="G342" s="14">
        <v>15605</v>
      </c>
      <c r="H342" s="14">
        <v>0.18562541563596</v>
      </c>
      <c r="I342" s="14">
        <v>0.766643696369327</v>
      </c>
      <c r="J342" s="14">
        <v>2.51896690879742</v>
      </c>
      <c r="K342" s="14" t="s">
        <v>20233</v>
      </c>
    </row>
    <row r="343" spans="1:11">
      <c r="A343" s="14" t="s">
        <v>20234</v>
      </c>
      <c r="B343" s="14" t="s">
        <v>20235</v>
      </c>
      <c r="C343" s="14" t="s">
        <v>16090</v>
      </c>
      <c r="D343" s="14">
        <v>2</v>
      </c>
      <c r="E343" s="14">
        <v>1239</v>
      </c>
      <c r="F343" s="14">
        <v>10</v>
      </c>
      <c r="G343" s="14">
        <v>15605</v>
      </c>
      <c r="H343" s="14">
        <v>0.18562541563596</v>
      </c>
      <c r="I343" s="14">
        <v>0.766643696369327</v>
      </c>
      <c r="J343" s="14">
        <v>2.51896690879742</v>
      </c>
      <c r="K343" s="14" t="s">
        <v>20236</v>
      </c>
    </row>
    <row r="344" spans="1:11">
      <c r="A344" s="14" t="s">
        <v>18458</v>
      </c>
      <c r="B344" s="14" t="s">
        <v>18459</v>
      </c>
      <c r="C344" s="14" t="s">
        <v>16090</v>
      </c>
      <c r="D344" s="14">
        <v>2</v>
      </c>
      <c r="E344" s="14">
        <v>1239</v>
      </c>
      <c r="F344" s="14">
        <v>10</v>
      </c>
      <c r="G344" s="14">
        <v>15605</v>
      </c>
      <c r="H344" s="14">
        <v>0.18562541563596</v>
      </c>
      <c r="I344" s="14">
        <v>0.766643696369327</v>
      </c>
      <c r="J344" s="14">
        <v>2.51896690879742</v>
      </c>
      <c r="K344" s="14" t="s">
        <v>20146</v>
      </c>
    </row>
    <row r="345" spans="1:11">
      <c r="A345" s="14" t="s">
        <v>20237</v>
      </c>
      <c r="B345" s="14" t="s">
        <v>20238</v>
      </c>
      <c r="C345" s="14" t="s">
        <v>16090</v>
      </c>
      <c r="D345" s="14">
        <v>2</v>
      </c>
      <c r="E345" s="14">
        <v>1239</v>
      </c>
      <c r="F345" s="14">
        <v>10</v>
      </c>
      <c r="G345" s="14">
        <v>15605</v>
      </c>
      <c r="H345" s="14">
        <v>0.18562541563596</v>
      </c>
      <c r="I345" s="14">
        <v>0.766643696369327</v>
      </c>
      <c r="J345" s="14">
        <v>2.51896690879742</v>
      </c>
      <c r="K345" s="14" t="s">
        <v>20239</v>
      </c>
    </row>
    <row r="346" spans="1:11">
      <c r="A346" s="14" t="s">
        <v>20240</v>
      </c>
      <c r="B346" s="14" t="s">
        <v>20241</v>
      </c>
      <c r="C346" s="14" t="s">
        <v>16090</v>
      </c>
      <c r="D346" s="14">
        <v>2</v>
      </c>
      <c r="E346" s="14">
        <v>1239</v>
      </c>
      <c r="F346" s="14">
        <v>10</v>
      </c>
      <c r="G346" s="14">
        <v>15605</v>
      </c>
      <c r="H346" s="14">
        <v>0.18562541563596</v>
      </c>
      <c r="I346" s="14">
        <v>0.766643696369327</v>
      </c>
      <c r="J346" s="14">
        <v>2.51896690879742</v>
      </c>
      <c r="K346" s="14" t="s">
        <v>20242</v>
      </c>
    </row>
    <row r="347" spans="1:11">
      <c r="A347" s="14" t="s">
        <v>18474</v>
      </c>
      <c r="B347" s="14" t="s">
        <v>18475</v>
      </c>
      <c r="C347" s="14" t="s">
        <v>16090</v>
      </c>
      <c r="D347" s="14">
        <v>2</v>
      </c>
      <c r="E347" s="14">
        <v>1239</v>
      </c>
      <c r="F347" s="14">
        <v>10</v>
      </c>
      <c r="G347" s="14">
        <v>15605</v>
      </c>
      <c r="H347" s="14">
        <v>0.18562541563596</v>
      </c>
      <c r="I347" s="14">
        <v>0.766643696369327</v>
      </c>
      <c r="J347" s="14">
        <v>2.51896690879742</v>
      </c>
      <c r="K347" s="14" t="s">
        <v>20243</v>
      </c>
    </row>
    <row r="348" spans="1:11">
      <c r="A348" s="14" t="s">
        <v>18488</v>
      </c>
      <c r="B348" s="14" t="s">
        <v>18489</v>
      </c>
      <c r="C348" s="14" t="s">
        <v>16090</v>
      </c>
      <c r="D348" s="14">
        <v>2</v>
      </c>
      <c r="E348" s="14">
        <v>1239</v>
      </c>
      <c r="F348" s="14">
        <v>10</v>
      </c>
      <c r="G348" s="14">
        <v>15605</v>
      </c>
      <c r="H348" s="14">
        <v>0.18562541563596</v>
      </c>
      <c r="I348" s="14">
        <v>0.766643696369327</v>
      </c>
      <c r="J348" s="14">
        <v>2.51896690879742</v>
      </c>
      <c r="K348" s="14" t="s">
        <v>20244</v>
      </c>
    </row>
    <row r="349" spans="1:11">
      <c r="A349" s="14" t="s">
        <v>20245</v>
      </c>
      <c r="B349" s="14" t="s">
        <v>20246</v>
      </c>
      <c r="C349" s="14" t="s">
        <v>16090</v>
      </c>
      <c r="D349" s="14">
        <v>3</v>
      </c>
      <c r="E349" s="14">
        <v>1239</v>
      </c>
      <c r="F349" s="14">
        <v>19</v>
      </c>
      <c r="G349" s="14">
        <v>15605</v>
      </c>
      <c r="H349" s="14">
        <v>0.187803604584825</v>
      </c>
      <c r="I349" s="14">
        <v>0.768972352297179</v>
      </c>
      <c r="J349" s="14">
        <v>1.9886580858927</v>
      </c>
      <c r="K349" s="14" t="s">
        <v>20247</v>
      </c>
    </row>
    <row r="350" spans="1:11">
      <c r="A350" s="14" t="s">
        <v>18064</v>
      </c>
      <c r="B350" s="14" t="s">
        <v>18065</v>
      </c>
      <c r="C350" s="14" t="s">
        <v>16090</v>
      </c>
      <c r="D350" s="14">
        <v>3</v>
      </c>
      <c r="E350" s="14">
        <v>1239</v>
      </c>
      <c r="F350" s="14">
        <v>19</v>
      </c>
      <c r="G350" s="14">
        <v>15605</v>
      </c>
      <c r="H350" s="14">
        <v>0.187803604584825</v>
      </c>
      <c r="I350" s="14">
        <v>0.768972352297179</v>
      </c>
      <c r="J350" s="14">
        <v>1.9886580858927</v>
      </c>
      <c r="K350" s="14" t="s">
        <v>20248</v>
      </c>
    </row>
    <row r="351" spans="1:11">
      <c r="A351" s="14" t="s">
        <v>19072</v>
      </c>
      <c r="B351" s="14" t="s">
        <v>19073</v>
      </c>
      <c r="C351" s="14" t="s">
        <v>16090</v>
      </c>
      <c r="D351" s="14">
        <v>3</v>
      </c>
      <c r="E351" s="14">
        <v>1239</v>
      </c>
      <c r="F351" s="14">
        <v>19</v>
      </c>
      <c r="G351" s="14">
        <v>15605</v>
      </c>
      <c r="H351" s="14">
        <v>0.187803604584825</v>
      </c>
      <c r="I351" s="14">
        <v>0.768972352297179</v>
      </c>
      <c r="J351" s="14">
        <v>1.9886580858927</v>
      </c>
      <c r="K351" s="14" t="s">
        <v>20249</v>
      </c>
    </row>
    <row r="352" spans="1:11">
      <c r="A352" s="14" t="s">
        <v>1429</v>
      </c>
      <c r="B352" s="14" t="s">
        <v>1430</v>
      </c>
      <c r="C352" s="14" t="s">
        <v>16096</v>
      </c>
      <c r="D352" s="14">
        <v>201</v>
      </c>
      <c r="E352" s="14">
        <v>1239</v>
      </c>
      <c r="F352" s="14">
        <v>2392</v>
      </c>
      <c r="G352" s="14">
        <v>15605</v>
      </c>
      <c r="H352" s="14">
        <v>0.191710620484712</v>
      </c>
      <c r="I352" s="14">
        <v>0.782727076207583</v>
      </c>
      <c r="J352" s="14">
        <v>1.05834521042701</v>
      </c>
      <c r="K352" s="14" t="s">
        <v>20250</v>
      </c>
    </row>
    <row r="353" spans="1:11">
      <c r="A353" s="14" t="s">
        <v>19456</v>
      </c>
      <c r="B353" s="14" t="s">
        <v>19457</v>
      </c>
      <c r="C353" s="14" t="s">
        <v>16090</v>
      </c>
      <c r="D353" s="14">
        <v>5</v>
      </c>
      <c r="E353" s="14">
        <v>1239</v>
      </c>
      <c r="F353" s="14">
        <v>39</v>
      </c>
      <c r="G353" s="14">
        <v>15605</v>
      </c>
      <c r="H353" s="14">
        <v>0.19427656176582</v>
      </c>
      <c r="I353" s="14">
        <v>0.790943609012411</v>
      </c>
      <c r="J353" s="14">
        <v>1.61472237743424</v>
      </c>
      <c r="K353" s="14" t="s">
        <v>20251</v>
      </c>
    </row>
    <row r="354" spans="1:11">
      <c r="A354" s="14" t="s">
        <v>18013</v>
      </c>
      <c r="B354" s="14" t="s">
        <v>18014</v>
      </c>
      <c r="C354" s="14" t="s">
        <v>16086</v>
      </c>
      <c r="D354" s="14">
        <v>4</v>
      </c>
      <c r="E354" s="14">
        <v>1239</v>
      </c>
      <c r="F354" s="14">
        <v>29</v>
      </c>
      <c r="G354" s="14">
        <v>15605</v>
      </c>
      <c r="H354" s="14">
        <v>0.194886871722236</v>
      </c>
      <c r="I354" s="14">
        <v>0.791174260486008</v>
      </c>
      <c r="J354" s="14">
        <v>1.73721855779132</v>
      </c>
      <c r="K354" s="14" t="s">
        <v>20252</v>
      </c>
    </row>
    <row r="355" spans="1:11">
      <c r="A355" s="14" t="s">
        <v>19256</v>
      </c>
      <c r="B355" s="14" t="s">
        <v>19257</v>
      </c>
      <c r="C355" s="14" t="s">
        <v>16086</v>
      </c>
      <c r="D355" s="14">
        <v>12</v>
      </c>
      <c r="E355" s="14">
        <v>1239</v>
      </c>
      <c r="F355" s="14">
        <v>115</v>
      </c>
      <c r="G355" s="14">
        <v>15605</v>
      </c>
      <c r="H355" s="14">
        <v>0.201233166312613</v>
      </c>
      <c r="I355" s="14">
        <v>0.811908721986936</v>
      </c>
      <c r="J355" s="14">
        <v>1.31424360458996</v>
      </c>
      <c r="K355" s="14" t="s">
        <v>20253</v>
      </c>
    </row>
    <row r="356" spans="1:11">
      <c r="A356" s="14" t="s">
        <v>18646</v>
      </c>
      <c r="B356" s="14" t="s">
        <v>18647</v>
      </c>
      <c r="C356" s="14" t="s">
        <v>16090</v>
      </c>
      <c r="D356" s="14">
        <v>6</v>
      </c>
      <c r="E356" s="14">
        <v>1239</v>
      </c>
      <c r="F356" s="14">
        <v>50</v>
      </c>
      <c r="G356" s="14">
        <v>15605</v>
      </c>
      <c r="H356" s="14">
        <v>0.20306581135331</v>
      </c>
      <c r="I356" s="14">
        <v>0.811908721986936</v>
      </c>
      <c r="J356" s="14">
        <v>1.51138014527845</v>
      </c>
      <c r="K356" s="14" t="s">
        <v>20254</v>
      </c>
    </row>
    <row r="357" spans="1:11">
      <c r="A357" s="14" t="s">
        <v>16505</v>
      </c>
      <c r="B357" s="14" t="s">
        <v>16506</v>
      </c>
      <c r="C357" s="14" t="s">
        <v>16090</v>
      </c>
      <c r="D357" s="14">
        <v>7</v>
      </c>
      <c r="E357" s="14">
        <v>1239</v>
      </c>
      <c r="F357" s="14">
        <v>61</v>
      </c>
      <c r="G357" s="14">
        <v>15605</v>
      </c>
      <c r="H357" s="14">
        <v>0.207953108164863</v>
      </c>
      <c r="I357" s="14">
        <v>0.811908721986936</v>
      </c>
      <c r="J357" s="14">
        <v>1.44530888209688</v>
      </c>
      <c r="K357" s="14" t="s">
        <v>20255</v>
      </c>
    </row>
    <row r="358" spans="1:11">
      <c r="A358" s="14" t="s">
        <v>18753</v>
      </c>
      <c r="B358" s="14" t="s">
        <v>18754</v>
      </c>
      <c r="C358" s="14" t="s">
        <v>16090</v>
      </c>
      <c r="D358" s="14">
        <v>5</v>
      </c>
      <c r="E358" s="14">
        <v>1239</v>
      </c>
      <c r="F358" s="14">
        <v>40</v>
      </c>
      <c r="G358" s="14">
        <v>15605</v>
      </c>
      <c r="H358" s="14">
        <v>0.208628710680871</v>
      </c>
      <c r="I358" s="14">
        <v>0.811908721986936</v>
      </c>
      <c r="J358" s="14">
        <v>1.57435431799839</v>
      </c>
      <c r="K358" s="14" t="s">
        <v>20256</v>
      </c>
    </row>
    <row r="359" spans="1:11">
      <c r="A359" s="14" t="s">
        <v>16210</v>
      </c>
      <c r="B359" s="14" t="s">
        <v>16211</v>
      </c>
      <c r="C359" s="14" t="s">
        <v>16090</v>
      </c>
      <c r="D359" s="14">
        <v>5</v>
      </c>
      <c r="E359" s="14">
        <v>1239</v>
      </c>
      <c r="F359" s="14">
        <v>40</v>
      </c>
      <c r="G359" s="14">
        <v>15605</v>
      </c>
      <c r="H359" s="14">
        <v>0.208628710680871</v>
      </c>
      <c r="I359" s="14">
        <v>0.811908721986936</v>
      </c>
      <c r="J359" s="14">
        <v>1.57435431799839</v>
      </c>
      <c r="K359" s="14" t="s">
        <v>20257</v>
      </c>
    </row>
    <row r="360" spans="1:11">
      <c r="A360" s="14" t="s">
        <v>19471</v>
      </c>
      <c r="B360" s="14" t="s">
        <v>19472</v>
      </c>
      <c r="C360" s="14" t="s">
        <v>16096</v>
      </c>
      <c r="D360" s="14">
        <v>5</v>
      </c>
      <c r="E360" s="14">
        <v>1239</v>
      </c>
      <c r="F360" s="14">
        <v>40</v>
      </c>
      <c r="G360" s="14">
        <v>15605</v>
      </c>
      <c r="H360" s="14">
        <v>0.208628710680871</v>
      </c>
      <c r="I360" s="14">
        <v>0.811908721986936</v>
      </c>
      <c r="J360" s="14">
        <v>1.57435431799839</v>
      </c>
      <c r="K360" s="14" t="s">
        <v>20258</v>
      </c>
    </row>
    <row r="361" spans="1:11">
      <c r="A361" s="14" t="s">
        <v>20259</v>
      </c>
      <c r="B361" s="14" t="s">
        <v>20260</v>
      </c>
      <c r="C361" s="14" t="s">
        <v>16090</v>
      </c>
      <c r="D361" s="14">
        <v>3</v>
      </c>
      <c r="E361" s="14">
        <v>1239</v>
      </c>
      <c r="F361" s="14">
        <v>20</v>
      </c>
      <c r="G361" s="14">
        <v>15605</v>
      </c>
      <c r="H361" s="14">
        <v>0.20878184206395</v>
      </c>
      <c r="I361" s="14">
        <v>0.811908721986936</v>
      </c>
      <c r="J361" s="14">
        <v>1.88922518159806</v>
      </c>
      <c r="K361" s="14" t="s">
        <v>20261</v>
      </c>
    </row>
    <row r="362" spans="1:11">
      <c r="A362" s="14" t="s">
        <v>19134</v>
      </c>
      <c r="B362" s="14" t="s">
        <v>19135</v>
      </c>
      <c r="C362" s="14" t="s">
        <v>16090</v>
      </c>
      <c r="D362" s="14">
        <v>3</v>
      </c>
      <c r="E362" s="14">
        <v>1239</v>
      </c>
      <c r="F362" s="14">
        <v>20</v>
      </c>
      <c r="G362" s="14">
        <v>15605</v>
      </c>
      <c r="H362" s="14">
        <v>0.20878184206395</v>
      </c>
      <c r="I362" s="14">
        <v>0.811908721986936</v>
      </c>
      <c r="J362" s="14">
        <v>1.88922518159806</v>
      </c>
      <c r="K362" s="14" t="s">
        <v>20262</v>
      </c>
    </row>
    <row r="363" spans="1:11">
      <c r="A363" s="14" t="s">
        <v>18920</v>
      </c>
      <c r="B363" s="14" t="s">
        <v>18921</v>
      </c>
      <c r="C363" s="14" t="s">
        <v>16096</v>
      </c>
      <c r="D363" s="14">
        <v>9</v>
      </c>
      <c r="E363" s="14">
        <v>1239</v>
      </c>
      <c r="F363" s="14">
        <v>83</v>
      </c>
      <c r="G363" s="14">
        <v>15605</v>
      </c>
      <c r="H363" s="14">
        <v>0.21147223960054</v>
      </c>
      <c r="I363" s="14">
        <v>0.811908721986936</v>
      </c>
      <c r="J363" s="14">
        <v>1.36570495055282</v>
      </c>
      <c r="K363" s="14" t="s">
        <v>20263</v>
      </c>
    </row>
    <row r="364" spans="1:11">
      <c r="A364" s="14" t="s">
        <v>16461</v>
      </c>
      <c r="B364" s="14" t="s">
        <v>16462</v>
      </c>
      <c r="C364" s="14" t="s">
        <v>16090</v>
      </c>
      <c r="D364" s="14">
        <v>9</v>
      </c>
      <c r="E364" s="14">
        <v>1239</v>
      </c>
      <c r="F364" s="14">
        <v>83</v>
      </c>
      <c r="G364" s="14">
        <v>15605</v>
      </c>
      <c r="H364" s="14">
        <v>0.21147223960054</v>
      </c>
      <c r="I364" s="14">
        <v>0.811908721986936</v>
      </c>
      <c r="J364" s="14">
        <v>1.36570495055282</v>
      </c>
      <c r="K364" s="14" t="s">
        <v>20264</v>
      </c>
    </row>
    <row r="365" spans="1:11">
      <c r="A365" s="14" t="s">
        <v>16825</v>
      </c>
      <c r="B365" s="14" t="s">
        <v>16826</v>
      </c>
      <c r="C365" s="14" t="s">
        <v>16090</v>
      </c>
      <c r="D365" s="14">
        <v>4</v>
      </c>
      <c r="E365" s="14">
        <v>1239</v>
      </c>
      <c r="F365" s="14">
        <v>30</v>
      </c>
      <c r="G365" s="14">
        <v>15605</v>
      </c>
      <c r="H365" s="14">
        <v>0.211793265405501</v>
      </c>
      <c r="I365" s="14">
        <v>0.811908721986936</v>
      </c>
      <c r="J365" s="14">
        <v>1.67931127253161</v>
      </c>
      <c r="K365" s="14" t="s">
        <v>20265</v>
      </c>
    </row>
    <row r="366" spans="1:11">
      <c r="A366" s="14" t="s">
        <v>20266</v>
      </c>
      <c r="B366" s="14" t="s">
        <v>20267</v>
      </c>
      <c r="C366" s="14" t="s">
        <v>16086</v>
      </c>
      <c r="D366" s="14">
        <v>4</v>
      </c>
      <c r="E366" s="14">
        <v>1239</v>
      </c>
      <c r="F366" s="14">
        <v>30</v>
      </c>
      <c r="G366" s="14">
        <v>15605</v>
      </c>
      <c r="H366" s="14">
        <v>0.211793265405501</v>
      </c>
      <c r="I366" s="14">
        <v>0.811908721986936</v>
      </c>
      <c r="J366" s="14">
        <v>1.67931127253161</v>
      </c>
      <c r="K366" s="14" t="s">
        <v>20268</v>
      </c>
    </row>
    <row r="367" spans="1:11">
      <c r="A367" s="14" t="s">
        <v>16520</v>
      </c>
      <c r="B367" s="14" t="s">
        <v>16521</v>
      </c>
      <c r="C367" s="14" t="s">
        <v>16090</v>
      </c>
      <c r="D367" s="14">
        <v>4</v>
      </c>
      <c r="E367" s="14">
        <v>1239</v>
      </c>
      <c r="F367" s="14">
        <v>30</v>
      </c>
      <c r="G367" s="14">
        <v>15605</v>
      </c>
      <c r="H367" s="14">
        <v>0.211793265405501</v>
      </c>
      <c r="I367" s="14">
        <v>0.811908721986936</v>
      </c>
      <c r="J367" s="14">
        <v>1.67931127253161</v>
      </c>
      <c r="K367" s="14" t="s">
        <v>20269</v>
      </c>
    </row>
    <row r="368" spans="1:11">
      <c r="A368" s="14" t="s">
        <v>20270</v>
      </c>
      <c r="B368" s="14" t="s">
        <v>20271</v>
      </c>
      <c r="C368" s="14" t="s">
        <v>16090</v>
      </c>
      <c r="D368" s="14">
        <v>4</v>
      </c>
      <c r="E368" s="14">
        <v>1239</v>
      </c>
      <c r="F368" s="14">
        <v>30</v>
      </c>
      <c r="G368" s="14">
        <v>15605</v>
      </c>
      <c r="H368" s="14">
        <v>0.211793265405501</v>
      </c>
      <c r="I368" s="14">
        <v>0.811908721986936</v>
      </c>
      <c r="J368" s="14">
        <v>1.67931127253161</v>
      </c>
      <c r="K368" s="14" t="s">
        <v>20272</v>
      </c>
    </row>
    <row r="369" spans="1:11">
      <c r="A369" s="14" t="s">
        <v>16907</v>
      </c>
      <c r="B369" s="14" t="s">
        <v>16908</v>
      </c>
      <c r="C369" s="14" t="s">
        <v>16090</v>
      </c>
      <c r="D369" s="14">
        <v>24</v>
      </c>
      <c r="E369" s="14">
        <v>1239</v>
      </c>
      <c r="F369" s="14">
        <v>254</v>
      </c>
      <c r="G369" s="14">
        <v>15605</v>
      </c>
      <c r="H369" s="14">
        <v>0.213960555420409</v>
      </c>
      <c r="I369" s="14">
        <v>0.811908721986936</v>
      </c>
      <c r="J369" s="14">
        <v>1.19006310651846</v>
      </c>
      <c r="K369" s="14" t="s">
        <v>20273</v>
      </c>
    </row>
    <row r="370" spans="1:11">
      <c r="A370" s="14" t="s">
        <v>18566</v>
      </c>
      <c r="B370" s="14" t="s">
        <v>18567</v>
      </c>
      <c r="C370" s="14" t="s">
        <v>16086</v>
      </c>
      <c r="D370" s="14">
        <v>2</v>
      </c>
      <c r="E370" s="14">
        <v>1239</v>
      </c>
      <c r="F370" s="14">
        <v>11</v>
      </c>
      <c r="G370" s="14">
        <v>15605</v>
      </c>
      <c r="H370" s="14">
        <v>0.215572579962456</v>
      </c>
      <c r="I370" s="14">
        <v>0.811908721986936</v>
      </c>
      <c r="J370" s="14">
        <v>2.28996991708856</v>
      </c>
      <c r="K370" s="14" t="s">
        <v>20274</v>
      </c>
    </row>
    <row r="371" spans="1:11">
      <c r="A371" s="14" t="s">
        <v>20275</v>
      </c>
      <c r="B371" s="14" t="s">
        <v>20276</v>
      </c>
      <c r="C371" s="14" t="s">
        <v>16090</v>
      </c>
      <c r="D371" s="14">
        <v>2</v>
      </c>
      <c r="E371" s="14">
        <v>1239</v>
      </c>
      <c r="F371" s="14">
        <v>11</v>
      </c>
      <c r="G371" s="14">
        <v>15605</v>
      </c>
      <c r="H371" s="14">
        <v>0.215572579962456</v>
      </c>
      <c r="I371" s="14">
        <v>0.811908721986936</v>
      </c>
      <c r="J371" s="14">
        <v>2.28996991708856</v>
      </c>
      <c r="K371" s="14" t="s">
        <v>20230</v>
      </c>
    </row>
    <row r="372" spans="1:11">
      <c r="A372" s="14" t="s">
        <v>20277</v>
      </c>
      <c r="B372" s="14" t="s">
        <v>20278</v>
      </c>
      <c r="C372" s="14" t="s">
        <v>16086</v>
      </c>
      <c r="D372" s="14">
        <v>2</v>
      </c>
      <c r="E372" s="14">
        <v>1239</v>
      </c>
      <c r="F372" s="14">
        <v>11</v>
      </c>
      <c r="G372" s="14">
        <v>15605</v>
      </c>
      <c r="H372" s="14">
        <v>0.215572579962456</v>
      </c>
      <c r="I372" s="14">
        <v>0.811908721986936</v>
      </c>
      <c r="J372" s="14">
        <v>2.28996991708856</v>
      </c>
      <c r="K372" s="14" t="s">
        <v>20207</v>
      </c>
    </row>
    <row r="373" spans="1:11">
      <c r="A373" s="14" t="s">
        <v>18572</v>
      </c>
      <c r="B373" s="14" t="s">
        <v>18573</v>
      </c>
      <c r="C373" s="14" t="s">
        <v>16090</v>
      </c>
      <c r="D373" s="14">
        <v>2</v>
      </c>
      <c r="E373" s="14">
        <v>1239</v>
      </c>
      <c r="F373" s="14">
        <v>11</v>
      </c>
      <c r="G373" s="14">
        <v>15605</v>
      </c>
      <c r="H373" s="14">
        <v>0.215572579962456</v>
      </c>
      <c r="I373" s="14">
        <v>0.811908721986936</v>
      </c>
      <c r="J373" s="14">
        <v>2.28996991708856</v>
      </c>
      <c r="K373" s="14" t="s">
        <v>20279</v>
      </c>
    </row>
    <row r="374" spans="1:11">
      <c r="A374" s="14" t="s">
        <v>20280</v>
      </c>
      <c r="B374" s="14" t="s">
        <v>20281</v>
      </c>
      <c r="C374" s="14" t="s">
        <v>16090</v>
      </c>
      <c r="D374" s="14">
        <v>2</v>
      </c>
      <c r="E374" s="14">
        <v>1239</v>
      </c>
      <c r="F374" s="14">
        <v>11</v>
      </c>
      <c r="G374" s="14">
        <v>15605</v>
      </c>
      <c r="H374" s="14">
        <v>0.215572579962456</v>
      </c>
      <c r="I374" s="14">
        <v>0.811908721986936</v>
      </c>
      <c r="J374" s="14">
        <v>2.28996991708856</v>
      </c>
      <c r="K374" s="14" t="s">
        <v>20282</v>
      </c>
    </row>
    <row r="375" spans="1:11">
      <c r="A375" s="14" t="s">
        <v>20283</v>
      </c>
      <c r="B375" s="14" t="s">
        <v>20284</v>
      </c>
      <c r="C375" s="14" t="s">
        <v>16090</v>
      </c>
      <c r="D375" s="14">
        <v>2</v>
      </c>
      <c r="E375" s="14">
        <v>1239</v>
      </c>
      <c r="F375" s="14">
        <v>11</v>
      </c>
      <c r="G375" s="14">
        <v>15605</v>
      </c>
      <c r="H375" s="14">
        <v>0.215572579962456</v>
      </c>
      <c r="I375" s="14">
        <v>0.811908721986936</v>
      </c>
      <c r="J375" s="14">
        <v>2.28996991708856</v>
      </c>
      <c r="K375" s="14" t="s">
        <v>20285</v>
      </c>
    </row>
    <row r="376" spans="1:11">
      <c r="A376" s="14" t="s">
        <v>18580</v>
      </c>
      <c r="B376" s="14" t="s">
        <v>18581</v>
      </c>
      <c r="C376" s="14" t="s">
        <v>16086</v>
      </c>
      <c r="D376" s="14">
        <v>2</v>
      </c>
      <c r="E376" s="14">
        <v>1239</v>
      </c>
      <c r="F376" s="14">
        <v>11</v>
      </c>
      <c r="G376" s="14">
        <v>15605</v>
      </c>
      <c r="H376" s="14">
        <v>0.215572579962456</v>
      </c>
      <c r="I376" s="14">
        <v>0.811908721986936</v>
      </c>
      <c r="J376" s="14">
        <v>2.28996991708856</v>
      </c>
      <c r="K376" s="14" t="s">
        <v>20286</v>
      </c>
    </row>
    <row r="377" spans="1:11">
      <c r="A377" s="14" t="s">
        <v>18586</v>
      </c>
      <c r="B377" s="14" t="s">
        <v>18587</v>
      </c>
      <c r="C377" s="14" t="s">
        <v>16086</v>
      </c>
      <c r="D377" s="14">
        <v>2</v>
      </c>
      <c r="E377" s="14">
        <v>1239</v>
      </c>
      <c r="F377" s="14">
        <v>11</v>
      </c>
      <c r="G377" s="14">
        <v>15605</v>
      </c>
      <c r="H377" s="14">
        <v>0.215572579962456</v>
      </c>
      <c r="I377" s="14">
        <v>0.811908721986936</v>
      </c>
      <c r="J377" s="14">
        <v>2.28996991708856</v>
      </c>
      <c r="K377" s="14" t="s">
        <v>20274</v>
      </c>
    </row>
    <row r="378" spans="1:11">
      <c r="A378" s="14" t="s">
        <v>17210</v>
      </c>
      <c r="B378" s="14" t="s">
        <v>17211</v>
      </c>
      <c r="C378" s="14" t="s">
        <v>16090</v>
      </c>
      <c r="D378" s="14">
        <v>2</v>
      </c>
      <c r="E378" s="14">
        <v>1239</v>
      </c>
      <c r="F378" s="14">
        <v>11</v>
      </c>
      <c r="G378" s="14">
        <v>15605</v>
      </c>
      <c r="H378" s="14">
        <v>0.215572579962456</v>
      </c>
      <c r="I378" s="14">
        <v>0.811908721986936</v>
      </c>
      <c r="J378" s="14">
        <v>2.28996991708856</v>
      </c>
      <c r="K378" s="14" t="s">
        <v>20287</v>
      </c>
    </row>
    <row r="379" spans="1:11">
      <c r="A379" s="14" t="s">
        <v>20288</v>
      </c>
      <c r="B379" s="14" t="s">
        <v>20289</v>
      </c>
      <c r="C379" s="14" t="s">
        <v>16090</v>
      </c>
      <c r="D379" s="14">
        <v>2</v>
      </c>
      <c r="E379" s="14">
        <v>1239</v>
      </c>
      <c r="F379" s="14">
        <v>11</v>
      </c>
      <c r="G379" s="14">
        <v>15605</v>
      </c>
      <c r="H379" s="14">
        <v>0.215572579962456</v>
      </c>
      <c r="I379" s="14">
        <v>0.811908721986936</v>
      </c>
      <c r="J379" s="14">
        <v>2.28996991708856</v>
      </c>
      <c r="K379" s="14" t="s">
        <v>20290</v>
      </c>
    </row>
    <row r="380" spans="1:11">
      <c r="A380" s="14" t="s">
        <v>18600</v>
      </c>
      <c r="B380" s="14" t="s">
        <v>18601</v>
      </c>
      <c r="C380" s="14" t="s">
        <v>16090</v>
      </c>
      <c r="D380" s="14">
        <v>2</v>
      </c>
      <c r="E380" s="14">
        <v>1239</v>
      </c>
      <c r="F380" s="14">
        <v>11</v>
      </c>
      <c r="G380" s="14">
        <v>15605</v>
      </c>
      <c r="H380" s="14">
        <v>0.215572579962456</v>
      </c>
      <c r="I380" s="14">
        <v>0.811908721986936</v>
      </c>
      <c r="J380" s="14">
        <v>2.28996991708856</v>
      </c>
      <c r="K380" s="14" t="s">
        <v>20172</v>
      </c>
    </row>
    <row r="381" spans="1:11">
      <c r="A381" s="14" t="s">
        <v>17221</v>
      </c>
      <c r="B381" s="14" t="s">
        <v>17222</v>
      </c>
      <c r="C381" s="14" t="s">
        <v>16086</v>
      </c>
      <c r="D381" s="14">
        <v>2</v>
      </c>
      <c r="E381" s="14">
        <v>1239</v>
      </c>
      <c r="F381" s="14">
        <v>11</v>
      </c>
      <c r="G381" s="14">
        <v>15605</v>
      </c>
      <c r="H381" s="14">
        <v>0.215572579962456</v>
      </c>
      <c r="I381" s="14">
        <v>0.811908721986936</v>
      </c>
      <c r="J381" s="14">
        <v>2.28996991708856</v>
      </c>
      <c r="K381" s="14" t="s">
        <v>20291</v>
      </c>
    </row>
    <row r="382" spans="1:11">
      <c r="A382" s="14" t="s">
        <v>20292</v>
      </c>
      <c r="B382" s="14" t="s">
        <v>20293</v>
      </c>
      <c r="C382" s="14" t="s">
        <v>16086</v>
      </c>
      <c r="D382" s="14">
        <v>6</v>
      </c>
      <c r="E382" s="14">
        <v>1239</v>
      </c>
      <c r="F382" s="14">
        <v>51</v>
      </c>
      <c r="G382" s="14">
        <v>15605</v>
      </c>
      <c r="H382" s="14">
        <v>0.215902949163776</v>
      </c>
      <c r="I382" s="14">
        <v>0.811908721986936</v>
      </c>
      <c r="J382" s="14">
        <v>1.48174524046907</v>
      </c>
      <c r="K382" s="14" t="s">
        <v>20294</v>
      </c>
    </row>
    <row r="383" spans="1:11">
      <c r="A383" s="14" t="s">
        <v>16112</v>
      </c>
      <c r="B383" s="14" t="s">
        <v>16113</v>
      </c>
      <c r="C383" s="14" t="s">
        <v>16090</v>
      </c>
      <c r="D383" s="14">
        <v>14</v>
      </c>
      <c r="E383" s="14">
        <v>1239</v>
      </c>
      <c r="F383" s="14">
        <v>140</v>
      </c>
      <c r="G383" s="14">
        <v>15605</v>
      </c>
      <c r="H383" s="14">
        <v>0.221134614077224</v>
      </c>
      <c r="I383" s="14">
        <v>0.829399904242396</v>
      </c>
      <c r="J383" s="14">
        <v>1.25948345439871</v>
      </c>
      <c r="K383" s="14" t="s">
        <v>20295</v>
      </c>
    </row>
    <row r="384" spans="1:11">
      <c r="A384" s="14" t="s">
        <v>19407</v>
      </c>
      <c r="B384" s="14" t="s">
        <v>19408</v>
      </c>
      <c r="C384" s="14" t="s">
        <v>16086</v>
      </c>
      <c r="D384" s="14">
        <v>6</v>
      </c>
      <c r="E384" s="14">
        <v>1239</v>
      </c>
      <c r="F384" s="14">
        <v>52</v>
      </c>
      <c r="G384" s="14">
        <v>15605</v>
      </c>
      <c r="H384" s="14">
        <v>0.229007187944472</v>
      </c>
      <c r="I384" s="14">
        <v>0.850171605610451</v>
      </c>
      <c r="J384" s="14">
        <v>1.45325013969082</v>
      </c>
      <c r="K384" s="14" t="s">
        <v>20296</v>
      </c>
    </row>
    <row r="385" spans="1:11">
      <c r="A385" s="14" t="s">
        <v>18956</v>
      </c>
      <c r="B385" s="14" t="s">
        <v>18957</v>
      </c>
      <c r="C385" s="14" t="s">
        <v>16090</v>
      </c>
      <c r="D385" s="14">
        <v>4</v>
      </c>
      <c r="E385" s="14">
        <v>1239</v>
      </c>
      <c r="F385" s="14">
        <v>31</v>
      </c>
      <c r="G385" s="14">
        <v>15605</v>
      </c>
      <c r="H385" s="14">
        <v>0.229088623737445</v>
      </c>
      <c r="I385" s="14">
        <v>0.850171605610451</v>
      </c>
      <c r="J385" s="14">
        <v>1.62513994115962</v>
      </c>
      <c r="K385" s="14" t="s">
        <v>20297</v>
      </c>
    </row>
    <row r="386" spans="1:11">
      <c r="A386" s="14" t="s">
        <v>16547</v>
      </c>
      <c r="B386" s="14" t="s">
        <v>16548</v>
      </c>
      <c r="C386" s="14" t="s">
        <v>16090</v>
      </c>
      <c r="D386" s="14">
        <v>4</v>
      </c>
      <c r="E386" s="14">
        <v>1239</v>
      </c>
      <c r="F386" s="14">
        <v>31</v>
      </c>
      <c r="G386" s="14">
        <v>15605</v>
      </c>
      <c r="H386" s="14">
        <v>0.229088623737445</v>
      </c>
      <c r="I386" s="14">
        <v>0.850171605610451</v>
      </c>
      <c r="J386" s="14">
        <v>1.62513994115962</v>
      </c>
      <c r="K386" s="14" t="s">
        <v>20298</v>
      </c>
    </row>
    <row r="387" spans="1:11">
      <c r="A387" s="14" t="s">
        <v>19158</v>
      </c>
      <c r="B387" s="14" t="s">
        <v>19159</v>
      </c>
      <c r="C387" s="14" t="s">
        <v>16086</v>
      </c>
      <c r="D387" s="14">
        <v>3</v>
      </c>
      <c r="E387" s="14">
        <v>1239</v>
      </c>
      <c r="F387" s="14">
        <v>21</v>
      </c>
      <c r="G387" s="14">
        <v>15605</v>
      </c>
      <c r="H387" s="14">
        <v>0.230242415235301</v>
      </c>
      <c r="I387" s="14">
        <v>0.850171605610451</v>
      </c>
      <c r="J387" s="14">
        <v>1.79926207771244</v>
      </c>
      <c r="K387" s="14" t="s">
        <v>20299</v>
      </c>
    </row>
    <row r="388" spans="1:11">
      <c r="A388" s="14" t="s">
        <v>18265</v>
      </c>
      <c r="B388" s="14" t="s">
        <v>18266</v>
      </c>
      <c r="C388" s="14" t="s">
        <v>16090</v>
      </c>
      <c r="D388" s="14">
        <v>3</v>
      </c>
      <c r="E388" s="14">
        <v>1239</v>
      </c>
      <c r="F388" s="14">
        <v>21</v>
      </c>
      <c r="G388" s="14">
        <v>15605</v>
      </c>
      <c r="H388" s="14">
        <v>0.230242415235301</v>
      </c>
      <c r="I388" s="14">
        <v>0.850171605610451</v>
      </c>
      <c r="J388" s="14">
        <v>1.79926207771244</v>
      </c>
      <c r="K388" s="14" t="s">
        <v>19933</v>
      </c>
    </row>
    <row r="389" spans="1:11">
      <c r="A389" s="14" t="s">
        <v>20300</v>
      </c>
      <c r="B389" s="14" t="s">
        <v>20301</v>
      </c>
      <c r="C389" s="14" t="s">
        <v>16090</v>
      </c>
      <c r="D389" s="14">
        <v>3</v>
      </c>
      <c r="E389" s="14">
        <v>1239</v>
      </c>
      <c r="F389" s="14">
        <v>21</v>
      </c>
      <c r="G389" s="14">
        <v>15605</v>
      </c>
      <c r="H389" s="14">
        <v>0.230242415235301</v>
      </c>
      <c r="I389" s="14">
        <v>0.850171605610451</v>
      </c>
      <c r="J389" s="14">
        <v>1.79926207771244</v>
      </c>
      <c r="K389" s="14" t="s">
        <v>20302</v>
      </c>
    </row>
    <row r="390" spans="1:11">
      <c r="A390" s="14" t="s">
        <v>18666</v>
      </c>
      <c r="B390" s="14" t="s">
        <v>18667</v>
      </c>
      <c r="C390" s="14" t="s">
        <v>16086</v>
      </c>
      <c r="D390" s="14">
        <v>7</v>
      </c>
      <c r="E390" s="14">
        <v>1239</v>
      </c>
      <c r="F390" s="14">
        <v>63</v>
      </c>
      <c r="G390" s="14">
        <v>15605</v>
      </c>
      <c r="H390" s="14">
        <v>0.231541693056951</v>
      </c>
      <c r="I390" s="14">
        <v>0.85057346883903</v>
      </c>
      <c r="J390" s="14">
        <v>1.39942606044301</v>
      </c>
      <c r="K390" s="14" t="s">
        <v>20303</v>
      </c>
    </row>
    <row r="391" spans="1:11">
      <c r="A391" s="14" t="s">
        <v>19554</v>
      </c>
      <c r="B391" s="14" t="s">
        <v>19555</v>
      </c>
      <c r="C391" s="14" t="s">
        <v>16096</v>
      </c>
      <c r="D391" s="14">
        <v>7</v>
      </c>
      <c r="E391" s="14">
        <v>1239</v>
      </c>
      <c r="F391" s="14">
        <v>63</v>
      </c>
      <c r="G391" s="14">
        <v>15605</v>
      </c>
      <c r="H391" s="14">
        <v>0.231541693056951</v>
      </c>
      <c r="I391" s="14">
        <v>0.85057346883903</v>
      </c>
      <c r="J391" s="14">
        <v>1.39942606044301</v>
      </c>
      <c r="K391" s="14" t="s">
        <v>20304</v>
      </c>
    </row>
    <row r="392" spans="1:11">
      <c r="A392" s="14" t="s">
        <v>16145</v>
      </c>
      <c r="B392" s="14" t="s">
        <v>16146</v>
      </c>
      <c r="C392" s="14" t="s">
        <v>16090</v>
      </c>
      <c r="D392" s="14">
        <v>17</v>
      </c>
      <c r="E392" s="14">
        <v>1239</v>
      </c>
      <c r="F392" s="14">
        <v>177</v>
      </c>
      <c r="G392" s="14">
        <v>15605</v>
      </c>
      <c r="H392" s="14">
        <v>0.240493744045082</v>
      </c>
      <c r="I392" s="14">
        <v>0.859033252699364</v>
      </c>
      <c r="J392" s="14">
        <v>1.20967337428125</v>
      </c>
      <c r="K392" s="14" t="s">
        <v>20305</v>
      </c>
    </row>
    <row r="393" spans="1:11">
      <c r="A393" s="14" t="s">
        <v>16749</v>
      </c>
      <c r="B393" s="14" t="s">
        <v>16750</v>
      </c>
      <c r="C393" s="14" t="s">
        <v>16090</v>
      </c>
      <c r="D393" s="14">
        <v>6</v>
      </c>
      <c r="E393" s="14">
        <v>1239</v>
      </c>
      <c r="F393" s="14">
        <v>53</v>
      </c>
      <c r="G393" s="14">
        <v>15605</v>
      </c>
      <c r="H393" s="14">
        <v>0.242356107925234</v>
      </c>
      <c r="I393" s="14">
        <v>0.859033252699364</v>
      </c>
      <c r="J393" s="14">
        <v>1.42583032573439</v>
      </c>
      <c r="K393" s="14" t="s">
        <v>20306</v>
      </c>
    </row>
    <row r="394" spans="1:11">
      <c r="A394" s="14" t="s">
        <v>18680</v>
      </c>
      <c r="B394" s="14" t="s">
        <v>18681</v>
      </c>
      <c r="C394" s="14" t="s">
        <v>16096</v>
      </c>
      <c r="D394" s="14">
        <v>2</v>
      </c>
      <c r="E394" s="14">
        <v>1239</v>
      </c>
      <c r="F394" s="14">
        <v>12</v>
      </c>
      <c r="G394" s="14">
        <v>15605</v>
      </c>
      <c r="H394" s="14">
        <v>0.245901333461176</v>
      </c>
      <c r="I394" s="14">
        <v>0.859033252699364</v>
      </c>
      <c r="J394" s="14">
        <v>2.09913909066451</v>
      </c>
      <c r="K394" s="14" t="s">
        <v>20307</v>
      </c>
    </row>
    <row r="395" spans="1:11">
      <c r="A395" s="14" t="s">
        <v>18688</v>
      </c>
      <c r="B395" s="14" t="s">
        <v>18689</v>
      </c>
      <c r="C395" s="14" t="s">
        <v>16090</v>
      </c>
      <c r="D395" s="14">
        <v>2</v>
      </c>
      <c r="E395" s="14">
        <v>1239</v>
      </c>
      <c r="F395" s="14">
        <v>12</v>
      </c>
      <c r="G395" s="14">
        <v>15605</v>
      </c>
      <c r="H395" s="14">
        <v>0.245901333461176</v>
      </c>
      <c r="I395" s="14">
        <v>0.859033252699364</v>
      </c>
      <c r="J395" s="14">
        <v>2.09913909066451</v>
      </c>
      <c r="K395" s="14" t="s">
        <v>20308</v>
      </c>
    </row>
    <row r="396" spans="1:11">
      <c r="A396" s="14" t="s">
        <v>20309</v>
      </c>
      <c r="B396" s="14" t="s">
        <v>20310</v>
      </c>
      <c r="C396" s="14" t="s">
        <v>16090</v>
      </c>
      <c r="D396" s="14">
        <v>2</v>
      </c>
      <c r="E396" s="14">
        <v>1239</v>
      </c>
      <c r="F396" s="14">
        <v>12</v>
      </c>
      <c r="G396" s="14">
        <v>15605</v>
      </c>
      <c r="H396" s="14">
        <v>0.245901333461176</v>
      </c>
      <c r="I396" s="14">
        <v>0.859033252699364</v>
      </c>
      <c r="J396" s="14">
        <v>2.09913909066451</v>
      </c>
      <c r="K396" s="14" t="s">
        <v>20311</v>
      </c>
    </row>
    <row r="397" spans="1:11">
      <c r="A397" s="14" t="s">
        <v>20312</v>
      </c>
      <c r="B397" s="14" t="s">
        <v>20313</v>
      </c>
      <c r="C397" s="14" t="s">
        <v>16090</v>
      </c>
      <c r="D397" s="14">
        <v>2</v>
      </c>
      <c r="E397" s="14">
        <v>1239</v>
      </c>
      <c r="F397" s="14">
        <v>12</v>
      </c>
      <c r="G397" s="14">
        <v>15605</v>
      </c>
      <c r="H397" s="14">
        <v>0.245901333461176</v>
      </c>
      <c r="I397" s="14">
        <v>0.859033252699364</v>
      </c>
      <c r="J397" s="14">
        <v>2.09913909066451</v>
      </c>
      <c r="K397" s="14" t="s">
        <v>20314</v>
      </c>
    </row>
    <row r="398" spans="1:11">
      <c r="A398" s="14" t="s">
        <v>20315</v>
      </c>
      <c r="B398" s="14" t="s">
        <v>20316</v>
      </c>
      <c r="C398" s="14" t="s">
        <v>16090</v>
      </c>
      <c r="D398" s="14">
        <v>2</v>
      </c>
      <c r="E398" s="14">
        <v>1239</v>
      </c>
      <c r="F398" s="14">
        <v>12</v>
      </c>
      <c r="G398" s="14">
        <v>15605</v>
      </c>
      <c r="H398" s="14">
        <v>0.245901333461176</v>
      </c>
      <c r="I398" s="14">
        <v>0.859033252699364</v>
      </c>
      <c r="J398" s="14">
        <v>2.09913909066451</v>
      </c>
      <c r="K398" s="14" t="s">
        <v>20317</v>
      </c>
    </row>
    <row r="399" spans="1:11">
      <c r="A399" s="14" t="s">
        <v>20318</v>
      </c>
      <c r="B399" s="14" t="s">
        <v>20319</v>
      </c>
      <c r="C399" s="14" t="s">
        <v>16096</v>
      </c>
      <c r="D399" s="14">
        <v>2</v>
      </c>
      <c r="E399" s="14">
        <v>1239</v>
      </c>
      <c r="F399" s="14">
        <v>12</v>
      </c>
      <c r="G399" s="14">
        <v>15605</v>
      </c>
      <c r="H399" s="14">
        <v>0.245901333461176</v>
      </c>
      <c r="I399" s="14">
        <v>0.859033252699364</v>
      </c>
      <c r="J399" s="14">
        <v>2.09913909066451</v>
      </c>
      <c r="K399" s="14" t="s">
        <v>20320</v>
      </c>
    </row>
    <row r="400" spans="1:11">
      <c r="A400" s="14" t="s">
        <v>17305</v>
      </c>
      <c r="B400" s="14" t="s">
        <v>17306</v>
      </c>
      <c r="C400" s="14" t="s">
        <v>16086</v>
      </c>
      <c r="D400" s="14">
        <v>2</v>
      </c>
      <c r="E400" s="14">
        <v>1239</v>
      </c>
      <c r="F400" s="14">
        <v>12</v>
      </c>
      <c r="G400" s="14">
        <v>15605</v>
      </c>
      <c r="H400" s="14">
        <v>0.245901333461176</v>
      </c>
      <c r="I400" s="14">
        <v>0.859033252699364</v>
      </c>
      <c r="J400" s="14">
        <v>2.09913909066451</v>
      </c>
      <c r="K400" s="14" t="s">
        <v>19964</v>
      </c>
    </row>
    <row r="401" spans="1:11">
      <c r="A401" s="14" t="s">
        <v>20321</v>
      </c>
      <c r="B401" s="14" t="s">
        <v>20322</v>
      </c>
      <c r="C401" s="14" t="s">
        <v>16096</v>
      </c>
      <c r="D401" s="14">
        <v>2</v>
      </c>
      <c r="E401" s="14">
        <v>1239</v>
      </c>
      <c r="F401" s="14">
        <v>12</v>
      </c>
      <c r="G401" s="14">
        <v>15605</v>
      </c>
      <c r="H401" s="14">
        <v>0.245901333461176</v>
      </c>
      <c r="I401" s="14">
        <v>0.859033252699364</v>
      </c>
      <c r="J401" s="14">
        <v>2.09913909066451</v>
      </c>
      <c r="K401" s="14" t="s">
        <v>20323</v>
      </c>
    </row>
    <row r="402" spans="1:11">
      <c r="A402" s="14" t="s">
        <v>17314</v>
      </c>
      <c r="B402" s="14" t="s">
        <v>17315</v>
      </c>
      <c r="C402" s="14" t="s">
        <v>16090</v>
      </c>
      <c r="D402" s="14">
        <v>2</v>
      </c>
      <c r="E402" s="14">
        <v>1239</v>
      </c>
      <c r="F402" s="14">
        <v>12</v>
      </c>
      <c r="G402" s="14">
        <v>15605</v>
      </c>
      <c r="H402" s="14">
        <v>0.245901333461176</v>
      </c>
      <c r="I402" s="14">
        <v>0.859033252699364</v>
      </c>
      <c r="J402" s="14">
        <v>2.09913909066451</v>
      </c>
      <c r="K402" s="14" t="s">
        <v>20324</v>
      </c>
    </row>
    <row r="403" spans="1:11">
      <c r="A403" s="14" t="s">
        <v>20325</v>
      </c>
      <c r="B403" s="14" t="s">
        <v>20326</v>
      </c>
      <c r="C403" s="14" t="s">
        <v>16090</v>
      </c>
      <c r="D403" s="14">
        <v>2</v>
      </c>
      <c r="E403" s="14">
        <v>1239</v>
      </c>
      <c r="F403" s="14">
        <v>12</v>
      </c>
      <c r="G403" s="14">
        <v>15605</v>
      </c>
      <c r="H403" s="14">
        <v>0.245901333461176</v>
      </c>
      <c r="I403" s="14">
        <v>0.859033252699364</v>
      </c>
      <c r="J403" s="14">
        <v>2.09913909066451</v>
      </c>
      <c r="K403" s="14" t="s">
        <v>20327</v>
      </c>
    </row>
    <row r="404" spans="1:11">
      <c r="A404" s="14" t="s">
        <v>20328</v>
      </c>
      <c r="B404" s="14" t="s">
        <v>20329</v>
      </c>
      <c r="C404" s="14" t="s">
        <v>16090</v>
      </c>
      <c r="D404" s="14">
        <v>2</v>
      </c>
      <c r="E404" s="14">
        <v>1239</v>
      </c>
      <c r="F404" s="14">
        <v>12</v>
      </c>
      <c r="G404" s="14">
        <v>15605</v>
      </c>
      <c r="H404" s="14">
        <v>0.245901333461176</v>
      </c>
      <c r="I404" s="14">
        <v>0.859033252699364</v>
      </c>
      <c r="J404" s="14">
        <v>2.09913909066451</v>
      </c>
      <c r="K404" s="14" t="s">
        <v>20330</v>
      </c>
    </row>
    <row r="405" spans="1:11">
      <c r="A405" s="14" t="s">
        <v>17322</v>
      </c>
      <c r="B405" s="14" t="s">
        <v>17323</v>
      </c>
      <c r="C405" s="14" t="s">
        <v>16086</v>
      </c>
      <c r="D405" s="14">
        <v>2</v>
      </c>
      <c r="E405" s="14">
        <v>1239</v>
      </c>
      <c r="F405" s="14">
        <v>12</v>
      </c>
      <c r="G405" s="14">
        <v>15605</v>
      </c>
      <c r="H405" s="14">
        <v>0.245901333461176</v>
      </c>
      <c r="I405" s="14">
        <v>0.859033252699364</v>
      </c>
      <c r="J405" s="14">
        <v>2.09913909066451</v>
      </c>
      <c r="K405" s="14" t="s">
        <v>20331</v>
      </c>
    </row>
    <row r="406" spans="1:11">
      <c r="A406" s="14" t="s">
        <v>17325</v>
      </c>
      <c r="B406" s="14" t="s">
        <v>17326</v>
      </c>
      <c r="C406" s="14" t="s">
        <v>16086</v>
      </c>
      <c r="D406" s="14">
        <v>2</v>
      </c>
      <c r="E406" s="14">
        <v>1239</v>
      </c>
      <c r="F406" s="14">
        <v>12</v>
      </c>
      <c r="G406" s="14">
        <v>15605</v>
      </c>
      <c r="H406" s="14">
        <v>0.245901333461176</v>
      </c>
      <c r="I406" s="14">
        <v>0.859033252699364</v>
      </c>
      <c r="J406" s="14">
        <v>2.09913909066451</v>
      </c>
      <c r="K406" s="14" t="s">
        <v>20331</v>
      </c>
    </row>
    <row r="407" spans="1:11">
      <c r="A407" s="14" t="s">
        <v>18238</v>
      </c>
      <c r="B407" s="14" t="s">
        <v>18239</v>
      </c>
      <c r="C407" s="14" t="s">
        <v>16090</v>
      </c>
      <c r="D407" s="14">
        <v>4</v>
      </c>
      <c r="E407" s="14">
        <v>1239</v>
      </c>
      <c r="F407" s="14">
        <v>32</v>
      </c>
      <c r="G407" s="14">
        <v>15605</v>
      </c>
      <c r="H407" s="14">
        <v>0.246718607861108</v>
      </c>
      <c r="I407" s="14">
        <v>0.859033252699364</v>
      </c>
      <c r="J407" s="14">
        <v>1.57435431799839</v>
      </c>
      <c r="K407" s="14" t="s">
        <v>20332</v>
      </c>
    </row>
    <row r="408" spans="1:11">
      <c r="A408" s="14" t="s">
        <v>13817</v>
      </c>
      <c r="B408" s="14" t="s">
        <v>13818</v>
      </c>
      <c r="C408" s="14" t="s">
        <v>16096</v>
      </c>
      <c r="D408" s="14">
        <v>20</v>
      </c>
      <c r="E408" s="14">
        <v>1239</v>
      </c>
      <c r="F408" s="14">
        <v>213</v>
      </c>
      <c r="G408" s="14">
        <v>15605</v>
      </c>
      <c r="H408" s="14">
        <v>0.248179627201904</v>
      </c>
      <c r="I408" s="14">
        <v>0.859033252699364</v>
      </c>
      <c r="J408" s="14">
        <v>1.18261357220536</v>
      </c>
      <c r="K408" s="14" t="s">
        <v>20333</v>
      </c>
    </row>
    <row r="409" spans="1:11">
      <c r="A409" s="14" t="s">
        <v>2798</v>
      </c>
      <c r="B409" s="14" t="s">
        <v>2799</v>
      </c>
      <c r="C409" s="14" t="s">
        <v>16086</v>
      </c>
      <c r="D409" s="14">
        <v>18</v>
      </c>
      <c r="E409" s="14">
        <v>1239</v>
      </c>
      <c r="F409" s="14">
        <v>190</v>
      </c>
      <c r="G409" s="14">
        <v>15605</v>
      </c>
      <c r="H409" s="14">
        <v>0.250401722298588</v>
      </c>
      <c r="I409" s="14">
        <v>0.859033252699364</v>
      </c>
      <c r="J409" s="14">
        <v>1.19319485153562</v>
      </c>
      <c r="K409" s="14" t="s">
        <v>20334</v>
      </c>
    </row>
    <row r="410" spans="1:11">
      <c r="A410" s="14" t="s">
        <v>20335</v>
      </c>
      <c r="B410" s="14" t="s">
        <v>20336</v>
      </c>
      <c r="C410" s="14" t="s">
        <v>16096</v>
      </c>
      <c r="D410" s="14">
        <v>3</v>
      </c>
      <c r="E410" s="14">
        <v>1239</v>
      </c>
      <c r="F410" s="14">
        <v>22</v>
      </c>
      <c r="G410" s="14">
        <v>15605</v>
      </c>
      <c r="H410" s="14">
        <v>0.252080745983144</v>
      </c>
      <c r="I410" s="14">
        <v>0.859033252699364</v>
      </c>
      <c r="J410" s="14">
        <v>1.71747743781642</v>
      </c>
      <c r="K410" s="14" t="s">
        <v>20337</v>
      </c>
    </row>
    <row r="411" spans="1:11">
      <c r="A411" s="14" t="s">
        <v>20338</v>
      </c>
      <c r="B411" s="14" t="s">
        <v>20339</v>
      </c>
      <c r="C411" s="14" t="s">
        <v>16090</v>
      </c>
      <c r="D411" s="14">
        <v>3</v>
      </c>
      <c r="E411" s="14">
        <v>1239</v>
      </c>
      <c r="F411" s="14">
        <v>22</v>
      </c>
      <c r="G411" s="14">
        <v>15605</v>
      </c>
      <c r="H411" s="14">
        <v>0.252080745983144</v>
      </c>
      <c r="I411" s="14">
        <v>0.859033252699364</v>
      </c>
      <c r="J411" s="14">
        <v>1.71747743781642</v>
      </c>
      <c r="K411" s="14" t="s">
        <v>20340</v>
      </c>
    </row>
    <row r="412" spans="1:11">
      <c r="A412" s="14" t="s">
        <v>20341</v>
      </c>
      <c r="B412" s="14" t="s">
        <v>20342</v>
      </c>
      <c r="C412" s="14" t="s">
        <v>16090</v>
      </c>
      <c r="D412" s="14">
        <v>3</v>
      </c>
      <c r="E412" s="14">
        <v>1239</v>
      </c>
      <c r="F412" s="14">
        <v>22</v>
      </c>
      <c r="G412" s="14">
        <v>15605</v>
      </c>
      <c r="H412" s="14">
        <v>0.252080745983144</v>
      </c>
      <c r="I412" s="14">
        <v>0.859033252699364</v>
      </c>
      <c r="J412" s="14">
        <v>1.71747743781642</v>
      </c>
      <c r="K412" s="14" t="s">
        <v>20343</v>
      </c>
    </row>
    <row r="413" spans="1:11">
      <c r="A413" s="14" t="s">
        <v>19212</v>
      </c>
      <c r="B413" s="14" t="s">
        <v>19213</v>
      </c>
      <c r="C413" s="14" t="s">
        <v>16090</v>
      </c>
      <c r="D413" s="14">
        <v>3</v>
      </c>
      <c r="E413" s="14">
        <v>1239</v>
      </c>
      <c r="F413" s="14">
        <v>22</v>
      </c>
      <c r="G413" s="14">
        <v>15605</v>
      </c>
      <c r="H413" s="14">
        <v>0.252080745983144</v>
      </c>
      <c r="I413" s="14">
        <v>0.859033252699364</v>
      </c>
      <c r="J413" s="14">
        <v>1.71747743781642</v>
      </c>
      <c r="K413" s="14" t="s">
        <v>20344</v>
      </c>
    </row>
    <row r="414" spans="1:11">
      <c r="A414" s="14" t="s">
        <v>18398</v>
      </c>
      <c r="B414" s="14" t="s">
        <v>18399</v>
      </c>
      <c r="C414" s="14" t="s">
        <v>16090</v>
      </c>
      <c r="D414" s="14">
        <v>3</v>
      </c>
      <c r="E414" s="14">
        <v>1239</v>
      </c>
      <c r="F414" s="14">
        <v>22</v>
      </c>
      <c r="G414" s="14">
        <v>15605</v>
      </c>
      <c r="H414" s="14">
        <v>0.252080745983144</v>
      </c>
      <c r="I414" s="14">
        <v>0.859033252699364</v>
      </c>
      <c r="J414" s="14">
        <v>1.71747743781642</v>
      </c>
      <c r="K414" s="14" t="s">
        <v>20345</v>
      </c>
    </row>
    <row r="415" spans="1:11">
      <c r="A415" s="14" t="s">
        <v>18407</v>
      </c>
      <c r="B415" s="14" t="s">
        <v>18408</v>
      </c>
      <c r="C415" s="14" t="s">
        <v>16086</v>
      </c>
      <c r="D415" s="14">
        <v>3</v>
      </c>
      <c r="E415" s="14">
        <v>1239</v>
      </c>
      <c r="F415" s="14">
        <v>22</v>
      </c>
      <c r="G415" s="14">
        <v>15605</v>
      </c>
      <c r="H415" s="14">
        <v>0.252080745983144</v>
      </c>
      <c r="I415" s="14">
        <v>0.859033252699364</v>
      </c>
      <c r="J415" s="14">
        <v>1.71747743781642</v>
      </c>
      <c r="K415" s="14" t="s">
        <v>20346</v>
      </c>
    </row>
    <row r="416" spans="1:11">
      <c r="A416" s="14" t="s">
        <v>19220</v>
      </c>
      <c r="B416" s="14" t="s">
        <v>19221</v>
      </c>
      <c r="C416" s="14" t="s">
        <v>16086</v>
      </c>
      <c r="D416" s="14">
        <v>3</v>
      </c>
      <c r="E416" s="14">
        <v>1239</v>
      </c>
      <c r="F416" s="14">
        <v>22</v>
      </c>
      <c r="G416" s="14">
        <v>15605</v>
      </c>
      <c r="H416" s="14">
        <v>0.252080745983144</v>
      </c>
      <c r="I416" s="14">
        <v>0.859033252699364</v>
      </c>
      <c r="J416" s="14">
        <v>1.71747743781642</v>
      </c>
      <c r="K416" s="14" t="s">
        <v>20347</v>
      </c>
    </row>
    <row r="417" spans="1:11">
      <c r="A417" s="14" t="s">
        <v>17100</v>
      </c>
      <c r="B417" s="14" t="s">
        <v>17101</v>
      </c>
      <c r="C417" s="14" t="s">
        <v>16090</v>
      </c>
      <c r="D417" s="14">
        <v>6</v>
      </c>
      <c r="E417" s="14">
        <v>1239</v>
      </c>
      <c r="F417" s="14">
        <v>54</v>
      </c>
      <c r="G417" s="14">
        <v>15605</v>
      </c>
      <c r="H417" s="14">
        <v>0.255926962713258</v>
      </c>
      <c r="I417" s="14">
        <v>0.859033252699364</v>
      </c>
      <c r="J417" s="14">
        <v>1.39942606044301</v>
      </c>
      <c r="K417" s="14" t="s">
        <v>20198</v>
      </c>
    </row>
    <row r="418" spans="1:11">
      <c r="A418" s="14" t="s">
        <v>17412</v>
      </c>
      <c r="B418" s="14" t="s">
        <v>17413</v>
      </c>
      <c r="C418" s="14" t="s">
        <v>16090</v>
      </c>
      <c r="D418" s="14">
        <v>6</v>
      </c>
      <c r="E418" s="14">
        <v>1239</v>
      </c>
      <c r="F418" s="14">
        <v>54</v>
      </c>
      <c r="G418" s="14">
        <v>15605</v>
      </c>
      <c r="H418" s="14">
        <v>0.255926962713258</v>
      </c>
      <c r="I418" s="14">
        <v>0.859033252699364</v>
      </c>
      <c r="J418" s="14">
        <v>1.39942606044301</v>
      </c>
      <c r="K418" s="14" t="s">
        <v>20348</v>
      </c>
    </row>
    <row r="419" spans="1:11">
      <c r="A419" s="14" t="s">
        <v>20349</v>
      </c>
      <c r="B419" s="14" t="s">
        <v>20350</v>
      </c>
      <c r="C419" s="14" t="s">
        <v>16090</v>
      </c>
      <c r="D419" s="14">
        <v>4</v>
      </c>
      <c r="E419" s="14">
        <v>1239</v>
      </c>
      <c r="F419" s="14">
        <v>33</v>
      </c>
      <c r="G419" s="14">
        <v>15605</v>
      </c>
      <c r="H419" s="14">
        <v>0.264629622715914</v>
      </c>
      <c r="I419" s="14">
        <v>0.859033252699364</v>
      </c>
      <c r="J419" s="14">
        <v>1.52664661139237</v>
      </c>
      <c r="K419" s="14" t="s">
        <v>20351</v>
      </c>
    </row>
    <row r="420" spans="1:11">
      <c r="A420" s="14" t="s">
        <v>11318</v>
      </c>
      <c r="B420" s="14" t="s">
        <v>11319</v>
      </c>
      <c r="C420" s="14" t="s">
        <v>16086</v>
      </c>
      <c r="D420" s="14">
        <v>4</v>
      </c>
      <c r="E420" s="14">
        <v>1239</v>
      </c>
      <c r="F420" s="14">
        <v>33</v>
      </c>
      <c r="G420" s="14">
        <v>15605</v>
      </c>
      <c r="H420" s="14">
        <v>0.264629622715914</v>
      </c>
      <c r="I420" s="14">
        <v>0.859033252699364</v>
      </c>
      <c r="J420" s="14">
        <v>1.52664661139237</v>
      </c>
      <c r="K420" s="14" t="s">
        <v>20352</v>
      </c>
    </row>
    <row r="421" spans="1:11">
      <c r="A421" s="14" t="s">
        <v>20353</v>
      </c>
      <c r="B421" s="14" t="s">
        <v>20354</v>
      </c>
      <c r="C421" s="14" t="s">
        <v>16096</v>
      </c>
      <c r="D421" s="14">
        <v>4</v>
      </c>
      <c r="E421" s="14">
        <v>1239</v>
      </c>
      <c r="F421" s="14">
        <v>33</v>
      </c>
      <c r="G421" s="14">
        <v>15605</v>
      </c>
      <c r="H421" s="14">
        <v>0.264629622715914</v>
      </c>
      <c r="I421" s="14">
        <v>0.859033252699364</v>
      </c>
      <c r="J421" s="14">
        <v>1.52664661139237</v>
      </c>
      <c r="K421" s="14" t="s">
        <v>20268</v>
      </c>
    </row>
    <row r="422" spans="1:11">
      <c r="A422" s="14" t="s">
        <v>18241</v>
      </c>
      <c r="B422" s="14" t="s">
        <v>18242</v>
      </c>
      <c r="C422" s="14" t="s">
        <v>16096</v>
      </c>
      <c r="D422" s="14">
        <v>5</v>
      </c>
      <c r="E422" s="14">
        <v>1239</v>
      </c>
      <c r="F422" s="14">
        <v>44</v>
      </c>
      <c r="G422" s="14">
        <v>15605</v>
      </c>
      <c r="H422" s="14">
        <v>0.269009769301207</v>
      </c>
      <c r="I422" s="14">
        <v>0.859033252699364</v>
      </c>
      <c r="J422" s="14">
        <v>1.43123119818035</v>
      </c>
      <c r="K422" s="14" t="s">
        <v>20355</v>
      </c>
    </row>
    <row r="423" spans="1:11">
      <c r="A423" s="14" t="s">
        <v>18244</v>
      </c>
      <c r="B423" s="14" t="s">
        <v>18245</v>
      </c>
      <c r="C423" s="14" t="s">
        <v>16086</v>
      </c>
      <c r="D423" s="14">
        <v>5</v>
      </c>
      <c r="E423" s="14">
        <v>1239</v>
      </c>
      <c r="F423" s="14">
        <v>44</v>
      </c>
      <c r="G423" s="14">
        <v>15605</v>
      </c>
      <c r="H423" s="14">
        <v>0.269009769301207</v>
      </c>
      <c r="I423" s="14">
        <v>0.859033252699364</v>
      </c>
      <c r="J423" s="14">
        <v>1.43123119818035</v>
      </c>
      <c r="K423" s="14" t="s">
        <v>20356</v>
      </c>
    </row>
    <row r="424" spans="1:11">
      <c r="A424" s="14" t="s">
        <v>16711</v>
      </c>
      <c r="B424" s="14" t="s">
        <v>16712</v>
      </c>
      <c r="C424" s="14" t="s">
        <v>16090</v>
      </c>
      <c r="D424" s="14">
        <v>5</v>
      </c>
      <c r="E424" s="14">
        <v>1239</v>
      </c>
      <c r="F424" s="14">
        <v>44</v>
      </c>
      <c r="G424" s="14">
        <v>15605</v>
      </c>
      <c r="H424" s="14">
        <v>0.269009769301207</v>
      </c>
      <c r="I424" s="14">
        <v>0.859033252699364</v>
      </c>
      <c r="J424" s="14">
        <v>1.43123119818035</v>
      </c>
      <c r="K424" s="14" t="s">
        <v>20357</v>
      </c>
    </row>
    <row r="425" spans="1:11">
      <c r="A425" s="14" t="s">
        <v>20358</v>
      </c>
      <c r="B425" s="14" t="s">
        <v>20359</v>
      </c>
      <c r="C425" s="14" t="s">
        <v>16086</v>
      </c>
      <c r="D425" s="14">
        <v>3</v>
      </c>
      <c r="E425" s="14">
        <v>1239</v>
      </c>
      <c r="F425" s="14">
        <v>23</v>
      </c>
      <c r="G425" s="14">
        <v>15605</v>
      </c>
      <c r="H425" s="14">
        <v>0.27419753892181</v>
      </c>
      <c r="I425" s="14">
        <v>0.859033252699364</v>
      </c>
      <c r="J425" s="14">
        <v>1.64280450573745</v>
      </c>
      <c r="K425" s="14" t="s">
        <v>20360</v>
      </c>
    </row>
    <row r="426" spans="1:11">
      <c r="A426" s="14" t="s">
        <v>18758</v>
      </c>
      <c r="B426" s="14" t="s">
        <v>18759</v>
      </c>
      <c r="C426" s="14" t="s">
        <v>16086</v>
      </c>
      <c r="D426" s="14">
        <v>2</v>
      </c>
      <c r="E426" s="14">
        <v>1239</v>
      </c>
      <c r="F426" s="14">
        <v>13</v>
      </c>
      <c r="G426" s="14">
        <v>15605</v>
      </c>
      <c r="H426" s="14">
        <v>0.276362525387224</v>
      </c>
      <c r="I426" s="14">
        <v>0.859033252699364</v>
      </c>
      <c r="J426" s="14">
        <v>1.93766685292109</v>
      </c>
      <c r="K426" s="14" t="s">
        <v>20361</v>
      </c>
    </row>
    <row r="427" spans="1:11">
      <c r="A427" s="14" t="s">
        <v>17369</v>
      </c>
      <c r="B427" s="14" t="s">
        <v>17370</v>
      </c>
      <c r="C427" s="14" t="s">
        <v>16090</v>
      </c>
      <c r="D427" s="14">
        <v>2</v>
      </c>
      <c r="E427" s="14">
        <v>1239</v>
      </c>
      <c r="F427" s="14">
        <v>13</v>
      </c>
      <c r="G427" s="14">
        <v>15605</v>
      </c>
      <c r="H427" s="14">
        <v>0.276362525387224</v>
      </c>
      <c r="I427" s="14">
        <v>0.859033252699364</v>
      </c>
      <c r="J427" s="14">
        <v>1.93766685292109</v>
      </c>
      <c r="K427" s="14" t="s">
        <v>20362</v>
      </c>
    </row>
    <row r="428" spans="1:11">
      <c r="A428" s="14" t="s">
        <v>17378</v>
      </c>
      <c r="B428" s="14" t="s">
        <v>17379</v>
      </c>
      <c r="C428" s="14" t="s">
        <v>16090</v>
      </c>
      <c r="D428" s="14">
        <v>2</v>
      </c>
      <c r="E428" s="14">
        <v>1239</v>
      </c>
      <c r="F428" s="14">
        <v>13</v>
      </c>
      <c r="G428" s="14">
        <v>15605</v>
      </c>
      <c r="H428" s="14">
        <v>0.276362525387224</v>
      </c>
      <c r="I428" s="14">
        <v>0.859033252699364</v>
      </c>
      <c r="J428" s="14">
        <v>1.93766685292109</v>
      </c>
      <c r="K428" s="14" t="s">
        <v>20363</v>
      </c>
    </row>
    <row r="429" spans="1:11">
      <c r="A429" s="14" t="s">
        <v>18780</v>
      </c>
      <c r="B429" s="14" t="s">
        <v>18781</v>
      </c>
      <c r="C429" s="14" t="s">
        <v>16090</v>
      </c>
      <c r="D429" s="14">
        <v>2</v>
      </c>
      <c r="E429" s="14">
        <v>1239</v>
      </c>
      <c r="F429" s="14">
        <v>13</v>
      </c>
      <c r="G429" s="14">
        <v>15605</v>
      </c>
      <c r="H429" s="14">
        <v>0.276362525387224</v>
      </c>
      <c r="I429" s="14">
        <v>0.859033252699364</v>
      </c>
      <c r="J429" s="14">
        <v>1.93766685292109</v>
      </c>
      <c r="K429" s="14" t="s">
        <v>20364</v>
      </c>
    </row>
    <row r="430" spans="1:11">
      <c r="A430" s="14" t="s">
        <v>16785</v>
      </c>
      <c r="B430" s="14" t="s">
        <v>16786</v>
      </c>
      <c r="C430" s="14" t="s">
        <v>16090</v>
      </c>
      <c r="D430" s="14">
        <v>2</v>
      </c>
      <c r="E430" s="14">
        <v>1239</v>
      </c>
      <c r="F430" s="14">
        <v>13</v>
      </c>
      <c r="G430" s="14">
        <v>15605</v>
      </c>
      <c r="H430" s="14">
        <v>0.276362525387224</v>
      </c>
      <c r="I430" s="14">
        <v>0.859033252699364</v>
      </c>
      <c r="J430" s="14">
        <v>1.93766685292109</v>
      </c>
      <c r="K430" s="14" t="s">
        <v>20365</v>
      </c>
    </row>
    <row r="431" spans="1:11">
      <c r="A431" s="14" t="s">
        <v>16148</v>
      </c>
      <c r="B431" s="14" t="s">
        <v>16149</v>
      </c>
      <c r="C431" s="14" t="s">
        <v>16086</v>
      </c>
      <c r="D431" s="14">
        <v>2</v>
      </c>
      <c r="E431" s="14">
        <v>1239</v>
      </c>
      <c r="F431" s="14">
        <v>13</v>
      </c>
      <c r="G431" s="14">
        <v>15605</v>
      </c>
      <c r="H431" s="14">
        <v>0.276362525387224</v>
      </c>
      <c r="I431" s="14">
        <v>0.859033252699364</v>
      </c>
      <c r="J431" s="14">
        <v>1.93766685292109</v>
      </c>
      <c r="K431" s="14" t="s">
        <v>20366</v>
      </c>
    </row>
    <row r="432" spans="1:11">
      <c r="A432" s="14" t="s">
        <v>20367</v>
      </c>
      <c r="B432" s="14" t="s">
        <v>20368</v>
      </c>
      <c r="C432" s="14" t="s">
        <v>16090</v>
      </c>
      <c r="D432" s="14">
        <v>2</v>
      </c>
      <c r="E432" s="14">
        <v>1239</v>
      </c>
      <c r="F432" s="14">
        <v>13</v>
      </c>
      <c r="G432" s="14">
        <v>15605</v>
      </c>
      <c r="H432" s="14">
        <v>0.276362525387224</v>
      </c>
      <c r="I432" s="14">
        <v>0.859033252699364</v>
      </c>
      <c r="J432" s="14">
        <v>1.93766685292109</v>
      </c>
      <c r="K432" s="14" t="s">
        <v>20094</v>
      </c>
    </row>
    <row r="433" spans="1:11">
      <c r="A433" s="14" t="s">
        <v>18792</v>
      </c>
      <c r="B433" s="14" t="s">
        <v>18793</v>
      </c>
      <c r="C433" s="14" t="s">
        <v>16086</v>
      </c>
      <c r="D433" s="14">
        <v>2</v>
      </c>
      <c r="E433" s="14">
        <v>1239</v>
      </c>
      <c r="F433" s="14">
        <v>13</v>
      </c>
      <c r="G433" s="14">
        <v>15605</v>
      </c>
      <c r="H433" s="14">
        <v>0.276362525387224</v>
      </c>
      <c r="I433" s="14">
        <v>0.859033252699364</v>
      </c>
      <c r="J433" s="14">
        <v>1.93766685292109</v>
      </c>
      <c r="K433" s="14" t="s">
        <v>20361</v>
      </c>
    </row>
    <row r="434" spans="1:11">
      <c r="A434" s="14" t="s">
        <v>19050</v>
      </c>
      <c r="B434" s="14" t="s">
        <v>19051</v>
      </c>
      <c r="C434" s="14" t="s">
        <v>16090</v>
      </c>
      <c r="D434" s="14">
        <v>4</v>
      </c>
      <c r="E434" s="14">
        <v>1239</v>
      </c>
      <c r="F434" s="14">
        <v>34</v>
      </c>
      <c r="G434" s="14">
        <v>15605</v>
      </c>
      <c r="H434" s="14">
        <v>0.282769183592531</v>
      </c>
      <c r="I434" s="14">
        <v>0.859033252699364</v>
      </c>
      <c r="J434" s="14">
        <v>1.48174524046907</v>
      </c>
      <c r="K434" s="14" t="s">
        <v>20369</v>
      </c>
    </row>
    <row r="435" spans="1:11">
      <c r="A435" s="14" t="s">
        <v>16306</v>
      </c>
      <c r="B435" s="14" t="s">
        <v>16307</v>
      </c>
      <c r="C435" s="14" t="s">
        <v>16086</v>
      </c>
      <c r="D435" s="14">
        <v>4</v>
      </c>
      <c r="E435" s="14">
        <v>1239</v>
      </c>
      <c r="F435" s="14">
        <v>34</v>
      </c>
      <c r="G435" s="14">
        <v>15605</v>
      </c>
      <c r="H435" s="14">
        <v>0.282769183592531</v>
      </c>
      <c r="I435" s="14">
        <v>0.859033252699364</v>
      </c>
      <c r="J435" s="14">
        <v>1.48174524046907</v>
      </c>
      <c r="K435" s="14" t="s">
        <v>20370</v>
      </c>
    </row>
    <row r="436" spans="1:11">
      <c r="A436" s="14" t="s">
        <v>19246</v>
      </c>
      <c r="B436" s="14" t="s">
        <v>19247</v>
      </c>
      <c r="C436" s="14" t="s">
        <v>16086</v>
      </c>
      <c r="D436" s="14">
        <v>6</v>
      </c>
      <c r="E436" s="14">
        <v>1239</v>
      </c>
      <c r="F436" s="14">
        <v>56</v>
      </c>
      <c r="G436" s="14">
        <v>15605</v>
      </c>
      <c r="H436" s="14">
        <v>0.283642597247213</v>
      </c>
      <c r="I436" s="14">
        <v>0.859033252699364</v>
      </c>
      <c r="J436" s="14">
        <v>1.34944655828433</v>
      </c>
      <c r="K436" s="14" t="s">
        <v>20371</v>
      </c>
    </row>
    <row r="437" spans="1:11">
      <c r="A437" s="14" t="s">
        <v>18254</v>
      </c>
      <c r="B437" s="14" t="s">
        <v>18255</v>
      </c>
      <c r="C437" s="14" t="s">
        <v>16090</v>
      </c>
      <c r="D437" s="14">
        <v>6</v>
      </c>
      <c r="E437" s="14">
        <v>1239</v>
      </c>
      <c r="F437" s="14">
        <v>56</v>
      </c>
      <c r="G437" s="14">
        <v>15605</v>
      </c>
      <c r="H437" s="14">
        <v>0.283642597247213</v>
      </c>
      <c r="I437" s="14">
        <v>0.859033252699364</v>
      </c>
      <c r="J437" s="14">
        <v>1.34944655828433</v>
      </c>
      <c r="K437" s="14" t="s">
        <v>20372</v>
      </c>
    </row>
    <row r="438" spans="1:11">
      <c r="A438" s="14" t="s">
        <v>16518</v>
      </c>
      <c r="B438" s="14" t="s">
        <v>16519</v>
      </c>
      <c r="C438" s="14" t="s">
        <v>16090</v>
      </c>
      <c r="D438" s="14">
        <v>8</v>
      </c>
      <c r="E438" s="14">
        <v>1239</v>
      </c>
      <c r="F438" s="14">
        <v>79</v>
      </c>
      <c r="G438" s="14">
        <v>15605</v>
      </c>
      <c r="H438" s="14">
        <v>0.289512292655945</v>
      </c>
      <c r="I438" s="14">
        <v>0.859033252699364</v>
      </c>
      <c r="J438" s="14">
        <v>1.2754262829354</v>
      </c>
      <c r="K438" s="14" t="s">
        <v>20373</v>
      </c>
    </row>
    <row r="439" spans="1:11">
      <c r="A439" s="14" t="s">
        <v>16365</v>
      </c>
      <c r="B439" s="14" t="s">
        <v>16366</v>
      </c>
      <c r="C439" s="14" t="s">
        <v>16090</v>
      </c>
      <c r="D439" s="14">
        <v>3</v>
      </c>
      <c r="E439" s="14">
        <v>1239</v>
      </c>
      <c r="F439" s="14">
        <v>24</v>
      </c>
      <c r="G439" s="14">
        <v>15605</v>
      </c>
      <c r="H439" s="14">
        <v>0.296499256912827</v>
      </c>
      <c r="I439" s="14">
        <v>0.859033252699364</v>
      </c>
      <c r="J439" s="14">
        <v>1.57435431799839</v>
      </c>
      <c r="K439" s="14" t="s">
        <v>20374</v>
      </c>
    </row>
    <row r="440" spans="1:11">
      <c r="A440" s="14" t="s">
        <v>16904</v>
      </c>
      <c r="B440" s="14" t="s">
        <v>16905</v>
      </c>
      <c r="C440" s="14" t="s">
        <v>16086</v>
      </c>
      <c r="D440" s="14">
        <v>6</v>
      </c>
      <c r="E440" s="14">
        <v>1239</v>
      </c>
      <c r="F440" s="14">
        <v>57</v>
      </c>
      <c r="G440" s="14">
        <v>15605</v>
      </c>
      <c r="H440" s="14">
        <v>0.297741337641554</v>
      </c>
      <c r="I440" s="14">
        <v>0.859033252699364</v>
      </c>
      <c r="J440" s="14">
        <v>1.3257720572618</v>
      </c>
      <c r="K440" s="14" t="s">
        <v>20375</v>
      </c>
    </row>
    <row r="441" spans="1:11">
      <c r="A441" s="14" t="s">
        <v>18501</v>
      </c>
      <c r="B441" s="14" t="s">
        <v>18502</v>
      </c>
      <c r="C441" s="14" t="s">
        <v>16090</v>
      </c>
      <c r="D441" s="14">
        <v>4</v>
      </c>
      <c r="E441" s="14">
        <v>1239</v>
      </c>
      <c r="F441" s="14">
        <v>35</v>
      </c>
      <c r="G441" s="14">
        <v>15605</v>
      </c>
      <c r="H441" s="14">
        <v>0.301086231455958</v>
      </c>
      <c r="I441" s="14">
        <v>0.859033252699364</v>
      </c>
      <c r="J441" s="14">
        <v>1.43940966216995</v>
      </c>
      <c r="K441" s="14" t="s">
        <v>20376</v>
      </c>
    </row>
    <row r="442" spans="1:11">
      <c r="A442" s="14" t="s">
        <v>20377</v>
      </c>
      <c r="B442" s="14" t="s">
        <v>20378</v>
      </c>
      <c r="C442" s="14" t="s">
        <v>16090</v>
      </c>
      <c r="D442" s="14">
        <v>2</v>
      </c>
      <c r="E442" s="14">
        <v>1239</v>
      </c>
      <c r="F442" s="14">
        <v>14</v>
      </c>
      <c r="G442" s="14">
        <v>15605</v>
      </c>
      <c r="H442" s="14">
        <v>0.306744106386452</v>
      </c>
      <c r="I442" s="14">
        <v>0.859033252699364</v>
      </c>
      <c r="J442" s="14">
        <v>1.79926207771244</v>
      </c>
      <c r="K442" s="14" t="s">
        <v>20379</v>
      </c>
    </row>
    <row r="443" spans="1:11">
      <c r="A443" s="14" t="s">
        <v>20380</v>
      </c>
      <c r="B443" s="14" t="s">
        <v>20381</v>
      </c>
      <c r="C443" s="14" t="s">
        <v>16086</v>
      </c>
      <c r="D443" s="14">
        <v>2</v>
      </c>
      <c r="E443" s="14">
        <v>1239</v>
      </c>
      <c r="F443" s="14">
        <v>14</v>
      </c>
      <c r="G443" s="14">
        <v>15605</v>
      </c>
      <c r="H443" s="14">
        <v>0.306744106386452</v>
      </c>
      <c r="I443" s="14">
        <v>0.859033252699364</v>
      </c>
      <c r="J443" s="14">
        <v>1.79926207771244</v>
      </c>
      <c r="K443" s="14" t="s">
        <v>20382</v>
      </c>
    </row>
    <row r="444" spans="1:11">
      <c r="A444" s="14" t="s">
        <v>20383</v>
      </c>
      <c r="B444" s="14" t="s">
        <v>20384</v>
      </c>
      <c r="C444" s="14" t="s">
        <v>16090</v>
      </c>
      <c r="D444" s="14">
        <v>2</v>
      </c>
      <c r="E444" s="14">
        <v>1239</v>
      </c>
      <c r="F444" s="14">
        <v>14</v>
      </c>
      <c r="G444" s="14">
        <v>15605</v>
      </c>
      <c r="H444" s="14">
        <v>0.306744106386452</v>
      </c>
      <c r="I444" s="14">
        <v>0.859033252699364</v>
      </c>
      <c r="J444" s="14">
        <v>1.79926207771244</v>
      </c>
      <c r="K444" s="14" t="s">
        <v>20385</v>
      </c>
    </row>
    <row r="445" spans="1:11">
      <c r="A445" s="14" t="s">
        <v>16830</v>
      </c>
      <c r="B445" s="14" t="s">
        <v>16831</v>
      </c>
      <c r="C445" s="14" t="s">
        <v>16090</v>
      </c>
      <c r="D445" s="14">
        <v>2</v>
      </c>
      <c r="E445" s="14">
        <v>1239</v>
      </c>
      <c r="F445" s="14">
        <v>14</v>
      </c>
      <c r="G445" s="14">
        <v>15605</v>
      </c>
      <c r="H445" s="14">
        <v>0.306744106386452</v>
      </c>
      <c r="I445" s="14">
        <v>0.859033252699364</v>
      </c>
      <c r="J445" s="14">
        <v>1.79926207771244</v>
      </c>
      <c r="K445" s="14" t="s">
        <v>20282</v>
      </c>
    </row>
    <row r="446" spans="1:11">
      <c r="A446" s="14" t="s">
        <v>16833</v>
      </c>
      <c r="B446" s="14" t="s">
        <v>16834</v>
      </c>
      <c r="C446" s="14" t="s">
        <v>16090</v>
      </c>
      <c r="D446" s="14">
        <v>2</v>
      </c>
      <c r="E446" s="14">
        <v>1239</v>
      </c>
      <c r="F446" s="14">
        <v>14</v>
      </c>
      <c r="G446" s="14">
        <v>15605</v>
      </c>
      <c r="H446" s="14">
        <v>0.306744106386452</v>
      </c>
      <c r="I446" s="14">
        <v>0.859033252699364</v>
      </c>
      <c r="J446" s="14">
        <v>1.79926207771244</v>
      </c>
      <c r="K446" s="14" t="s">
        <v>20386</v>
      </c>
    </row>
    <row r="447" spans="1:11">
      <c r="A447" s="14" t="s">
        <v>18838</v>
      </c>
      <c r="B447" s="14" t="s">
        <v>18839</v>
      </c>
      <c r="C447" s="14" t="s">
        <v>16090</v>
      </c>
      <c r="D447" s="14">
        <v>2</v>
      </c>
      <c r="E447" s="14">
        <v>1239</v>
      </c>
      <c r="F447" s="14">
        <v>14</v>
      </c>
      <c r="G447" s="14">
        <v>15605</v>
      </c>
      <c r="H447" s="14">
        <v>0.306744106386452</v>
      </c>
      <c r="I447" s="14">
        <v>0.859033252699364</v>
      </c>
      <c r="J447" s="14">
        <v>1.79926207771244</v>
      </c>
      <c r="K447" s="14" t="s">
        <v>20387</v>
      </c>
    </row>
    <row r="448" spans="1:11">
      <c r="A448" s="14" t="s">
        <v>20388</v>
      </c>
      <c r="B448" s="14" t="s">
        <v>20389</v>
      </c>
      <c r="C448" s="14" t="s">
        <v>16090</v>
      </c>
      <c r="D448" s="14">
        <v>2</v>
      </c>
      <c r="E448" s="14">
        <v>1239</v>
      </c>
      <c r="F448" s="14">
        <v>14</v>
      </c>
      <c r="G448" s="14">
        <v>15605</v>
      </c>
      <c r="H448" s="14">
        <v>0.306744106386452</v>
      </c>
      <c r="I448" s="14">
        <v>0.859033252699364</v>
      </c>
      <c r="J448" s="14">
        <v>1.79926207771244</v>
      </c>
      <c r="K448" s="14" t="s">
        <v>20390</v>
      </c>
    </row>
    <row r="449" spans="1:11">
      <c r="A449" s="14" t="s">
        <v>20391</v>
      </c>
      <c r="B449" s="14" t="s">
        <v>20392</v>
      </c>
      <c r="C449" s="14" t="s">
        <v>16090</v>
      </c>
      <c r="D449" s="14">
        <v>2</v>
      </c>
      <c r="E449" s="14">
        <v>1239</v>
      </c>
      <c r="F449" s="14">
        <v>14</v>
      </c>
      <c r="G449" s="14">
        <v>15605</v>
      </c>
      <c r="H449" s="14">
        <v>0.306744106386452</v>
      </c>
      <c r="I449" s="14">
        <v>0.859033252699364</v>
      </c>
      <c r="J449" s="14">
        <v>1.79926207771244</v>
      </c>
      <c r="K449" s="14" t="s">
        <v>20393</v>
      </c>
    </row>
    <row r="450" spans="1:11">
      <c r="A450" s="14" t="s">
        <v>17444</v>
      </c>
      <c r="B450" s="14" t="s">
        <v>17445</v>
      </c>
      <c r="C450" s="14" t="s">
        <v>16086</v>
      </c>
      <c r="D450" s="14">
        <v>2</v>
      </c>
      <c r="E450" s="14">
        <v>1239</v>
      </c>
      <c r="F450" s="14">
        <v>14</v>
      </c>
      <c r="G450" s="14">
        <v>15605</v>
      </c>
      <c r="H450" s="14">
        <v>0.306744106386452</v>
      </c>
      <c r="I450" s="14">
        <v>0.859033252699364</v>
      </c>
      <c r="J450" s="14">
        <v>1.79926207771244</v>
      </c>
      <c r="K450" s="14" t="s">
        <v>20291</v>
      </c>
    </row>
    <row r="451" spans="1:11">
      <c r="A451" s="14" t="s">
        <v>17458</v>
      </c>
      <c r="B451" s="14" t="s">
        <v>17459</v>
      </c>
      <c r="C451" s="14" t="s">
        <v>16086</v>
      </c>
      <c r="D451" s="14">
        <v>2</v>
      </c>
      <c r="E451" s="14">
        <v>1239</v>
      </c>
      <c r="F451" s="14">
        <v>14</v>
      </c>
      <c r="G451" s="14">
        <v>15605</v>
      </c>
      <c r="H451" s="14">
        <v>0.306744106386452</v>
      </c>
      <c r="I451" s="14">
        <v>0.859033252699364</v>
      </c>
      <c r="J451" s="14">
        <v>1.79926207771244</v>
      </c>
      <c r="K451" s="14" t="s">
        <v>20394</v>
      </c>
    </row>
    <row r="452" spans="1:11">
      <c r="A452" s="14" t="s">
        <v>18854</v>
      </c>
      <c r="B452" s="14" t="s">
        <v>18855</v>
      </c>
      <c r="C452" s="14" t="s">
        <v>16090</v>
      </c>
      <c r="D452" s="14">
        <v>2</v>
      </c>
      <c r="E452" s="14">
        <v>1239</v>
      </c>
      <c r="F452" s="14">
        <v>14</v>
      </c>
      <c r="G452" s="14">
        <v>15605</v>
      </c>
      <c r="H452" s="14">
        <v>0.306744106386452</v>
      </c>
      <c r="I452" s="14">
        <v>0.859033252699364</v>
      </c>
      <c r="J452" s="14">
        <v>1.79926207771244</v>
      </c>
      <c r="K452" s="14" t="s">
        <v>20395</v>
      </c>
    </row>
    <row r="453" spans="1:11">
      <c r="A453" s="14" t="s">
        <v>17693</v>
      </c>
      <c r="B453" s="14" t="s">
        <v>17694</v>
      </c>
      <c r="C453" s="14" t="s">
        <v>16090</v>
      </c>
      <c r="D453" s="14">
        <v>9</v>
      </c>
      <c r="E453" s="14">
        <v>1239</v>
      </c>
      <c r="F453" s="14">
        <v>92</v>
      </c>
      <c r="G453" s="14">
        <v>15605</v>
      </c>
      <c r="H453" s="14">
        <v>0.307021928325705</v>
      </c>
      <c r="I453" s="14">
        <v>0.859033252699364</v>
      </c>
      <c r="J453" s="14">
        <v>1.23210337930308</v>
      </c>
      <c r="K453" s="14" t="s">
        <v>20396</v>
      </c>
    </row>
    <row r="454" spans="1:11">
      <c r="A454" s="14" t="s">
        <v>17354</v>
      </c>
      <c r="B454" s="14" t="s">
        <v>17355</v>
      </c>
      <c r="C454" s="14" t="s">
        <v>16086</v>
      </c>
      <c r="D454" s="14">
        <v>10</v>
      </c>
      <c r="E454" s="14">
        <v>1239</v>
      </c>
      <c r="F454" s="14">
        <v>104</v>
      </c>
      <c r="G454" s="14">
        <v>15605</v>
      </c>
      <c r="H454" s="14">
        <v>0.311336114243376</v>
      </c>
      <c r="I454" s="14">
        <v>0.859033252699364</v>
      </c>
      <c r="J454" s="14">
        <v>1.21104178307568</v>
      </c>
      <c r="K454" s="14" t="s">
        <v>20397</v>
      </c>
    </row>
    <row r="455" spans="1:11">
      <c r="A455" s="14" t="s">
        <v>19293</v>
      </c>
      <c r="B455" s="14" t="s">
        <v>19294</v>
      </c>
      <c r="C455" s="14" t="s">
        <v>16086</v>
      </c>
      <c r="D455" s="14">
        <v>3</v>
      </c>
      <c r="E455" s="14">
        <v>1239</v>
      </c>
      <c r="F455" s="14">
        <v>25</v>
      </c>
      <c r="G455" s="14">
        <v>15605</v>
      </c>
      <c r="H455" s="14">
        <v>0.318898436186964</v>
      </c>
      <c r="I455" s="14">
        <v>0.859033252699364</v>
      </c>
      <c r="J455" s="14">
        <v>1.51138014527845</v>
      </c>
      <c r="K455" s="14" t="s">
        <v>20398</v>
      </c>
    </row>
    <row r="456" spans="1:11">
      <c r="A456" s="14" t="s">
        <v>20399</v>
      </c>
      <c r="B456" s="14" t="s">
        <v>20400</v>
      </c>
      <c r="C456" s="14" t="s">
        <v>16086</v>
      </c>
      <c r="D456" s="14">
        <v>3</v>
      </c>
      <c r="E456" s="14">
        <v>1239</v>
      </c>
      <c r="F456" s="14">
        <v>25</v>
      </c>
      <c r="G456" s="14">
        <v>15605</v>
      </c>
      <c r="H456" s="14">
        <v>0.318898436186964</v>
      </c>
      <c r="I456" s="14">
        <v>0.859033252699364</v>
      </c>
      <c r="J456" s="14">
        <v>1.51138014527845</v>
      </c>
      <c r="K456" s="14" t="s">
        <v>20401</v>
      </c>
    </row>
    <row r="457" spans="1:11">
      <c r="A457" s="14" t="s">
        <v>19295</v>
      </c>
      <c r="B457" s="14" t="s">
        <v>19296</v>
      </c>
      <c r="C457" s="14" t="s">
        <v>16090</v>
      </c>
      <c r="D457" s="14">
        <v>3</v>
      </c>
      <c r="E457" s="14">
        <v>1239</v>
      </c>
      <c r="F457" s="14">
        <v>25</v>
      </c>
      <c r="G457" s="14">
        <v>15605</v>
      </c>
      <c r="H457" s="14">
        <v>0.318898436186964</v>
      </c>
      <c r="I457" s="14">
        <v>0.859033252699364</v>
      </c>
      <c r="J457" s="14">
        <v>1.51138014527845</v>
      </c>
      <c r="K457" s="14" t="s">
        <v>20402</v>
      </c>
    </row>
    <row r="458" spans="1:11">
      <c r="A458" s="14" t="s">
        <v>18389</v>
      </c>
      <c r="B458" s="14" t="s">
        <v>18390</v>
      </c>
      <c r="C458" s="14" t="s">
        <v>16090</v>
      </c>
      <c r="D458" s="14">
        <v>13</v>
      </c>
      <c r="E458" s="14">
        <v>1239</v>
      </c>
      <c r="F458" s="14">
        <v>140</v>
      </c>
      <c r="G458" s="14">
        <v>15605</v>
      </c>
      <c r="H458" s="14">
        <v>0.319334675692338</v>
      </c>
      <c r="I458" s="14">
        <v>0.859033252699364</v>
      </c>
      <c r="J458" s="14">
        <v>1.16952035051309</v>
      </c>
      <c r="K458" s="14" t="s">
        <v>20403</v>
      </c>
    </row>
    <row r="459" spans="1:11">
      <c r="A459" s="14" t="s">
        <v>19099</v>
      </c>
      <c r="B459" s="14" t="s">
        <v>19100</v>
      </c>
      <c r="C459" s="14" t="s">
        <v>16090</v>
      </c>
      <c r="D459" s="14">
        <v>4</v>
      </c>
      <c r="E459" s="14">
        <v>1239</v>
      </c>
      <c r="F459" s="14">
        <v>36</v>
      </c>
      <c r="G459" s="14">
        <v>15605</v>
      </c>
      <c r="H459" s="14">
        <v>0.31953140012824</v>
      </c>
      <c r="I459" s="14">
        <v>0.859033252699364</v>
      </c>
      <c r="J459" s="14">
        <v>1.39942606044301</v>
      </c>
      <c r="K459" s="14" t="s">
        <v>20404</v>
      </c>
    </row>
    <row r="460" spans="1:11">
      <c r="A460" s="14" t="s">
        <v>18543</v>
      </c>
      <c r="B460" s="14" t="s">
        <v>18544</v>
      </c>
      <c r="C460" s="14" t="s">
        <v>16090</v>
      </c>
      <c r="D460" s="14">
        <v>4</v>
      </c>
      <c r="E460" s="14">
        <v>1239</v>
      </c>
      <c r="F460" s="14">
        <v>36</v>
      </c>
      <c r="G460" s="14">
        <v>15605</v>
      </c>
      <c r="H460" s="14">
        <v>0.31953140012824</v>
      </c>
      <c r="I460" s="14">
        <v>0.859033252699364</v>
      </c>
      <c r="J460" s="14">
        <v>1.39942606044301</v>
      </c>
      <c r="K460" s="14" t="s">
        <v>20405</v>
      </c>
    </row>
    <row r="461" spans="1:11">
      <c r="A461" s="14" t="s">
        <v>17844</v>
      </c>
      <c r="B461" s="14" t="s">
        <v>17845</v>
      </c>
      <c r="C461" s="14" t="s">
        <v>16090</v>
      </c>
      <c r="D461" s="14">
        <v>10</v>
      </c>
      <c r="E461" s="14">
        <v>1239</v>
      </c>
      <c r="F461" s="14">
        <v>105</v>
      </c>
      <c r="G461" s="14">
        <v>15605</v>
      </c>
      <c r="H461" s="14">
        <v>0.321930135391878</v>
      </c>
      <c r="I461" s="14">
        <v>0.859033252699364</v>
      </c>
      <c r="J461" s="14">
        <v>1.19950805180829</v>
      </c>
      <c r="K461" s="14" t="s">
        <v>20406</v>
      </c>
    </row>
    <row r="462" spans="1:11">
      <c r="A462" s="14" t="s">
        <v>19513</v>
      </c>
      <c r="B462" s="14" t="s">
        <v>19514</v>
      </c>
      <c r="C462" s="14" t="s">
        <v>16090</v>
      </c>
      <c r="D462" s="14">
        <v>9</v>
      </c>
      <c r="E462" s="14">
        <v>1239</v>
      </c>
      <c r="F462" s="14">
        <v>94</v>
      </c>
      <c r="G462" s="14">
        <v>15605</v>
      </c>
      <c r="H462" s="14">
        <v>0.329557433743068</v>
      </c>
      <c r="I462" s="14">
        <v>0.859033252699364</v>
      </c>
      <c r="J462" s="14">
        <v>1.205888413786</v>
      </c>
      <c r="K462" s="14" t="s">
        <v>20407</v>
      </c>
    </row>
    <row r="463" spans="1:11">
      <c r="A463" s="14" t="s">
        <v>406</v>
      </c>
      <c r="B463" s="14" t="s">
        <v>407</v>
      </c>
      <c r="C463" s="14" t="s">
        <v>16086</v>
      </c>
      <c r="D463" s="14">
        <v>172</v>
      </c>
      <c r="E463" s="14">
        <v>1239</v>
      </c>
      <c r="F463" s="14">
        <v>2099</v>
      </c>
      <c r="G463" s="14">
        <v>15605</v>
      </c>
      <c r="H463" s="14">
        <v>0.3344418491458</v>
      </c>
      <c r="I463" s="14">
        <v>0.859033252699364</v>
      </c>
      <c r="J463" s="14">
        <v>1.03206838569118</v>
      </c>
      <c r="K463" s="14" t="s">
        <v>20408</v>
      </c>
    </row>
    <row r="464" spans="1:11">
      <c r="A464" s="14" t="s">
        <v>18878</v>
      </c>
      <c r="B464" s="14" t="s">
        <v>18879</v>
      </c>
      <c r="C464" s="14" t="s">
        <v>16086</v>
      </c>
      <c r="D464" s="14">
        <v>2</v>
      </c>
      <c r="E464" s="14">
        <v>1239</v>
      </c>
      <c r="F464" s="14">
        <v>15</v>
      </c>
      <c r="G464" s="14">
        <v>15605</v>
      </c>
      <c r="H464" s="14">
        <v>0.336866815204067</v>
      </c>
      <c r="I464" s="14">
        <v>0.859033252699364</v>
      </c>
      <c r="J464" s="14">
        <v>1.67931127253161</v>
      </c>
      <c r="K464" s="14" t="s">
        <v>20409</v>
      </c>
    </row>
    <row r="465" spans="1:11">
      <c r="A465" s="14" t="s">
        <v>18884</v>
      </c>
      <c r="B465" s="14" t="s">
        <v>18885</v>
      </c>
      <c r="C465" s="14" t="s">
        <v>16090</v>
      </c>
      <c r="D465" s="14">
        <v>2</v>
      </c>
      <c r="E465" s="14">
        <v>1239</v>
      </c>
      <c r="F465" s="14">
        <v>15</v>
      </c>
      <c r="G465" s="14">
        <v>15605</v>
      </c>
      <c r="H465" s="14">
        <v>0.336866815204067</v>
      </c>
      <c r="I465" s="14">
        <v>0.859033252699364</v>
      </c>
      <c r="J465" s="14">
        <v>1.67931127253161</v>
      </c>
      <c r="K465" s="14" t="s">
        <v>20410</v>
      </c>
    </row>
    <row r="466" spans="1:11">
      <c r="A466" s="14" t="s">
        <v>16489</v>
      </c>
      <c r="B466" s="14" t="s">
        <v>16490</v>
      </c>
      <c r="C466" s="14" t="s">
        <v>16090</v>
      </c>
      <c r="D466" s="14">
        <v>2</v>
      </c>
      <c r="E466" s="14">
        <v>1239</v>
      </c>
      <c r="F466" s="14">
        <v>15</v>
      </c>
      <c r="G466" s="14">
        <v>15605</v>
      </c>
      <c r="H466" s="14">
        <v>0.336866815204067</v>
      </c>
      <c r="I466" s="14">
        <v>0.859033252699364</v>
      </c>
      <c r="J466" s="14">
        <v>1.67931127253161</v>
      </c>
      <c r="K466" s="14" t="s">
        <v>20411</v>
      </c>
    </row>
    <row r="467" spans="1:11">
      <c r="A467" s="14" t="s">
        <v>17646</v>
      </c>
      <c r="B467" s="14" t="s">
        <v>17647</v>
      </c>
      <c r="C467" s="14" t="s">
        <v>16090</v>
      </c>
      <c r="D467" s="14">
        <v>2</v>
      </c>
      <c r="E467" s="14">
        <v>1239</v>
      </c>
      <c r="F467" s="14">
        <v>15</v>
      </c>
      <c r="G467" s="14">
        <v>15605</v>
      </c>
      <c r="H467" s="14">
        <v>0.336866815204067</v>
      </c>
      <c r="I467" s="14">
        <v>0.859033252699364</v>
      </c>
      <c r="J467" s="14">
        <v>1.67931127253161</v>
      </c>
      <c r="K467" s="14" t="s">
        <v>20412</v>
      </c>
    </row>
    <row r="468" spans="1:11">
      <c r="A468" s="14" t="s">
        <v>20413</v>
      </c>
      <c r="B468" s="14" t="s">
        <v>20414</v>
      </c>
      <c r="C468" s="14" t="s">
        <v>16090</v>
      </c>
      <c r="D468" s="14">
        <v>2</v>
      </c>
      <c r="E468" s="14">
        <v>1239</v>
      </c>
      <c r="F468" s="14">
        <v>15</v>
      </c>
      <c r="G468" s="14">
        <v>15605</v>
      </c>
      <c r="H468" s="14">
        <v>0.336866815204067</v>
      </c>
      <c r="I468" s="14">
        <v>0.859033252699364</v>
      </c>
      <c r="J468" s="14">
        <v>1.67931127253161</v>
      </c>
      <c r="K468" s="14" t="s">
        <v>20415</v>
      </c>
    </row>
    <row r="469" spans="1:11">
      <c r="A469" s="14" t="s">
        <v>20416</v>
      </c>
      <c r="B469" s="14" t="s">
        <v>20417</v>
      </c>
      <c r="C469" s="14" t="s">
        <v>16090</v>
      </c>
      <c r="D469" s="14">
        <v>2</v>
      </c>
      <c r="E469" s="14">
        <v>1239</v>
      </c>
      <c r="F469" s="14">
        <v>15</v>
      </c>
      <c r="G469" s="14">
        <v>15605</v>
      </c>
      <c r="H469" s="14">
        <v>0.336866815204067</v>
      </c>
      <c r="I469" s="14">
        <v>0.859033252699364</v>
      </c>
      <c r="J469" s="14">
        <v>1.67931127253161</v>
      </c>
      <c r="K469" s="14" t="s">
        <v>20418</v>
      </c>
    </row>
    <row r="470" spans="1:11">
      <c r="A470" s="14" t="s">
        <v>18912</v>
      </c>
      <c r="B470" s="14" t="s">
        <v>18913</v>
      </c>
      <c r="C470" s="14" t="s">
        <v>16086</v>
      </c>
      <c r="D470" s="14">
        <v>2</v>
      </c>
      <c r="E470" s="14">
        <v>1239</v>
      </c>
      <c r="F470" s="14">
        <v>15</v>
      </c>
      <c r="G470" s="14">
        <v>15605</v>
      </c>
      <c r="H470" s="14">
        <v>0.336866815204067</v>
      </c>
      <c r="I470" s="14">
        <v>0.859033252699364</v>
      </c>
      <c r="J470" s="14">
        <v>1.67931127253161</v>
      </c>
      <c r="K470" s="14" t="s">
        <v>20419</v>
      </c>
    </row>
    <row r="471" spans="1:11">
      <c r="A471" s="14" t="s">
        <v>16934</v>
      </c>
      <c r="B471" s="14" t="s">
        <v>16935</v>
      </c>
      <c r="C471" s="14" t="s">
        <v>16090</v>
      </c>
      <c r="D471" s="14">
        <v>2</v>
      </c>
      <c r="E471" s="14">
        <v>1239</v>
      </c>
      <c r="F471" s="14">
        <v>15</v>
      </c>
      <c r="G471" s="14">
        <v>15605</v>
      </c>
      <c r="H471" s="14">
        <v>0.336866815204067</v>
      </c>
      <c r="I471" s="14">
        <v>0.859033252699364</v>
      </c>
      <c r="J471" s="14">
        <v>1.67931127253161</v>
      </c>
      <c r="K471" s="14" t="s">
        <v>20420</v>
      </c>
    </row>
    <row r="472" spans="1:11">
      <c r="A472" s="14" t="s">
        <v>20421</v>
      </c>
      <c r="B472" s="14" t="s">
        <v>20422</v>
      </c>
      <c r="C472" s="14" t="s">
        <v>16090</v>
      </c>
      <c r="D472" s="14">
        <v>1</v>
      </c>
      <c r="E472" s="14">
        <v>1239</v>
      </c>
      <c r="F472" s="14">
        <v>5</v>
      </c>
      <c r="G472" s="14">
        <v>15605</v>
      </c>
      <c r="H472" s="14">
        <v>0.338794529298923</v>
      </c>
      <c r="I472" s="14">
        <v>0.859033252699364</v>
      </c>
      <c r="J472" s="14">
        <v>2.51896690879742</v>
      </c>
      <c r="K472" s="14" t="s">
        <v>10552</v>
      </c>
    </row>
    <row r="473" spans="1:11">
      <c r="A473" s="14" t="s">
        <v>20423</v>
      </c>
      <c r="B473" s="14" t="s">
        <v>20424</v>
      </c>
      <c r="C473" s="14" t="s">
        <v>16086</v>
      </c>
      <c r="D473" s="14">
        <v>1</v>
      </c>
      <c r="E473" s="14">
        <v>1239</v>
      </c>
      <c r="F473" s="14">
        <v>5</v>
      </c>
      <c r="G473" s="14">
        <v>15605</v>
      </c>
      <c r="H473" s="14">
        <v>0.338794529298923</v>
      </c>
      <c r="I473" s="14">
        <v>0.859033252699364</v>
      </c>
      <c r="J473" s="14">
        <v>2.51896690879742</v>
      </c>
      <c r="K473" s="14" t="s">
        <v>16057</v>
      </c>
    </row>
    <row r="474" spans="1:11">
      <c r="A474" s="14" t="s">
        <v>20425</v>
      </c>
      <c r="B474" s="14" t="s">
        <v>20426</v>
      </c>
      <c r="C474" s="14" t="s">
        <v>16090</v>
      </c>
      <c r="D474" s="14">
        <v>1</v>
      </c>
      <c r="E474" s="14">
        <v>1239</v>
      </c>
      <c r="F474" s="14">
        <v>5</v>
      </c>
      <c r="G474" s="14">
        <v>15605</v>
      </c>
      <c r="H474" s="14">
        <v>0.338794529298923</v>
      </c>
      <c r="I474" s="14">
        <v>0.859033252699364</v>
      </c>
      <c r="J474" s="14">
        <v>2.51896690879742</v>
      </c>
      <c r="K474" s="14" t="s">
        <v>980</v>
      </c>
    </row>
    <row r="475" spans="1:11">
      <c r="A475" s="14" t="s">
        <v>20427</v>
      </c>
      <c r="B475" s="14" t="s">
        <v>20428</v>
      </c>
      <c r="C475" s="14" t="s">
        <v>16090</v>
      </c>
      <c r="D475" s="14">
        <v>1</v>
      </c>
      <c r="E475" s="14">
        <v>1239</v>
      </c>
      <c r="F475" s="14">
        <v>5</v>
      </c>
      <c r="G475" s="14">
        <v>15605</v>
      </c>
      <c r="H475" s="14">
        <v>0.338794529298923</v>
      </c>
      <c r="I475" s="14">
        <v>0.859033252699364</v>
      </c>
      <c r="J475" s="14">
        <v>2.51896690879742</v>
      </c>
      <c r="K475" s="14" t="s">
        <v>4322</v>
      </c>
    </row>
    <row r="476" spans="1:11">
      <c r="A476" s="14" t="s">
        <v>20429</v>
      </c>
      <c r="B476" s="14" t="s">
        <v>20430</v>
      </c>
      <c r="C476" s="14" t="s">
        <v>16086</v>
      </c>
      <c r="D476" s="14">
        <v>1</v>
      </c>
      <c r="E476" s="14">
        <v>1239</v>
      </c>
      <c r="F476" s="14">
        <v>5</v>
      </c>
      <c r="G476" s="14">
        <v>15605</v>
      </c>
      <c r="H476" s="14">
        <v>0.338794529298923</v>
      </c>
      <c r="I476" s="14">
        <v>0.859033252699364</v>
      </c>
      <c r="J476" s="14">
        <v>2.51896690879742</v>
      </c>
      <c r="K476" s="14" t="s">
        <v>15763</v>
      </c>
    </row>
    <row r="477" spans="1:11">
      <c r="A477" s="14" t="s">
        <v>20431</v>
      </c>
      <c r="B477" s="14" t="s">
        <v>20432</v>
      </c>
      <c r="C477" s="14" t="s">
        <v>16086</v>
      </c>
      <c r="D477" s="14">
        <v>1</v>
      </c>
      <c r="E477" s="14">
        <v>1239</v>
      </c>
      <c r="F477" s="14">
        <v>5</v>
      </c>
      <c r="G477" s="14">
        <v>15605</v>
      </c>
      <c r="H477" s="14">
        <v>0.338794529298923</v>
      </c>
      <c r="I477" s="14">
        <v>0.859033252699364</v>
      </c>
      <c r="J477" s="14">
        <v>2.51896690879742</v>
      </c>
      <c r="K477" s="14" t="s">
        <v>3339</v>
      </c>
    </row>
    <row r="478" spans="1:11">
      <c r="A478" s="14" t="s">
        <v>20433</v>
      </c>
      <c r="B478" s="14" t="s">
        <v>20434</v>
      </c>
      <c r="C478" s="14" t="s">
        <v>16086</v>
      </c>
      <c r="D478" s="14">
        <v>1</v>
      </c>
      <c r="E478" s="14">
        <v>1239</v>
      </c>
      <c r="F478" s="14">
        <v>5</v>
      </c>
      <c r="G478" s="14">
        <v>15605</v>
      </c>
      <c r="H478" s="14">
        <v>0.338794529298923</v>
      </c>
      <c r="I478" s="14">
        <v>0.859033252699364</v>
      </c>
      <c r="J478" s="14">
        <v>2.51896690879742</v>
      </c>
      <c r="K478" s="14" t="s">
        <v>12787</v>
      </c>
    </row>
    <row r="479" spans="1:11">
      <c r="A479" s="14" t="s">
        <v>17476</v>
      </c>
      <c r="B479" s="14" t="s">
        <v>17477</v>
      </c>
      <c r="C479" s="14" t="s">
        <v>16086</v>
      </c>
      <c r="D479" s="14">
        <v>1</v>
      </c>
      <c r="E479" s="14">
        <v>1239</v>
      </c>
      <c r="F479" s="14">
        <v>5</v>
      </c>
      <c r="G479" s="14">
        <v>15605</v>
      </c>
      <c r="H479" s="14">
        <v>0.338794529298923</v>
      </c>
      <c r="I479" s="14">
        <v>0.859033252699364</v>
      </c>
      <c r="J479" s="14">
        <v>2.51896690879742</v>
      </c>
      <c r="K479" s="14" t="s">
        <v>10627</v>
      </c>
    </row>
    <row r="480" spans="1:11">
      <c r="A480" s="14" t="s">
        <v>20435</v>
      </c>
      <c r="B480" s="14" t="s">
        <v>20436</v>
      </c>
      <c r="C480" s="14" t="s">
        <v>16086</v>
      </c>
      <c r="D480" s="14">
        <v>1</v>
      </c>
      <c r="E480" s="14">
        <v>1239</v>
      </c>
      <c r="F480" s="14">
        <v>5</v>
      </c>
      <c r="G480" s="14">
        <v>15605</v>
      </c>
      <c r="H480" s="14">
        <v>0.338794529298923</v>
      </c>
      <c r="I480" s="14">
        <v>0.859033252699364</v>
      </c>
      <c r="J480" s="14">
        <v>2.51896690879742</v>
      </c>
      <c r="K480" s="14" t="s">
        <v>10350</v>
      </c>
    </row>
    <row r="481" spans="1:11">
      <c r="A481" s="14" t="s">
        <v>17484</v>
      </c>
      <c r="B481" s="14" t="s">
        <v>17485</v>
      </c>
      <c r="C481" s="14" t="s">
        <v>16086</v>
      </c>
      <c r="D481" s="14">
        <v>1</v>
      </c>
      <c r="E481" s="14">
        <v>1239</v>
      </c>
      <c r="F481" s="14">
        <v>5</v>
      </c>
      <c r="G481" s="14">
        <v>15605</v>
      </c>
      <c r="H481" s="14">
        <v>0.338794529298923</v>
      </c>
      <c r="I481" s="14">
        <v>0.859033252699364</v>
      </c>
      <c r="J481" s="14">
        <v>2.51896690879742</v>
      </c>
      <c r="K481" s="14" t="s">
        <v>13298</v>
      </c>
    </row>
    <row r="482" spans="1:11">
      <c r="A482" s="14" t="s">
        <v>20437</v>
      </c>
      <c r="B482" s="14" t="s">
        <v>20438</v>
      </c>
      <c r="C482" s="14" t="s">
        <v>16086</v>
      </c>
      <c r="D482" s="14">
        <v>1</v>
      </c>
      <c r="E482" s="14">
        <v>1239</v>
      </c>
      <c r="F482" s="14">
        <v>5</v>
      </c>
      <c r="G482" s="14">
        <v>15605</v>
      </c>
      <c r="H482" s="14">
        <v>0.338794529298923</v>
      </c>
      <c r="I482" s="14">
        <v>0.859033252699364</v>
      </c>
      <c r="J482" s="14">
        <v>2.51896690879742</v>
      </c>
      <c r="K482" s="14" t="s">
        <v>6902</v>
      </c>
    </row>
    <row r="483" spans="1:11">
      <c r="A483" s="14" t="s">
        <v>20439</v>
      </c>
      <c r="B483" s="14" t="s">
        <v>20440</v>
      </c>
      <c r="C483" s="14" t="s">
        <v>16086</v>
      </c>
      <c r="D483" s="14">
        <v>1</v>
      </c>
      <c r="E483" s="14">
        <v>1239</v>
      </c>
      <c r="F483" s="14">
        <v>5</v>
      </c>
      <c r="G483" s="14">
        <v>15605</v>
      </c>
      <c r="H483" s="14">
        <v>0.338794529298923</v>
      </c>
      <c r="I483" s="14">
        <v>0.859033252699364</v>
      </c>
      <c r="J483" s="14">
        <v>2.51896690879742</v>
      </c>
      <c r="K483" s="14" t="s">
        <v>12635</v>
      </c>
    </row>
    <row r="484" spans="1:11">
      <c r="A484" s="14" t="s">
        <v>20441</v>
      </c>
      <c r="B484" s="14" t="s">
        <v>20442</v>
      </c>
      <c r="C484" s="14" t="s">
        <v>16086</v>
      </c>
      <c r="D484" s="14">
        <v>1</v>
      </c>
      <c r="E484" s="14">
        <v>1239</v>
      </c>
      <c r="F484" s="14">
        <v>5</v>
      </c>
      <c r="G484" s="14">
        <v>15605</v>
      </c>
      <c r="H484" s="14">
        <v>0.338794529298923</v>
      </c>
      <c r="I484" s="14">
        <v>0.859033252699364</v>
      </c>
      <c r="J484" s="14">
        <v>2.51896690879742</v>
      </c>
      <c r="K484" s="14" t="s">
        <v>4322</v>
      </c>
    </row>
    <row r="485" spans="1:11">
      <c r="A485" s="14" t="s">
        <v>17498</v>
      </c>
      <c r="B485" s="14" t="s">
        <v>17499</v>
      </c>
      <c r="C485" s="14" t="s">
        <v>16090</v>
      </c>
      <c r="D485" s="14">
        <v>1</v>
      </c>
      <c r="E485" s="14">
        <v>1239</v>
      </c>
      <c r="F485" s="14">
        <v>5</v>
      </c>
      <c r="G485" s="14">
        <v>15605</v>
      </c>
      <c r="H485" s="14">
        <v>0.338794529298923</v>
      </c>
      <c r="I485" s="14">
        <v>0.859033252699364</v>
      </c>
      <c r="J485" s="14">
        <v>2.51896690879742</v>
      </c>
      <c r="K485" s="14" t="s">
        <v>11525</v>
      </c>
    </row>
    <row r="486" spans="1:11">
      <c r="A486" s="14" t="s">
        <v>20443</v>
      </c>
      <c r="B486" s="14" t="s">
        <v>20444</v>
      </c>
      <c r="C486" s="14" t="s">
        <v>16090</v>
      </c>
      <c r="D486" s="14">
        <v>1</v>
      </c>
      <c r="E486" s="14">
        <v>1239</v>
      </c>
      <c r="F486" s="14">
        <v>5</v>
      </c>
      <c r="G486" s="14">
        <v>15605</v>
      </c>
      <c r="H486" s="14">
        <v>0.338794529298923</v>
      </c>
      <c r="I486" s="14">
        <v>0.859033252699364</v>
      </c>
      <c r="J486" s="14">
        <v>2.51896690879742</v>
      </c>
      <c r="K486" s="14" t="s">
        <v>14154</v>
      </c>
    </row>
    <row r="487" spans="1:11">
      <c r="A487" s="14" t="s">
        <v>20445</v>
      </c>
      <c r="B487" s="14" t="s">
        <v>20446</v>
      </c>
      <c r="C487" s="14" t="s">
        <v>16090</v>
      </c>
      <c r="D487" s="14">
        <v>1</v>
      </c>
      <c r="E487" s="14">
        <v>1239</v>
      </c>
      <c r="F487" s="14">
        <v>5</v>
      </c>
      <c r="G487" s="14">
        <v>15605</v>
      </c>
      <c r="H487" s="14">
        <v>0.338794529298923</v>
      </c>
      <c r="I487" s="14">
        <v>0.859033252699364</v>
      </c>
      <c r="J487" s="14">
        <v>2.51896690879742</v>
      </c>
      <c r="K487" s="14" t="s">
        <v>973</v>
      </c>
    </row>
    <row r="488" spans="1:11">
      <c r="A488" s="14" t="s">
        <v>20447</v>
      </c>
      <c r="B488" s="14" t="s">
        <v>20448</v>
      </c>
      <c r="C488" s="14" t="s">
        <v>16090</v>
      </c>
      <c r="D488" s="14">
        <v>1</v>
      </c>
      <c r="E488" s="14">
        <v>1239</v>
      </c>
      <c r="F488" s="14">
        <v>5</v>
      </c>
      <c r="G488" s="14">
        <v>15605</v>
      </c>
      <c r="H488" s="14">
        <v>0.338794529298923</v>
      </c>
      <c r="I488" s="14">
        <v>0.859033252699364</v>
      </c>
      <c r="J488" s="14">
        <v>2.51896690879742</v>
      </c>
      <c r="K488" s="14" t="s">
        <v>12635</v>
      </c>
    </row>
    <row r="489" spans="1:11">
      <c r="A489" s="14" t="s">
        <v>17502</v>
      </c>
      <c r="B489" s="14" t="s">
        <v>17503</v>
      </c>
      <c r="C489" s="14" t="s">
        <v>16090</v>
      </c>
      <c r="D489" s="14">
        <v>1</v>
      </c>
      <c r="E489" s="14">
        <v>1239</v>
      </c>
      <c r="F489" s="14">
        <v>5</v>
      </c>
      <c r="G489" s="14">
        <v>15605</v>
      </c>
      <c r="H489" s="14">
        <v>0.338794529298923</v>
      </c>
      <c r="I489" s="14">
        <v>0.859033252699364</v>
      </c>
      <c r="J489" s="14">
        <v>2.51896690879742</v>
      </c>
      <c r="K489" s="14" t="s">
        <v>12227</v>
      </c>
    </row>
    <row r="490" spans="1:11">
      <c r="A490" s="14" t="s">
        <v>20449</v>
      </c>
      <c r="B490" s="14" t="s">
        <v>20450</v>
      </c>
      <c r="C490" s="14" t="s">
        <v>16090</v>
      </c>
      <c r="D490" s="14">
        <v>1</v>
      </c>
      <c r="E490" s="14">
        <v>1239</v>
      </c>
      <c r="F490" s="14">
        <v>5</v>
      </c>
      <c r="G490" s="14">
        <v>15605</v>
      </c>
      <c r="H490" s="14">
        <v>0.338794529298923</v>
      </c>
      <c r="I490" s="14">
        <v>0.859033252699364</v>
      </c>
      <c r="J490" s="14">
        <v>2.51896690879742</v>
      </c>
      <c r="K490" s="14" t="s">
        <v>8997</v>
      </c>
    </row>
    <row r="491" spans="1:11">
      <c r="A491" s="14" t="s">
        <v>20451</v>
      </c>
      <c r="B491" s="14" t="s">
        <v>20452</v>
      </c>
      <c r="C491" s="14" t="s">
        <v>16086</v>
      </c>
      <c r="D491" s="14">
        <v>1</v>
      </c>
      <c r="E491" s="14">
        <v>1239</v>
      </c>
      <c r="F491" s="14">
        <v>5</v>
      </c>
      <c r="G491" s="14">
        <v>15605</v>
      </c>
      <c r="H491" s="14">
        <v>0.338794529298923</v>
      </c>
      <c r="I491" s="14">
        <v>0.859033252699364</v>
      </c>
      <c r="J491" s="14">
        <v>2.51896690879742</v>
      </c>
      <c r="K491" s="14" t="s">
        <v>14693</v>
      </c>
    </row>
    <row r="492" spans="1:11">
      <c r="A492" s="14" t="s">
        <v>20453</v>
      </c>
      <c r="B492" s="14" t="s">
        <v>20454</v>
      </c>
      <c r="C492" s="14" t="s">
        <v>16086</v>
      </c>
      <c r="D492" s="14">
        <v>1</v>
      </c>
      <c r="E492" s="14">
        <v>1239</v>
      </c>
      <c r="F492" s="14">
        <v>5</v>
      </c>
      <c r="G492" s="14">
        <v>15605</v>
      </c>
      <c r="H492" s="14">
        <v>0.338794529298923</v>
      </c>
      <c r="I492" s="14">
        <v>0.859033252699364</v>
      </c>
      <c r="J492" s="14">
        <v>2.51896690879742</v>
      </c>
      <c r="K492" s="14" t="s">
        <v>1060</v>
      </c>
    </row>
    <row r="493" spans="1:11">
      <c r="A493" s="14" t="s">
        <v>20455</v>
      </c>
      <c r="B493" s="14" t="s">
        <v>20456</v>
      </c>
      <c r="C493" s="14" t="s">
        <v>16086</v>
      </c>
      <c r="D493" s="14">
        <v>1</v>
      </c>
      <c r="E493" s="14">
        <v>1239</v>
      </c>
      <c r="F493" s="14">
        <v>5</v>
      </c>
      <c r="G493" s="14">
        <v>15605</v>
      </c>
      <c r="H493" s="14">
        <v>0.338794529298923</v>
      </c>
      <c r="I493" s="14">
        <v>0.859033252699364</v>
      </c>
      <c r="J493" s="14">
        <v>2.51896690879742</v>
      </c>
      <c r="K493" s="14" t="s">
        <v>1567</v>
      </c>
    </row>
    <row r="494" spans="1:11">
      <c r="A494" s="14" t="s">
        <v>20457</v>
      </c>
      <c r="B494" s="14" t="s">
        <v>20458</v>
      </c>
      <c r="C494" s="14" t="s">
        <v>16090</v>
      </c>
      <c r="D494" s="14">
        <v>1</v>
      </c>
      <c r="E494" s="14">
        <v>1239</v>
      </c>
      <c r="F494" s="14">
        <v>5</v>
      </c>
      <c r="G494" s="14">
        <v>15605</v>
      </c>
      <c r="H494" s="14">
        <v>0.338794529298923</v>
      </c>
      <c r="I494" s="14">
        <v>0.859033252699364</v>
      </c>
      <c r="J494" s="14">
        <v>2.51896690879742</v>
      </c>
      <c r="K494" s="14" t="s">
        <v>8341</v>
      </c>
    </row>
    <row r="495" spans="1:11">
      <c r="A495" s="14" t="s">
        <v>20459</v>
      </c>
      <c r="B495" s="14" t="s">
        <v>20460</v>
      </c>
      <c r="C495" s="14" t="s">
        <v>16090</v>
      </c>
      <c r="D495" s="14">
        <v>1</v>
      </c>
      <c r="E495" s="14">
        <v>1239</v>
      </c>
      <c r="F495" s="14">
        <v>5</v>
      </c>
      <c r="G495" s="14">
        <v>15605</v>
      </c>
      <c r="H495" s="14">
        <v>0.338794529298923</v>
      </c>
      <c r="I495" s="14">
        <v>0.859033252699364</v>
      </c>
      <c r="J495" s="14">
        <v>2.51896690879742</v>
      </c>
      <c r="K495" s="14" t="s">
        <v>12055</v>
      </c>
    </row>
    <row r="496" spans="1:11">
      <c r="A496" s="14" t="s">
        <v>20461</v>
      </c>
      <c r="B496" s="14" t="s">
        <v>20462</v>
      </c>
      <c r="C496" s="14" t="s">
        <v>16096</v>
      </c>
      <c r="D496" s="14">
        <v>1</v>
      </c>
      <c r="E496" s="14">
        <v>1239</v>
      </c>
      <c r="F496" s="14">
        <v>5</v>
      </c>
      <c r="G496" s="14">
        <v>15605</v>
      </c>
      <c r="H496" s="14">
        <v>0.338794529298923</v>
      </c>
      <c r="I496" s="14">
        <v>0.859033252699364</v>
      </c>
      <c r="J496" s="14">
        <v>2.51896690879742</v>
      </c>
      <c r="K496" s="14" t="s">
        <v>13291</v>
      </c>
    </row>
    <row r="497" spans="1:11">
      <c r="A497" s="14" t="s">
        <v>17518</v>
      </c>
      <c r="B497" s="14" t="s">
        <v>17519</v>
      </c>
      <c r="C497" s="14" t="s">
        <v>16090</v>
      </c>
      <c r="D497" s="14">
        <v>1</v>
      </c>
      <c r="E497" s="14">
        <v>1239</v>
      </c>
      <c r="F497" s="14">
        <v>5</v>
      </c>
      <c r="G497" s="14">
        <v>15605</v>
      </c>
      <c r="H497" s="14">
        <v>0.338794529298923</v>
      </c>
      <c r="I497" s="14">
        <v>0.859033252699364</v>
      </c>
      <c r="J497" s="14">
        <v>2.51896690879742</v>
      </c>
      <c r="K497" s="14" t="s">
        <v>11183</v>
      </c>
    </row>
    <row r="498" spans="1:11">
      <c r="A498" s="14" t="s">
        <v>16602</v>
      </c>
      <c r="B498" s="14" t="s">
        <v>16603</v>
      </c>
      <c r="C498" s="14" t="s">
        <v>16090</v>
      </c>
      <c r="D498" s="14">
        <v>1</v>
      </c>
      <c r="E498" s="14">
        <v>1239</v>
      </c>
      <c r="F498" s="14">
        <v>5</v>
      </c>
      <c r="G498" s="14">
        <v>15605</v>
      </c>
      <c r="H498" s="14">
        <v>0.338794529298923</v>
      </c>
      <c r="I498" s="14">
        <v>0.859033252699364</v>
      </c>
      <c r="J498" s="14">
        <v>2.51896690879742</v>
      </c>
      <c r="K498" s="14" t="s">
        <v>3965</v>
      </c>
    </row>
    <row r="499" spans="1:11">
      <c r="A499" s="14" t="s">
        <v>20463</v>
      </c>
      <c r="B499" s="14" t="s">
        <v>20464</v>
      </c>
      <c r="C499" s="14" t="s">
        <v>16096</v>
      </c>
      <c r="D499" s="14">
        <v>1</v>
      </c>
      <c r="E499" s="14">
        <v>1239</v>
      </c>
      <c r="F499" s="14">
        <v>5</v>
      </c>
      <c r="G499" s="14">
        <v>15605</v>
      </c>
      <c r="H499" s="14">
        <v>0.338794529298923</v>
      </c>
      <c r="I499" s="14">
        <v>0.859033252699364</v>
      </c>
      <c r="J499" s="14">
        <v>2.51896690879742</v>
      </c>
      <c r="K499" s="14" t="s">
        <v>4946</v>
      </c>
    </row>
    <row r="500" spans="1:11">
      <c r="A500" s="14" t="s">
        <v>20465</v>
      </c>
      <c r="B500" s="14" t="s">
        <v>20466</v>
      </c>
      <c r="C500" s="14" t="s">
        <v>16086</v>
      </c>
      <c r="D500" s="14">
        <v>1</v>
      </c>
      <c r="E500" s="14">
        <v>1239</v>
      </c>
      <c r="F500" s="14">
        <v>5</v>
      </c>
      <c r="G500" s="14">
        <v>15605</v>
      </c>
      <c r="H500" s="14">
        <v>0.338794529298923</v>
      </c>
      <c r="I500" s="14">
        <v>0.859033252699364</v>
      </c>
      <c r="J500" s="14">
        <v>2.51896690879742</v>
      </c>
      <c r="K500" s="14" t="s">
        <v>33</v>
      </c>
    </row>
    <row r="501" spans="1:11">
      <c r="A501" s="14" t="s">
        <v>20467</v>
      </c>
      <c r="B501" s="14" t="s">
        <v>20468</v>
      </c>
      <c r="C501" s="14" t="s">
        <v>16090</v>
      </c>
      <c r="D501" s="14">
        <v>1</v>
      </c>
      <c r="E501" s="14">
        <v>1239</v>
      </c>
      <c r="F501" s="14">
        <v>5</v>
      </c>
      <c r="G501" s="14">
        <v>15605</v>
      </c>
      <c r="H501" s="14">
        <v>0.338794529298923</v>
      </c>
      <c r="I501" s="14">
        <v>0.859033252699364</v>
      </c>
      <c r="J501" s="14">
        <v>2.51896690879742</v>
      </c>
      <c r="K501" s="14" t="s">
        <v>6075</v>
      </c>
    </row>
    <row r="502" spans="1:11">
      <c r="A502" s="14" t="s">
        <v>20469</v>
      </c>
      <c r="B502" s="14" t="s">
        <v>20470</v>
      </c>
      <c r="C502" s="14" t="s">
        <v>16090</v>
      </c>
      <c r="D502" s="14">
        <v>1</v>
      </c>
      <c r="E502" s="14">
        <v>1239</v>
      </c>
      <c r="F502" s="14">
        <v>5</v>
      </c>
      <c r="G502" s="14">
        <v>15605</v>
      </c>
      <c r="H502" s="14">
        <v>0.338794529298923</v>
      </c>
      <c r="I502" s="14">
        <v>0.859033252699364</v>
      </c>
      <c r="J502" s="14">
        <v>2.51896690879742</v>
      </c>
      <c r="K502" s="14" t="s">
        <v>4322</v>
      </c>
    </row>
    <row r="503" spans="1:11">
      <c r="A503" s="14" t="s">
        <v>20471</v>
      </c>
      <c r="B503" s="14" t="s">
        <v>20472</v>
      </c>
      <c r="C503" s="14" t="s">
        <v>16090</v>
      </c>
      <c r="D503" s="14">
        <v>1</v>
      </c>
      <c r="E503" s="14">
        <v>1239</v>
      </c>
      <c r="F503" s="14">
        <v>5</v>
      </c>
      <c r="G503" s="14">
        <v>15605</v>
      </c>
      <c r="H503" s="14">
        <v>0.338794529298923</v>
      </c>
      <c r="I503" s="14">
        <v>0.859033252699364</v>
      </c>
      <c r="J503" s="14">
        <v>2.51896690879742</v>
      </c>
      <c r="K503" s="14" t="s">
        <v>6506</v>
      </c>
    </row>
    <row r="504" spans="1:11">
      <c r="A504" s="14" t="s">
        <v>20473</v>
      </c>
      <c r="B504" s="14" t="s">
        <v>20474</v>
      </c>
      <c r="C504" s="14" t="s">
        <v>16086</v>
      </c>
      <c r="D504" s="14">
        <v>1</v>
      </c>
      <c r="E504" s="14">
        <v>1239</v>
      </c>
      <c r="F504" s="14">
        <v>5</v>
      </c>
      <c r="G504" s="14">
        <v>15605</v>
      </c>
      <c r="H504" s="14">
        <v>0.338794529298923</v>
      </c>
      <c r="I504" s="14">
        <v>0.859033252699364</v>
      </c>
      <c r="J504" s="14">
        <v>2.51896690879742</v>
      </c>
      <c r="K504" s="14" t="s">
        <v>10180</v>
      </c>
    </row>
    <row r="505" spans="1:11">
      <c r="A505" s="14" t="s">
        <v>20475</v>
      </c>
      <c r="B505" s="14" t="s">
        <v>20476</v>
      </c>
      <c r="C505" s="14" t="s">
        <v>16090</v>
      </c>
      <c r="D505" s="14">
        <v>1</v>
      </c>
      <c r="E505" s="14">
        <v>1239</v>
      </c>
      <c r="F505" s="14">
        <v>5</v>
      </c>
      <c r="G505" s="14">
        <v>15605</v>
      </c>
      <c r="H505" s="14">
        <v>0.338794529298923</v>
      </c>
      <c r="I505" s="14">
        <v>0.859033252699364</v>
      </c>
      <c r="J505" s="14">
        <v>2.51896690879742</v>
      </c>
      <c r="K505" s="14" t="s">
        <v>10332</v>
      </c>
    </row>
    <row r="506" spans="1:11">
      <c r="A506" s="14" t="s">
        <v>20477</v>
      </c>
      <c r="B506" s="14" t="s">
        <v>20478</v>
      </c>
      <c r="C506" s="14" t="s">
        <v>16090</v>
      </c>
      <c r="D506" s="14">
        <v>1</v>
      </c>
      <c r="E506" s="14">
        <v>1239</v>
      </c>
      <c r="F506" s="14">
        <v>5</v>
      </c>
      <c r="G506" s="14">
        <v>15605</v>
      </c>
      <c r="H506" s="14">
        <v>0.338794529298923</v>
      </c>
      <c r="I506" s="14">
        <v>0.859033252699364</v>
      </c>
      <c r="J506" s="14">
        <v>2.51896690879742</v>
      </c>
      <c r="K506" s="14" t="s">
        <v>8560</v>
      </c>
    </row>
    <row r="507" spans="1:11">
      <c r="A507" s="14" t="s">
        <v>17534</v>
      </c>
      <c r="B507" s="14" t="s">
        <v>17535</v>
      </c>
      <c r="C507" s="14" t="s">
        <v>16090</v>
      </c>
      <c r="D507" s="14">
        <v>1</v>
      </c>
      <c r="E507" s="14">
        <v>1239</v>
      </c>
      <c r="F507" s="14">
        <v>5</v>
      </c>
      <c r="G507" s="14">
        <v>15605</v>
      </c>
      <c r="H507" s="14">
        <v>0.338794529298923</v>
      </c>
      <c r="I507" s="14">
        <v>0.859033252699364</v>
      </c>
      <c r="J507" s="14">
        <v>2.51896690879742</v>
      </c>
      <c r="K507" s="14" t="s">
        <v>12129</v>
      </c>
    </row>
    <row r="508" spans="1:11">
      <c r="A508" s="14" t="s">
        <v>20479</v>
      </c>
      <c r="B508" s="14" t="s">
        <v>20480</v>
      </c>
      <c r="C508" s="14" t="s">
        <v>16090</v>
      </c>
      <c r="D508" s="14">
        <v>1</v>
      </c>
      <c r="E508" s="14">
        <v>1239</v>
      </c>
      <c r="F508" s="14">
        <v>5</v>
      </c>
      <c r="G508" s="14">
        <v>15605</v>
      </c>
      <c r="H508" s="14">
        <v>0.338794529298923</v>
      </c>
      <c r="I508" s="14">
        <v>0.859033252699364</v>
      </c>
      <c r="J508" s="14">
        <v>2.51896690879742</v>
      </c>
      <c r="K508" s="14" t="s">
        <v>10662</v>
      </c>
    </row>
    <row r="509" spans="1:11">
      <c r="A509" s="14" t="s">
        <v>20481</v>
      </c>
      <c r="B509" s="14" t="s">
        <v>20482</v>
      </c>
      <c r="C509" s="14" t="s">
        <v>16090</v>
      </c>
      <c r="D509" s="14">
        <v>1</v>
      </c>
      <c r="E509" s="14">
        <v>1239</v>
      </c>
      <c r="F509" s="14">
        <v>5</v>
      </c>
      <c r="G509" s="14">
        <v>15605</v>
      </c>
      <c r="H509" s="14">
        <v>0.338794529298923</v>
      </c>
      <c r="I509" s="14">
        <v>0.859033252699364</v>
      </c>
      <c r="J509" s="14">
        <v>2.51896690879742</v>
      </c>
      <c r="K509" s="14" t="s">
        <v>11196</v>
      </c>
    </row>
    <row r="510" spans="1:11">
      <c r="A510" s="14" t="s">
        <v>16608</v>
      </c>
      <c r="B510" s="14" t="s">
        <v>16609</v>
      </c>
      <c r="C510" s="14" t="s">
        <v>16086</v>
      </c>
      <c r="D510" s="14">
        <v>1</v>
      </c>
      <c r="E510" s="14">
        <v>1239</v>
      </c>
      <c r="F510" s="14">
        <v>5</v>
      </c>
      <c r="G510" s="14">
        <v>15605</v>
      </c>
      <c r="H510" s="14">
        <v>0.338794529298923</v>
      </c>
      <c r="I510" s="14">
        <v>0.859033252699364</v>
      </c>
      <c r="J510" s="14">
        <v>2.51896690879742</v>
      </c>
      <c r="K510" s="14" t="s">
        <v>5213</v>
      </c>
    </row>
    <row r="511" spans="1:11">
      <c r="A511" s="14" t="s">
        <v>17536</v>
      </c>
      <c r="B511" s="14" t="s">
        <v>17537</v>
      </c>
      <c r="C511" s="14" t="s">
        <v>16086</v>
      </c>
      <c r="D511" s="14">
        <v>1</v>
      </c>
      <c r="E511" s="14">
        <v>1239</v>
      </c>
      <c r="F511" s="14">
        <v>5</v>
      </c>
      <c r="G511" s="14">
        <v>15605</v>
      </c>
      <c r="H511" s="14">
        <v>0.338794529298923</v>
      </c>
      <c r="I511" s="14">
        <v>0.859033252699364</v>
      </c>
      <c r="J511" s="14">
        <v>2.51896690879742</v>
      </c>
      <c r="K511" s="14" t="s">
        <v>13056</v>
      </c>
    </row>
    <row r="512" spans="1:11">
      <c r="A512" s="14" t="s">
        <v>20483</v>
      </c>
      <c r="B512" s="14" t="s">
        <v>20484</v>
      </c>
      <c r="C512" s="14" t="s">
        <v>16090</v>
      </c>
      <c r="D512" s="14">
        <v>1</v>
      </c>
      <c r="E512" s="14">
        <v>1239</v>
      </c>
      <c r="F512" s="14">
        <v>5</v>
      </c>
      <c r="G512" s="14">
        <v>15605</v>
      </c>
      <c r="H512" s="14">
        <v>0.338794529298923</v>
      </c>
      <c r="I512" s="14">
        <v>0.859033252699364</v>
      </c>
      <c r="J512" s="14">
        <v>2.51896690879742</v>
      </c>
      <c r="K512" s="14" t="s">
        <v>6571</v>
      </c>
    </row>
    <row r="513" spans="1:11">
      <c r="A513" s="14" t="s">
        <v>16611</v>
      </c>
      <c r="B513" s="14" t="s">
        <v>16612</v>
      </c>
      <c r="C513" s="14" t="s">
        <v>16090</v>
      </c>
      <c r="D513" s="14">
        <v>1</v>
      </c>
      <c r="E513" s="14">
        <v>1239</v>
      </c>
      <c r="F513" s="14">
        <v>5</v>
      </c>
      <c r="G513" s="14">
        <v>15605</v>
      </c>
      <c r="H513" s="14">
        <v>0.338794529298923</v>
      </c>
      <c r="I513" s="14">
        <v>0.859033252699364</v>
      </c>
      <c r="J513" s="14">
        <v>2.51896690879742</v>
      </c>
      <c r="K513" s="14" t="s">
        <v>5213</v>
      </c>
    </row>
    <row r="514" spans="1:11">
      <c r="A514" s="14" t="s">
        <v>17540</v>
      </c>
      <c r="B514" s="14" t="s">
        <v>17541</v>
      </c>
      <c r="C514" s="14" t="s">
        <v>16086</v>
      </c>
      <c r="D514" s="14">
        <v>1</v>
      </c>
      <c r="E514" s="14">
        <v>1239</v>
      </c>
      <c r="F514" s="14">
        <v>5</v>
      </c>
      <c r="G514" s="14">
        <v>15605</v>
      </c>
      <c r="H514" s="14">
        <v>0.338794529298923</v>
      </c>
      <c r="I514" s="14">
        <v>0.859033252699364</v>
      </c>
      <c r="J514" s="14">
        <v>2.51896690879742</v>
      </c>
      <c r="K514" s="14" t="s">
        <v>6832</v>
      </c>
    </row>
    <row r="515" spans="1:11">
      <c r="A515" s="14" t="s">
        <v>17542</v>
      </c>
      <c r="B515" s="14" t="s">
        <v>17543</v>
      </c>
      <c r="C515" s="14" t="s">
        <v>16086</v>
      </c>
      <c r="D515" s="14">
        <v>1</v>
      </c>
      <c r="E515" s="14">
        <v>1239</v>
      </c>
      <c r="F515" s="14">
        <v>5</v>
      </c>
      <c r="G515" s="14">
        <v>15605</v>
      </c>
      <c r="H515" s="14">
        <v>0.338794529298923</v>
      </c>
      <c r="I515" s="14">
        <v>0.859033252699364</v>
      </c>
      <c r="J515" s="14">
        <v>2.51896690879742</v>
      </c>
      <c r="K515" s="14" t="s">
        <v>15412</v>
      </c>
    </row>
    <row r="516" spans="1:11">
      <c r="A516" s="14" t="s">
        <v>17544</v>
      </c>
      <c r="B516" s="14" t="s">
        <v>17545</v>
      </c>
      <c r="C516" s="14" t="s">
        <v>16090</v>
      </c>
      <c r="D516" s="14">
        <v>1</v>
      </c>
      <c r="E516" s="14">
        <v>1239</v>
      </c>
      <c r="F516" s="14">
        <v>5</v>
      </c>
      <c r="G516" s="14">
        <v>15605</v>
      </c>
      <c r="H516" s="14">
        <v>0.338794529298923</v>
      </c>
      <c r="I516" s="14">
        <v>0.859033252699364</v>
      </c>
      <c r="J516" s="14">
        <v>2.51896690879742</v>
      </c>
      <c r="K516" s="14" t="s">
        <v>8602</v>
      </c>
    </row>
    <row r="517" spans="1:11">
      <c r="A517" s="14" t="s">
        <v>20485</v>
      </c>
      <c r="B517" s="14" t="s">
        <v>20486</v>
      </c>
      <c r="C517" s="14" t="s">
        <v>16096</v>
      </c>
      <c r="D517" s="14">
        <v>1</v>
      </c>
      <c r="E517" s="14">
        <v>1239</v>
      </c>
      <c r="F517" s="14">
        <v>5</v>
      </c>
      <c r="G517" s="14">
        <v>15605</v>
      </c>
      <c r="H517" s="14">
        <v>0.338794529298923</v>
      </c>
      <c r="I517" s="14">
        <v>0.859033252699364</v>
      </c>
      <c r="J517" s="14">
        <v>2.51896690879742</v>
      </c>
      <c r="K517" s="14" t="s">
        <v>9773</v>
      </c>
    </row>
    <row r="518" spans="1:11">
      <c r="A518" s="14" t="s">
        <v>20487</v>
      </c>
      <c r="B518" s="14" t="s">
        <v>20488</v>
      </c>
      <c r="C518" s="14" t="s">
        <v>16086</v>
      </c>
      <c r="D518" s="14">
        <v>1</v>
      </c>
      <c r="E518" s="14">
        <v>1239</v>
      </c>
      <c r="F518" s="14">
        <v>5</v>
      </c>
      <c r="G518" s="14">
        <v>15605</v>
      </c>
      <c r="H518" s="14">
        <v>0.338794529298923</v>
      </c>
      <c r="I518" s="14">
        <v>0.859033252699364</v>
      </c>
      <c r="J518" s="14">
        <v>2.51896690879742</v>
      </c>
      <c r="K518" s="14" t="s">
        <v>11765</v>
      </c>
    </row>
    <row r="519" spans="1:11">
      <c r="A519" s="14" t="s">
        <v>16613</v>
      </c>
      <c r="B519" s="14" t="s">
        <v>16614</v>
      </c>
      <c r="C519" s="14" t="s">
        <v>16086</v>
      </c>
      <c r="D519" s="14">
        <v>1</v>
      </c>
      <c r="E519" s="14">
        <v>1239</v>
      </c>
      <c r="F519" s="14">
        <v>5</v>
      </c>
      <c r="G519" s="14">
        <v>15605</v>
      </c>
      <c r="H519" s="14">
        <v>0.338794529298923</v>
      </c>
      <c r="I519" s="14">
        <v>0.859033252699364</v>
      </c>
      <c r="J519" s="14">
        <v>2.51896690879742</v>
      </c>
      <c r="K519" s="14" t="s">
        <v>9048</v>
      </c>
    </row>
    <row r="520" spans="1:11">
      <c r="A520" s="14" t="s">
        <v>20489</v>
      </c>
      <c r="B520" s="14" t="s">
        <v>20490</v>
      </c>
      <c r="C520" s="14" t="s">
        <v>16090</v>
      </c>
      <c r="D520" s="14">
        <v>1</v>
      </c>
      <c r="E520" s="14">
        <v>1239</v>
      </c>
      <c r="F520" s="14">
        <v>5</v>
      </c>
      <c r="G520" s="14">
        <v>15605</v>
      </c>
      <c r="H520" s="14">
        <v>0.338794529298923</v>
      </c>
      <c r="I520" s="14">
        <v>0.859033252699364</v>
      </c>
      <c r="J520" s="14">
        <v>2.51896690879742</v>
      </c>
      <c r="K520" s="14" t="s">
        <v>9603</v>
      </c>
    </row>
    <row r="521" spans="1:11">
      <c r="A521" s="14" t="s">
        <v>20491</v>
      </c>
      <c r="B521" s="14" t="s">
        <v>20492</v>
      </c>
      <c r="C521" s="14" t="s">
        <v>16086</v>
      </c>
      <c r="D521" s="14">
        <v>1</v>
      </c>
      <c r="E521" s="14">
        <v>1239</v>
      </c>
      <c r="F521" s="14">
        <v>5</v>
      </c>
      <c r="G521" s="14">
        <v>15605</v>
      </c>
      <c r="H521" s="14">
        <v>0.338794529298923</v>
      </c>
      <c r="I521" s="14">
        <v>0.859033252699364</v>
      </c>
      <c r="J521" s="14">
        <v>2.51896690879742</v>
      </c>
      <c r="K521" s="14" t="s">
        <v>10084</v>
      </c>
    </row>
    <row r="522" spans="1:11">
      <c r="A522" s="14" t="s">
        <v>20493</v>
      </c>
      <c r="B522" s="14" t="s">
        <v>20494</v>
      </c>
      <c r="C522" s="14" t="s">
        <v>16086</v>
      </c>
      <c r="D522" s="14">
        <v>1</v>
      </c>
      <c r="E522" s="14">
        <v>1239</v>
      </c>
      <c r="F522" s="14">
        <v>5</v>
      </c>
      <c r="G522" s="14">
        <v>15605</v>
      </c>
      <c r="H522" s="14">
        <v>0.338794529298923</v>
      </c>
      <c r="I522" s="14">
        <v>0.859033252699364</v>
      </c>
      <c r="J522" s="14">
        <v>2.51896690879742</v>
      </c>
      <c r="K522" s="14" t="s">
        <v>13030</v>
      </c>
    </row>
    <row r="523" spans="1:11">
      <c r="A523" s="14" t="s">
        <v>20495</v>
      </c>
      <c r="B523" s="14" t="s">
        <v>20496</v>
      </c>
      <c r="C523" s="14" t="s">
        <v>16090</v>
      </c>
      <c r="D523" s="14">
        <v>1</v>
      </c>
      <c r="E523" s="14">
        <v>1239</v>
      </c>
      <c r="F523" s="14">
        <v>5</v>
      </c>
      <c r="G523" s="14">
        <v>15605</v>
      </c>
      <c r="H523" s="14">
        <v>0.338794529298923</v>
      </c>
      <c r="I523" s="14">
        <v>0.859033252699364</v>
      </c>
      <c r="J523" s="14">
        <v>2.51896690879742</v>
      </c>
      <c r="K523" s="14" t="s">
        <v>8376</v>
      </c>
    </row>
    <row r="524" spans="1:11">
      <c r="A524" s="14" t="s">
        <v>20497</v>
      </c>
      <c r="B524" s="14" t="s">
        <v>20498</v>
      </c>
      <c r="C524" s="14" t="s">
        <v>16090</v>
      </c>
      <c r="D524" s="14">
        <v>1</v>
      </c>
      <c r="E524" s="14">
        <v>1239</v>
      </c>
      <c r="F524" s="14">
        <v>5</v>
      </c>
      <c r="G524" s="14">
        <v>15605</v>
      </c>
      <c r="H524" s="14">
        <v>0.338794529298923</v>
      </c>
      <c r="I524" s="14">
        <v>0.859033252699364</v>
      </c>
      <c r="J524" s="14">
        <v>2.51896690879742</v>
      </c>
      <c r="K524" s="14" t="s">
        <v>8394</v>
      </c>
    </row>
    <row r="525" spans="1:11">
      <c r="A525" s="14" t="s">
        <v>17560</v>
      </c>
      <c r="B525" s="14" t="s">
        <v>17561</v>
      </c>
      <c r="C525" s="14" t="s">
        <v>16086</v>
      </c>
      <c r="D525" s="14">
        <v>1</v>
      </c>
      <c r="E525" s="14">
        <v>1239</v>
      </c>
      <c r="F525" s="14">
        <v>5</v>
      </c>
      <c r="G525" s="14">
        <v>15605</v>
      </c>
      <c r="H525" s="14">
        <v>0.338794529298923</v>
      </c>
      <c r="I525" s="14">
        <v>0.859033252699364</v>
      </c>
      <c r="J525" s="14">
        <v>2.51896690879742</v>
      </c>
      <c r="K525" s="14" t="s">
        <v>8322</v>
      </c>
    </row>
    <row r="526" spans="1:11">
      <c r="A526" s="14" t="s">
        <v>17566</v>
      </c>
      <c r="B526" s="14" t="s">
        <v>17567</v>
      </c>
      <c r="C526" s="14" t="s">
        <v>16096</v>
      </c>
      <c r="D526" s="14">
        <v>1</v>
      </c>
      <c r="E526" s="14">
        <v>1239</v>
      </c>
      <c r="F526" s="14">
        <v>5</v>
      </c>
      <c r="G526" s="14">
        <v>15605</v>
      </c>
      <c r="H526" s="14">
        <v>0.338794529298923</v>
      </c>
      <c r="I526" s="14">
        <v>0.859033252699364</v>
      </c>
      <c r="J526" s="14">
        <v>2.51896690879742</v>
      </c>
      <c r="K526" s="14" t="s">
        <v>10529</v>
      </c>
    </row>
    <row r="527" spans="1:11">
      <c r="A527" s="14" t="s">
        <v>16624</v>
      </c>
      <c r="B527" s="14" t="s">
        <v>16625</v>
      </c>
      <c r="C527" s="14" t="s">
        <v>16086</v>
      </c>
      <c r="D527" s="14">
        <v>1</v>
      </c>
      <c r="E527" s="14">
        <v>1239</v>
      </c>
      <c r="F527" s="14">
        <v>5</v>
      </c>
      <c r="G527" s="14">
        <v>15605</v>
      </c>
      <c r="H527" s="14">
        <v>0.338794529298923</v>
      </c>
      <c r="I527" s="14">
        <v>0.859033252699364</v>
      </c>
      <c r="J527" s="14">
        <v>2.51896690879742</v>
      </c>
      <c r="K527" s="14" t="s">
        <v>5841</v>
      </c>
    </row>
    <row r="528" spans="1:11">
      <c r="A528" s="14" t="s">
        <v>20499</v>
      </c>
      <c r="B528" s="14" t="s">
        <v>20500</v>
      </c>
      <c r="C528" s="14" t="s">
        <v>16086</v>
      </c>
      <c r="D528" s="14">
        <v>1</v>
      </c>
      <c r="E528" s="14">
        <v>1239</v>
      </c>
      <c r="F528" s="14">
        <v>5</v>
      </c>
      <c r="G528" s="14">
        <v>15605</v>
      </c>
      <c r="H528" s="14">
        <v>0.338794529298923</v>
      </c>
      <c r="I528" s="14">
        <v>0.859033252699364</v>
      </c>
      <c r="J528" s="14">
        <v>2.51896690879742</v>
      </c>
      <c r="K528" s="14" t="s">
        <v>5841</v>
      </c>
    </row>
    <row r="529" spans="1:11">
      <c r="A529" s="14" t="s">
        <v>17568</v>
      </c>
      <c r="B529" s="14" t="s">
        <v>17569</v>
      </c>
      <c r="C529" s="14" t="s">
        <v>16090</v>
      </c>
      <c r="D529" s="14">
        <v>1</v>
      </c>
      <c r="E529" s="14">
        <v>1239</v>
      </c>
      <c r="F529" s="14">
        <v>5</v>
      </c>
      <c r="G529" s="14">
        <v>15605</v>
      </c>
      <c r="H529" s="14">
        <v>0.338794529298923</v>
      </c>
      <c r="I529" s="14">
        <v>0.859033252699364</v>
      </c>
      <c r="J529" s="14">
        <v>2.51896690879742</v>
      </c>
      <c r="K529" s="14" t="s">
        <v>12227</v>
      </c>
    </row>
    <row r="530" spans="1:11">
      <c r="A530" s="14" t="s">
        <v>20501</v>
      </c>
      <c r="B530" s="14" t="s">
        <v>20502</v>
      </c>
      <c r="C530" s="14" t="s">
        <v>16086</v>
      </c>
      <c r="D530" s="14">
        <v>1</v>
      </c>
      <c r="E530" s="14">
        <v>1239</v>
      </c>
      <c r="F530" s="14">
        <v>5</v>
      </c>
      <c r="G530" s="14">
        <v>15605</v>
      </c>
      <c r="H530" s="14">
        <v>0.338794529298923</v>
      </c>
      <c r="I530" s="14">
        <v>0.859033252699364</v>
      </c>
      <c r="J530" s="14">
        <v>2.51896690879742</v>
      </c>
      <c r="K530" s="14" t="s">
        <v>5182</v>
      </c>
    </row>
    <row r="531" spans="1:11">
      <c r="A531" s="14" t="s">
        <v>20503</v>
      </c>
      <c r="B531" s="14" t="s">
        <v>20504</v>
      </c>
      <c r="C531" s="14" t="s">
        <v>16086</v>
      </c>
      <c r="D531" s="14">
        <v>1</v>
      </c>
      <c r="E531" s="14">
        <v>1239</v>
      </c>
      <c r="F531" s="14">
        <v>5</v>
      </c>
      <c r="G531" s="14">
        <v>15605</v>
      </c>
      <c r="H531" s="14">
        <v>0.338794529298923</v>
      </c>
      <c r="I531" s="14">
        <v>0.859033252699364</v>
      </c>
      <c r="J531" s="14">
        <v>2.51896690879742</v>
      </c>
      <c r="K531" s="14" t="s">
        <v>13718</v>
      </c>
    </row>
    <row r="532" spans="1:11">
      <c r="A532" s="14" t="s">
        <v>20505</v>
      </c>
      <c r="B532" s="14" t="s">
        <v>20506</v>
      </c>
      <c r="C532" s="14" t="s">
        <v>16086</v>
      </c>
      <c r="D532" s="14">
        <v>1</v>
      </c>
      <c r="E532" s="14">
        <v>1239</v>
      </c>
      <c r="F532" s="14">
        <v>5</v>
      </c>
      <c r="G532" s="14">
        <v>15605</v>
      </c>
      <c r="H532" s="14">
        <v>0.338794529298923</v>
      </c>
      <c r="I532" s="14">
        <v>0.859033252699364</v>
      </c>
      <c r="J532" s="14">
        <v>2.51896690879742</v>
      </c>
      <c r="K532" s="14" t="s">
        <v>6878</v>
      </c>
    </row>
    <row r="533" spans="1:11">
      <c r="A533" s="14" t="s">
        <v>17574</v>
      </c>
      <c r="B533" s="14" t="s">
        <v>17575</v>
      </c>
      <c r="C533" s="14" t="s">
        <v>16086</v>
      </c>
      <c r="D533" s="14">
        <v>1</v>
      </c>
      <c r="E533" s="14">
        <v>1239</v>
      </c>
      <c r="F533" s="14">
        <v>5</v>
      </c>
      <c r="G533" s="14">
        <v>15605</v>
      </c>
      <c r="H533" s="14">
        <v>0.338794529298923</v>
      </c>
      <c r="I533" s="14">
        <v>0.859033252699364</v>
      </c>
      <c r="J533" s="14">
        <v>2.51896690879742</v>
      </c>
      <c r="K533" s="14" t="s">
        <v>9274</v>
      </c>
    </row>
    <row r="534" spans="1:11">
      <c r="A534" s="14" t="s">
        <v>20507</v>
      </c>
      <c r="B534" s="14" t="s">
        <v>20508</v>
      </c>
      <c r="C534" s="14" t="s">
        <v>16090</v>
      </c>
      <c r="D534" s="14">
        <v>1</v>
      </c>
      <c r="E534" s="14">
        <v>1239</v>
      </c>
      <c r="F534" s="14">
        <v>5</v>
      </c>
      <c r="G534" s="14">
        <v>15605</v>
      </c>
      <c r="H534" s="14">
        <v>0.338794529298923</v>
      </c>
      <c r="I534" s="14">
        <v>0.859033252699364</v>
      </c>
      <c r="J534" s="14">
        <v>2.51896690879742</v>
      </c>
      <c r="K534" s="14" t="s">
        <v>2800</v>
      </c>
    </row>
    <row r="535" spans="1:11">
      <c r="A535" s="14" t="s">
        <v>20509</v>
      </c>
      <c r="B535" s="14" t="s">
        <v>20510</v>
      </c>
      <c r="C535" s="14" t="s">
        <v>16090</v>
      </c>
      <c r="D535" s="14">
        <v>1</v>
      </c>
      <c r="E535" s="14">
        <v>1239</v>
      </c>
      <c r="F535" s="14">
        <v>5</v>
      </c>
      <c r="G535" s="14">
        <v>15605</v>
      </c>
      <c r="H535" s="14">
        <v>0.338794529298923</v>
      </c>
      <c r="I535" s="14">
        <v>0.859033252699364</v>
      </c>
      <c r="J535" s="14">
        <v>2.51896690879742</v>
      </c>
      <c r="K535" s="14" t="s">
        <v>2989</v>
      </c>
    </row>
    <row r="536" spans="1:11">
      <c r="A536" s="14" t="s">
        <v>20511</v>
      </c>
      <c r="B536" s="14" t="s">
        <v>20512</v>
      </c>
      <c r="C536" s="14" t="s">
        <v>16086</v>
      </c>
      <c r="D536" s="14">
        <v>1</v>
      </c>
      <c r="E536" s="14">
        <v>1239</v>
      </c>
      <c r="F536" s="14">
        <v>5</v>
      </c>
      <c r="G536" s="14">
        <v>15605</v>
      </c>
      <c r="H536" s="14">
        <v>0.338794529298923</v>
      </c>
      <c r="I536" s="14">
        <v>0.859033252699364</v>
      </c>
      <c r="J536" s="14">
        <v>2.51896690879742</v>
      </c>
      <c r="K536" s="14" t="s">
        <v>7009</v>
      </c>
    </row>
    <row r="537" spans="1:11">
      <c r="A537" s="14" t="s">
        <v>20513</v>
      </c>
      <c r="B537" s="14" t="s">
        <v>20514</v>
      </c>
      <c r="C537" s="14" t="s">
        <v>16090</v>
      </c>
      <c r="D537" s="14">
        <v>1</v>
      </c>
      <c r="E537" s="14">
        <v>1239</v>
      </c>
      <c r="F537" s="14">
        <v>5</v>
      </c>
      <c r="G537" s="14">
        <v>15605</v>
      </c>
      <c r="H537" s="14">
        <v>0.338794529298923</v>
      </c>
      <c r="I537" s="14">
        <v>0.859033252699364</v>
      </c>
      <c r="J537" s="14">
        <v>2.51896690879742</v>
      </c>
      <c r="K537" s="14" t="s">
        <v>5048</v>
      </c>
    </row>
    <row r="538" spans="1:11">
      <c r="A538" s="14" t="s">
        <v>20515</v>
      </c>
      <c r="B538" s="14" t="s">
        <v>20516</v>
      </c>
      <c r="C538" s="14" t="s">
        <v>16090</v>
      </c>
      <c r="D538" s="14">
        <v>1</v>
      </c>
      <c r="E538" s="14">
        <v>1239</v>
      </c>
      <c r="F538" s="14">
        <v>5</v>
      </c>
      <c r="G538" s="14">
        <v>15605</v>
      </c>
      <c r="H538" s="14">
        <v>0.338794529298923</v>
      </c>
      <c r="I538" s="14">
        <v>0.859033252699364</v>
      </c>
      <c r="J538" s="14">
        <v>2.51896690879742</v>
      </c>
      <c r="K538" s="14" t="s">
        <v>4971</v>
      </c>
    </row>
    <row r="539" spans="1:11">
      <c r="A539" s="14" t="s">
        <v>20517</v>
      </c>
      <c r="B539" s="14" t="s">
        <v>20518</v>
      </c>
      <c r="C539" s="14" t="s">
        <v>16090</v>
      </c>
      <c r="D539" s="14">
        <v>1</v>
      </c>
      <c r="E539" s="14">
        <v>1239</v>
      </c>
      <c r="F539" s="14">
        <v>5</v>
      </c>
      <c r="G539" s="14">
        <v>15605</v>
      </c>
      <c r="H539" s="14">
        <v>0.338794529298923</v>
      </c>
      <c r="I539" s="14">
        <v>0.859033252699364</v>
      </c>
      <c r="J539" s="14">
        <v>2.51896690879742</v>
      </c>
      <c r="K539" s="14" t="s">
        <v>10350</v>
      </c>
    </row>
    <row r="540" spans="1:11">
      <c r="A540" s="14" t="s">
        <v>20519</v>
      </c>
      <c r="B540" s="14" t="s">
        <v>20520</v>
      </c>
      <c r="C540" s="14" t="s">
        <v>16090</v>
      </c>
      <c r="D540" s="14">
        <v>1</v>
      </c>
      <c r="E540" s="14">
        <v>1239</v>
      </c>
      <c r="F540" s="14">
        <v>5</v>
      </c>
      <c r="G540" s="14">
        <v>15605</v>
      </c>
      <c r="H540" s="14">
        <v>0.338794529298923</v>
      </c>
      <c r="I540" s="14">
        <v>0.859033252699364</v>
      </c>
      <c r="J540" s="14">
        <v>2.51896690879742</v>
      </c>
      <c r="K540" s="14" t="s">
        <v>534</v>
      </c>
    </row>
    <row r="541" spans="1:11">
      <c r="A541" s="14" t="s">
        <v>20521</v>
      </c>
      <c r="B541" s="14" t="s">
        <v>20522</v>
      </c>
      <c r="C541" s="14" t="s">
        <v>16090</v>
      </c>
      <c r="D541" s="14">
        <v>1</v>
      </c>
      <c r="E541" s="14">
        <v>1239</v>
      </c>
      <c r="F541" s="14">
        <v>5</v>
      </c>
      <c r="G541" s="14">
        <v>15605</v>
      </c>
      <c r="H541" s="14">
        <v>0.338794529298923</v>
      </c>
      <c r="I541" s="14">
        <v>0.859033252699364</v>
      </c>
      <c r="J541" s="14">
        <v>2.51896690879742</v>
      </c>
      <c r="K541" s="14" t="s">
        <v>9307</v>
      </c>
    </row>
    <row r="542" spans="1:11">
      <c r="A542" s="14" t="s">
        <v>20523</v>
      </c>
      <c r="B542" s="14" t="s">
        <v>20524</v>
      </c>
      <c r="C542" s="14" t="s">
        <v>16090</v>
      </c>
      <c r="D542" s="14">
        <v>1</v>
      </c>
      <c r="E542" s="14">
        <v>1239</v>
      </c>
      <c r="F542" s="14">
        <v>5</v>
      </c>
      <c r="G542" s="14">
        <v>15605</v>
      </c>
      <c r="H542" s="14">
        <v>0.338794529298923</v>
      </c>
      <c r="I542" s="14">
        <v>0.859033252699364</v>
      </c>
      <c r="J542" s="14">
        <v>2.51896690879742</v>
      </c>
      <c r="K542" s="14" t="s">
        <v>3339</v>
      </c>
    </row>
    <row r="543" spans="1:11">
      <c r="A543" s="14" t="s">
        <v>20525</v>
      </c>
      <c r="B543" s="14" t="s">
        <v>20526</v>
      </c>
      <c r="C543" s="14" t="s">
        <v>16090</v>
      </c>
      <c r="D543" s="14">
        <v>1</v>
      </c>
      <c r="E543" s="14">
        <v>1239</v>
      </c>
      <c r="F543" s="14">
        <v>5</v>
      </c>
      <c r="G543" s="14">
        <v>15605</v>
      </c>
      <c r="H543" s="14">
        <v>0.338794529298923</v>
      </c>
      <c r="I543" s="14">
        <v>0.859033252699364</v>
      </c>
      <c r="J543" s="14">
        <v>2.51896690879742</v>
      </c>
      <c r="K543" s="14" t="s">
        <v>8200</v>
      </c>
    </row>
    <row r="544" spans="1:11">
      <c r="A544" s="14" t="s">
        <v>20527</v>
      </c>
      <c r="B544" s="14" t="s">
        <v>20528</v>
      </c>
      <c r="C544" s="14" t="s">
        <v>16090</v>
      </c>
      <c r="D544" s="14">
        <v>1</v>
      </c>
      <c r="E544" s="14">
        <v>1239</v>
      </c>
      <c r="F544" s="14">
        <v>5</v>
      </c>
      <c r="G544" s="14">
        <v>15605</v>
      </c>
      <c r="H544" s="14">
        <v>0.338794529298923</v>
      </c>
      <c r="I544" s="14">
        <v>0.859033252699364</v>
      </c>
      <c r="J544" s="14">
        <v>2.51896690879742</v>
      </c>
      <c r="K544" s="14" t="s">
        <v>10552</v>
      </c>
    </row>
    <row r="545" spans="1:11">
      <c r="A545" s="14" t="s">
        <v>20529</v>
      </c>
      <c r="B545" s="14" t="s">
        <v>20530</v>
      </c>
      <c r="C545" s="14" t="s">
        <v>16090</v>
      </c>
      <c r="D545" s="14">
        <v>1</v>
      </c>
      <c r="E545" s="14">
        <v>1239</v>
      </c>
      <c r="F545" s="14">
        <v>5</v>
      </c>
      <c r="G545" s="14">
        <v>15605</v>
      </c>
      <c r="H545" s="14">
        <v>0.338794529298923</v>
      </c>
      <c r="I545" s="14">
        <v>0.859033252699364</v>
      </c>
      <c r="J545" s="14">
        <v>2.51896690879742</v>
      </c>
      <c r="K545" s="14" t="s">
        <v>10078</v>
      </c>
    </row>
    <row r="546" spans="1:11">
      <c r="A546" s="14" t="s">
        <v>17590</v>
      </c>
      <c r="B546" s="14" t="s">
        <v>17591</v>
      </c>
      <c r="C546" s="14" t="s">
        <v>16086</v>
      </c>
      <c r="D546" s="14">
        <v>1</v>
      </c>
      <c r="E546" s="14">
        <v>1239</v>
      </c>
      <c r="F546" s="14">
        <v>5</v>
      </c>
      <c r="G546" s="14">
        <v>15605</v>
      </c>
      <c r="H546" s="14">
        <v>0.338794529298923</v>
      </c>
      <c r="I546" s="14">
        <v>0.859033252699364</v>
      </c>
      <c r="J546" s="14">
        <v>2.51896690879742</v>
      </c>
      <c r="K546" s="14" t="s">
        <v>8114</v>
      </c>
    </row>
    <row r="547" spans="1:11">
      <c r="A547" s="14" t="s">
        <v>20531</v>
      </c>
      <c r="B547" s="14" t="s">
        <v>20532</v>
      </c>
      <c r="C547" s="14" t="s">
        <v>16090</v>
      </c>
      <c r="D547" s="14">
        <v>1</v>
      </c>
      <c r="E547" s="14">
        <v>1239</v>
      </c>
      <c r="F547" s="14">
        <v>5</v>
      </c>
      <c r="G547" s="14">
        <v>15605</v>
      </c>
      <c r="H547" s="14">
        <v>0.338794529298923</v>
      </c>
      <c r="I547" s="14">
        <v>0.859033252699364</v>
      </c>
      <c r="J547" s="14">
        <v>2.51896690879742</v>
      </c>
      <c r="K547" s="14" t="s">
        <v>4797</v>
      </c>
    </row>
    <row r="548" spans="1:11">
      <c r="A548" s="14" t="s">
        <v>20533</v>
      </c>
      <c r="B548" s="14" t="s">
        <v>20534</v>
      </c>
      <c r="C548" s="14" t="s">
        <v>16086</v>
      </c>
      <c r="D548" s="14">
        <v>1</v>
      </c>
      <c r="E548" s="14">
        <v>1239</v>
      </c>
      <c r="F548" s="14">
        <v>5</v>
      </c>
      <c r="G548" s="14">
        <v>15605</v>
      </c>
      <c r="H548" s="14">
        <v>0.338794529298923</v>
      </c>
      <c r="I548" s="14">
        <v>0.859033252699364</v>
      </c>
      <c r="J548" s="14">
        <v>2.51896690879742</v>
      </c>
      <c r="K548" s="14" t="s">
        <v>6759</v>
      </c>
    </row>
    <row r="549" spans="1:11">
      <c r="A549" s="14" t="s">
        <v>20535</v>
      </c>
      <c r="B549" s="14" t="s">
        <v>20536</v>
      </c>
      <c r="C549" s="14" t="s">
        <v>16090</v>
      </c>
      <c r="D549" s="14">
        <v>1</v>
      </c>
      <c r="E549" s="14">
        <v>1239</v>
      </c>
      <c r="F549" s="14">
        <v>5</v>
      </c>
      <c r="G549" s="14">
        <v>15605</v>
      </c>
      <c r="H549" s="14">
        <v>0.338794529298923</v>
      </c>
      <c r="I549" s="14">
        <v>0.859033252699364</v>
      </c>
      <c r="J549" s="14">
        <v>2.51896690879742</v>
      </c>
      <c r="K549" s="14" t="s">
        <v>6759</v>
      </c>
    </row>
    <row r="550" spans="1:11">
      <c r="A550" s="14" t="s">
        <v>20537</v>
      </c>
      <c r="B550" s="14" t="s">
        <v>20538</v>
      </c>
      <c r="C550" s="14" t="s">
        <v>16086</v>
      </c>
      <c r="D550" s="14">
        <v>1</v>
      </c>
      <c r="E550" s="14">
        <v>1239</v>
      </c>
      <c r="F550" s="14">
        <v>5</v>
      </c>
      <c r="G550" s="14">
        <v>15605</v>
      </c>
      <c r="H550" s="14">
        <v>0.338794529298923</v>
      </c>
      <c r="I550" s="14">
        <v>0.859033252699364</v>
      </c>
      <c r="J550" s="14">
        <v>2.51896690879742</v>
      </c>
      <c r="K550" s="14" t="s">
        <v>7001</v>
      </c>
    </row>
    <row r="551" spans="1:11">
      <c r="A551" s="14" t="s">
        <v>20539</v>
      </c>
      <c r="B551" s="14" t="s">
        <v>20540</v>
      </c>
      <c r="C551" s="14" t="s">
        <v>16086</v>
      </c>
      <c r="D551" s="14">
        <v>1</v>
      </c>
      <c r="E551" s="14">
        <v>1239</v>
      </c>
      <c r="F551" s="14">
        <v>5</v>
      </c>
      <c r="G551" s="14">
        <v>15605</v>
      </c>
      <c r="H551" s="14">
        <v>0.338794529298923</v>
      </c>
      <c r="I551" s="14">
        <v>0.859033252699364</v>
      </c>
      <c r="J551" s="14">
        <v>2.51896690879742</v>
      </c>
      <c r="K551" s="14" t="s">
        <v>7001</v>
      </c>
    </row>
    <row r="552" spans="1:11">
      <c r="A552" s="14" t="s">
        <v>20541</v>
      </c>
      <c r="B552" s="14" t="s">
        <v>20542</v>
      </c>
      <c r="C552" s="14" t="s">
        <v>16086</v>
      </c>
      <c r="D552" s="14">
        <v>1</v>
      </c>
      <c r="E552" s="14">
        <v>1239</v>
      </c>
      <c r="F552" s="14">
        <v>5</v>
      </c>
      <c r="G552" s="14">
        <v>15605</v>
      </c>
      <c r="H552" s="14">
        <v>0.338794529298923</v>
      </c>
      <c r="I552" s="14">
        <v>0.859033252699364</v>
      </c>
      <c r="J552" s="14">
        <v>2.51896690879742</v>
      </c>
      <c r="K552" s="14" t="s">
        <v>4971</v>
      </c>
    </row>
    <row r="553" spans="1:11">
      <c r="A553" s="14" t="s">
        <v>16645</v>
      </c>
      <c r="B553" s="14" t="s">
        <v>16646</v>
      </c>
      <c r="C553" s="14" t="s">
        <v>16090</v>
      </c>
      <c r="D553" s="14">
        <v>1</v>
      </c>
      <c r="E553" s="14">
        <v>1239</v>
      </c>
      <c r="F553" s="14">
        <v>5</v>
      </c>
      <c r="G553" s="14">
        <v>15605</v>
      </c>
      <c r="H553" s="14">
        <v>0.338794529298923</v>
      </c>
      <c r="I553" s="14">
        <v>0.859033252699364</v>
      </c>
      <c r="J553" s="14">
        <v>2.51896690879742</v>
      </c>
      <c r="K553" s="14" t="s">
        <v>9339</v>
      </c>
    </row>
    <row r="554" spans="1:11">
      <c r="A554" s="14" t="s">
        <v>17602</v>
      </c>
      <c r="B554" s="14" t="s">
        <v>17603</v>
      </c>
      <c r="C554" s="14" t="s">
        <v>16090</v>
      </c>
      <c r="D554" s="14">
        <v>1</v>
      </c>
      <c r="E554" s="14">
        <v>1239</v>
      </c>
      <c r="F554" s="14">
        <v>5</v>
      </c>
      <c r="G554" s="14">
        <v>15605</v>
      </c>
      <c r="H554" s="14">
        <v>0.338794529298923</v>
      </c>
      <c r="I554" s="14">
        <v>0.859033252699364</v>
      </c>
      <c r="J554" s="14">
        <v>2.51896690879742</v>
      </c>
      <c r="K554" s="14" t="s">
        <v>672</v>
      </c>
    </row>
    <row r="555" spans="1:11">
      <c r="A555" s="14" t="s">
        <v>20543</v>
      </c>
      <c r="B555" s="14" t="s">
        <v>20544</v>
      </c>
      <c r="C555" s="14" t="s">
        <v>16090</v>
      </c>
      <c r="D555" s="14">
        <v>1</v>
      </c>
      <c r="E555" s="14">
        <v>1239</v>
      </c>
      <c r="F555" s="14">
        <v>5</v>
      </c>
      <c r="G555" s="14">
        <v>15605</v>
      </c>
      <c r="H555" s="14">
        <v>0.338794529298923</v>
      </c>
      <c r="I555" s="14">
        <v>0.859033252699364</v>
      </c>
      <c r="J555" s="14">
        <v>2.51896690879742</v>
      </c>
      <c r="K555" s="14" t="s">
        <v>6759</v>
      </c>
    </row>
    <row r="556" spans="1:11">
      <c r="A556" s="14" t="s">
        <v>20545</v>
      </c>
      <c r="B556" s="14" t="s">
        <v>20546</v>
      </c>
      <c r="C556" s="14" t="s">
        <v>16090</v>
      </c>
      <c r="D556" s="14">
        <v>1</v>
      </c>
      <c r="E556" s="14">
        <v>1239</v>
      </c>
      <c r="F556" s="14">
        <v>5</v>
      </c>
      <c r="G556" s="14">
        <v>15605</v>
      </c>
      <c r="H556" s="14">
        <v>0.338794529298923</v>
      </c>
      <c r="I556" s="14">
        <v>0.859033252699364</v>
      </c>
      <c r="J556" s="14">
        <v>2.51896690879742</v>
      </c>
      <c r="K556" s="14" t="s">
        <v>6075</v>
      </c>
    </row>
    <row r="557" spans="1:11">
      <c r="A557" s="14" t="s">
        <v>20547</v>
      </c>
      <c r="B557" s="14" t="s">
        <v>20548</v>
      </c>
      <c r="C557" s="14" t="s">
        <v>16090</v>
      </c>
      <c r="D557" s="14">
        <v>1</v>
      </c>
      <c r="E557" s="14">
        <v>1239</v>
      </c>
      <c r="F557" s="14">
        <v>5</v>
      </c>
      <c r="G557" s="14">
        <v>15605</v>
      </c>
      <c r="H557" s="14">
        <v>0.338794529298923</v>
      </c>
      <c r="I557" s="14">
        <v>0.859033252699364</v>
      </c>
      <c r="J557" s="14">
        <v>2.51896690879742</v>
      </c>
      <c r="K557" s="14" t="s">
        <v>9787</v>
      </c>
    </row>
    <row r="558" spans="1:11">
      <c r="A558" s="14" t="s">
        <v>20549</v>
      </c>
      <c r="B558" s="14" t="s">
        <v>20550</v>
      </c>
      <c r="C558" s="14" t="s">
        <v>16090</v>
      </c>
      <c r="D558" s="14">
        <v>1</v>
      </c>
      <c r="E558" s="14">
        <v>1239</v>
      </c>
      <c r="F558" s="14">
        <v>5</v>
      </c>
      <c r="G558" s="14">
        <v>15605</v>
      </c>
      <c r="H558" s="14">
        <v>0.338794529298923</v>
      </c>
      <c r="I558" s="14">
        <v>0.859033252699364</v>
      </c>
      <c r="J558" s="14">
        <v>2.51896690879742</v>
      </c>
      <c r="K558" s="14" t="s">
        <v>3592</v>
      </c>
    </row>
    <row r="559" spans="1:11">
      <c r="A559" s="14" t="s">
        <v>20551</v>
      </c>
      <c r="B559" s="14" t="s">
        <v>20552</v>
      </c>
      <c r="C559" s="14" t="s">
        <v>16090</v>
      </c>
      <c r="D559" s="14">
        <v>1</v>
      </c>
      <c r="E559" s="14">
        <v>1239</v>
      </c>
      <c r="F559" s="14">
        <v>5</v>
      </c>
      <c r="G559" s="14">
        <v>15605</v>
      </c>
      <c r="H559" s="14">
        <v>0.338794529298923</v>
      </c>
      <c r="I559" s="14">
        <v>0.859033252699364</v>
      </c>
      <c r="J559" s="14">
        <v>2.51896690879742</v>
      </c>
      <c r="K559" s="14" t="s">
        <v>12892</v>
      </c>
    </row>
    <row r="560" spans="1:11">
      <c r="A560" s="14" t="s">
        <v>20553</v>
      </c>
      <c r="B560" s="14" t="s">
        <v>20554</v>
      </c>
      <c r="C560" s="14" t="s">
        <v>16086</v>
      </c>
      <c r="D560" s="14">
        <v>1</v>
      </c>
      <c r="E560" s="14">
        <v>1239</v>
      </c>
      <c r="F560" s="14">
        <v>5</v>
      </c>
      <c r="G560" s="14">
        <v>15605</v>
      </c>
      <c r="H560" s="14">
        <v>0.338794529298923</v>
      </c>
      <c r="I560" s="14">
        <v>0.859033252699364</v>
      </c>
      <c r="J560" s="14">
        <v>2.51896690879742</v>
      </c>
      <c r="K560" s="14" t="s">
        <v>9339</v>
      </c>
    </row>
    <row r="561" spans="1:11">
      <c r="A561" s="14" t="s">
        <v>20555</v>
      </c>
      <c r="B561" s="14" t="s">
        <v>20556</v>
      </c>
      <c r="C561" s="14" t="s">
        <v>16090</v>
      </c>
      <c r="D561" s="14">
        <v>1</v>
      </c>
      <c r="E561" s="14">
        <v>1239</v>
      </c>
      <c r="F561" s="14">
        <v>5</v>
      </c>
      <c r="G561" s="14">
        <v>15605</v>
      </c>
      <c r="H561" s="14">
        <v>0.338794529298923</v>
      </c>
      <c r="I561" s="14">
        <v>0.859033252699364</v>
      </c>
      <c r="J561" s="14">
        <v>2.51896690879742</v>
      </c>
      <c r="K561" s="14" t="s">
        <v>1405</v>
      </c>
    </row>
    <row r="562" spans="1:11">
      <c r="A562" s="14" t="s">
        <v>18735</v>
      </c>
      <c r="B562" s="14" t="s">
        <v>18736</v>
      </c>
      <c r="C562" s="14" t="s">
        <v>16090</v>
      </c>
      <c r="D562" s="14">
        <v>3</v>
      </c>
      <c r="E562" s="14">
        <v>1239</v>
      </c>
      <c r="F562" s="14">
        <v>26</v>
      </c>
      <c r="G562" s="14">
        <v>15605</v>
      </c>
      <c r="H562" s="14">
        <v>0.341313867586489</v>
      </c>
      <c r="I562" s="14">
        <v>0.859033252699364</v>
      </c>
      <c r="J562" s="14">
        <v>1.45325013969082</v>
      </c>
      <c r="K562" s="14" t="s">
        <v>20557</v>
      </c>
    </row>
    <row r="563" spans="1:11">
      <c r="A563" s="14" t="s">
        <v>16416</v>
      </c>
      <c r="B563" s="14" t="s">
        <v>16417</v>
      </c>
      <c r="C563" s="14" t="s">
        <v>16086</v>
      </c>
      <c r="D563" s="14">
        <v>19</v>
      </c>
      <c r="E563" s="14">
        <v>1239</v>
      </c>
      <c r="F563" s="14">
        <v>215</v>
      </c>
      <c r="G563" s="14">
        <v>15605</v>
      </c>
      <c r="H563" s="14">
        <v>0.347161884795252</v>
      </c>
      <c r="I563" s="14">
        <v>0.859033252699364</v>
      </c>
      <c r="J563" s="14">
        <v>1.11303188993374</v>
      </c>
      <c r="K563" s="14" t="s">
        <v>20558</v>
      </c>
    </row>
    <row r="564" spans="1:11">
      <c r="A564" s="14" t="s">
        <v>19012</v>
      </c>
      <c r="B564" s="14" t="s">
        <v>19013</v>
      </c>
      <c r="C564" s="14" t="s">
        <v>16090</v>
      </c>
      <c r="D564" s="14">
        <v>6</v>
      </c>
      <c r="E564" s="14">
        <v>1239</v>
      </c>
      <c r="F564" s="14">
        <v>61</v>
      </c>
      <c r="G564" s="14">
        <v>15605</v>
      </c>
      <c r="H564" s="14">
        <v>0.355212224790222</v>
      </c>
      <c r="I564" s="14">
        <v>0.859033252699364</v>
      </c>
      <c r="J564" s="14">
        <v>1.23883618465447</v>
      </c>
      <c r="K564" s="14" t="s">
        <v>20371</v>
      </c>
    </row>
    <row r="565" spans="1:11">
      <c r="A565" s="14" t="s">
        <v>17893</v>
      </c>
      <c r="B565" s="14" t="s">
        <v>17894</v>
      </c>
      <c r="C565" s="14" t="s">
        <v>16086</v>
      </c>
      <c r="D565" s="14">
        <v>6</v>
      </c>
      <c r="E565" s="14">
        <v>1239</v>
      </c>
      <c r="F565" s="14">
        <v>61</v>
      </c>
      <c r="G565" s="14">
        <v>15605</v>
      </c>
      <c r="H565" s="14">
        <v>0.355212224790222</v>
      </c>
      <c r="I565" s="14">
        <v>0.859033252699364</v>
      </c>
      <c r="J565" s="14">
        <v>1.23883618465447</v>
      </c>
      <c r="K565" s="14" t="s">
        <v>20559</v>
      </c>
    </row>
    <row r="566" spans="1:11">
      <c r="A566" s="14" t="s">
        <v>17832</v>
      </c>
      <c r="B566" s="14" t="s">
        <v>17833</v>
      </c>
      <c r="C566" s="14" t="s">
        <v>16090</v>
      </c>
      <c r="D566" s="14">
        <v>4</v>
      </c>
      <c r="E566" s="14">
        <v>1239</v>
      </c>
      <c r="F566" s="14">
        <v>38</v>
      </c>
      <c r="G566" s="14">
        <v>15605</v>
      </c>
      <c r="H566" s="14">
        <v>0.356618391941443</v>
      </c>
      <c r="I566" s="14">
        <v>0.859033252699364</v>
      </c>
      <c r="J566" s="14">
        <v>1.3257720572618</v>
      </c>
      <c r="K566" s="14" t="s">
        <v>20560</v>
      </c>
    </row>
    <row r="567" spans="1:11">
      <c r="A567" s="14" t="s">
        <v>19191</v>
      </c>
      <c r="B567" s="14" t="s">
        <v>19192</v>
      </c>
      <c r="C567" s="14" t="s">
        <v>16090</v>
      </c>
      <c r="D567" s="14">
        <v>4</v>
      </c>
      <c r="E567" s="14">
        <v>1239</v>
      </c>
      <c r="F567" s="14">
        <v>38</v>
      </c>
      <c r="G567" s="14">
        <v>15605</v>
      </c>
      <c r="H567" s="14">
        <v>0.356618391941443</v>
      </c>
      <c r="I567" s="14">
        <v>0.859033252699364</v>
      </c>
      <c r="J567" s="14">
        <v>1.3257720572618</v>
      </c>
      <c r="K567" s="14" t="s">
        <v>20561</v>
      </c>
    </row>
    <row r="568" spans="1:11">
      <c r="A568" s="14" t="s">
        <v>17835</v>
      </c>
      <c r="B568" s="14" t="s">
        <v>17836</v>
      </c>
      <c r="C568" s="14" t="s">
        <v>16090</v>
      </c>
      <c r="D568" s="14">
        <v>4</v>
      </c>
      <c r="E568" s="14">
        <v>1239</v>
      </c>
      <c r="F568" s="14">
        <v>38</v>
      </c>
      <c r="G568" s="14">
        <v>15605</v>
      </c>
      <c r="H568" s="14">
        <v>0.356618391941443</v>
      </c>
      <c r="I568" s="14">
        <v>0.859033252699364</v>
      </c>
      <c r="J568" s="14">
        <v>1.3257720572618</v>
      </c>
      <c r="K568" s="14" t="s">
        <v>20562</v>
      </c>
    </row>
    <row r="569" spans="1:11">
      <c r="A569" s="14" t="s">
        <v>16571</v>
      </c>
      <c r="B569" s="14" t="s">
        <v>16572</v>
      </c>
      <c r="C569" s="14" t="s">
        <v>16090</v>
      </c>
      <c r="D569" s="14">
        <v>7</v>
      </c>
      <c r="E569" s="14">
        <v>1239</v>
      </c>
      <c r="F569" s="14">
        <v>73</v>
      </c>
      <c r="G569" s="14">
        <v>15605</v>
      </c>
      <c r="H569" s="14">
        <v>0.359388430549042</v>
      </c>
      <c r="I569" s="14">
        <v>0.859033252699364</v>
      </c>
      <c r="J569" s="14">
        <v>1.20772386038232</v>
      </c>
      <c r="K569" s="14" t="s">
        <v>20563</v>
      </c>
    </row>
    <row r="570" spans="1:11">
      <c r="A570" s="14" t="s">
        <v>17818</v>
      </c>
      <c r="B570" s="14" t="s">
        <v>17819</v>
      </c>
      <c r="C570" s="14" t="s">
        <v>16086</v>
      </c>
      <c r="D570" s="14">
        <v>3</v>
      </c>
      <c r="E570" s="14">
        <v>1239</v>
      </c>
      <c r="F570" s="14">
        <v>27</v>
      </c>
      <c r="G570" s="14">
        <v>15605</v>
      </c>
      <c r="H570" s="14">
        <v>0.363670666928145</v>
      </c>
      <c r="I570" s="14">
        <v>0.859033252699364</v>
      </c>
      <c r="J570" s="14">
        <v>1.39942606044301</v>
      </c>
      <c r="K570" s="14" t="s">
        <v>20564</v>
      </c>
    </row>
    <row r="571" spans="1:11">
      <c r="A571" s="14" t="s">
        <v>20565</v>
      </c>
      <c r="B571" s="14" t="s">
        <v>20566</v>
      </c>
      <c r="C571" s="14" t="s">
        <v>16090</v>
      </c>
      <c r="D571" s="14">
        <v>3</v>
      </c>
      <c r="E571" s="14">
        <v>1239</v>
      </c>
      <c r="F571" s="14">
        <v>27</v>
      </c>
      <c r="G571" s="14">
        <v>15605</v>
      </c>
      <c r="H571" s="14">
        <v>0.363670666928145</v>
      </c>
      <c r="I571" s="14">
        <v>0.859033252699364</v>
      </c>
      <c r="J571" s="14">
        <v>1.39942606044301</v>
      </c>
      <c r="K571" s="14" t="s">
        <v>20567</v>
      </c>
    </row>
    <row r="572" spans="1:11">
      <c r="A572" s="14" t="s">
        <v>17827</v>
      </c>
      <c r="B572" s="14" t="s">
        <v>17828</v>
      </c>
      <c r="C572" s="14" t="s">
        <v>16090</v>
      </c>
      <c r="D572" s="14">
        <v>3</v>
      </c>
      <c r="E572" s="14">
        <v>1239</v>
      </c>
      <c r="F572" s="14">
        <v>27</v>
      </c>
      <c r="G572" s="14">
        <v>15605</v>
      </c>
      <c r="H572" s="14">
        <v>0.363670666928145</v>
      </c>
      <c r="I572" s="14">
        <v>0.859033252699364</v>
      </c>
      <c r="J572" s="14">
        <v>1.39942606044301</v>
      </c>
      <c r="K572" s="14" t="s">
        <v>20568</v>
      </c>
    </row>
    <row r="573" spans="1:11">
      <c r="A573" s="14" t="s">
        <v>18806</v>
      </c>
      <c r="B573" s="14" t="s">
        <v>18807</v>
      </c>
      <c r="C573" s="14" t="s">
        <v>16090</v>
      </c>
      <c r="D573" s="14">
        <v>3</v>
      </c>
      <c r="E573" s="14">
        <v>1239</v>
      </c>
      <c r="F573" s="14">
        <v>27</v>
      </c>
      <c r="G573" s="14">
        <v>15605</v>
      </c>
      <c r="H573" s="14">
        <v>0.363670666928145</v>
      </c>
      <c r="I573" s="14">
        <v>0.859033252699364</v>
      </c>
      <c r="J573" s="14">
        <v>1.39942606044301</v>
      </c>
      <c r="K573" s="14" t="s">
        <v>20569</v>
      </c>
    </row>
    <row r="574" spans="1:11">
      <c r="A574" s="14" t="s">
        <v>17421</v>
      </c>
      <c r="B574" s="14" t="s">
        <v>17422</v>
      </c>
      <c r="C574" s="14" t="s">
        <v>16086</v>
      </c>
      <c r="D574" s="14">
        <v>9</v>
      </c>
      <c r="E574" s="14">
        <v>1239</v>
      </c>
      <c r="F574" s="14">
        <v>97</v>
      </c>
      <c r="G574" s="14">
        <v>15605</v>
      </c>
      <c r="H574" s="14">
        <v>0.363872219136152</v>
      </c>
      <c r="I574" s="14">
        <v>0.859033252699364</v>
      </c>
      <c r="J574" s="14">
        <v>1.16859289583385</v>
      </c>
      <c r="K574" s="14" t="s">
        <v>20570</v>
      </c>
    </row>
    <row r="575" spans="1:11">
      <c r="A575" s="14" t="s">
        <v>17671</v>
      </c>
      <c r="B575" s="14" t="s">
        <v>17672</v>
      </c>
      <c r="C575" s="14" t="s">
        <v>16086</v>
      </c>
      <c r="D575" s="14">
        <v>2</v>
      </c>
      <c r="E575" s="14">
        <v>1239</v>
      </c>
      <c r="F575" s="14">
        <v>16</v>
      </c>
      <c r="G575" s="14">
        <v>15605</v>
      </c>
      <c r="H575" s="14">
        <v>0.366580315593</v>
      </c>
      <c r="I575" s="14">
        <v>0.859033252699364</v>
      </c>
      <c r="J575" s="14">
        <v>1.57435431799839</v>
      </c>
      <c r="K575" s="14" t="s">
        <v>20059</v>
      </c>
    </row>
    <row r="576" spans="1:11">
      <c r="A576" s="14" t="s">
        <v>20571</v>
      </c>
      <c r="B576" s="14" t="s">
        <v>20572</v>
      </c>
      <c r="C576" s="14" t="s">
        <v>16090</v>
      </c>
      <c r="D576" s="14">
        <v>2</v>
      </c>
      <c r="E576" s="14">
        <v>1239</v>
      </c>
      <c r="F576" s="14">
        <v>16</v>
      </c>
      <c r="G576" s="14">
        <v>15605</v>
      </c>
      <c r="H576" s="14">
        <v>0.366580315593</v>
      </c>
      <c r="I576" s="14">
        <v>0.859033252699364</v>
      </c>
      <c r="J576" s="14">
        <v>1.57435431799839</v>
      </c>
      <c r="K576" s="14" t="s">
        <v>20573</v>
      </c>
    </row>
    <row r="577" spans="1:11">
      <c r="A577" s="14" t="s">
        <v>18937</v>
      </c>
      <c r="B577" s="14" t="s">
        <v>18938</v>
      </c>
      <c r="C577" s="14" t="s">
        <v>16090</v>
      </c>
      <c r="D577" s="14">
        <v>2</v>
      </c>
      <c r="E577" s="14">
        <v>1239</v>
      </c>
      <c r="F577" s="14">
        <v>16</v>
      </c>
      <c r="G577" s="14">
        <v>15605</v>
      </c>
      <c r="H577" s="14">
        <v>0.366580315593</v>
      </c>
      <c r="I577" s="14">
        <v>0.859033252699364</v>
      </c>
      <c r="J577" s="14">
        <v>1.57435431799839</v>
      </c>
      <c r="K577" s="14" t="s">
        <v>19960</v>
      </c>
    </row>
    <row r="578" spans="1:11">
      <c r="A578" s="14" t="s">
        <v>17679</v>
      </c>
      <c r="B578" s="14" t="s">
        <v>17680</v>
      </c>
      <c r="C578" s="14" t="s">
        <v>16090</v>
      </c>
      <c r="D578" s="14">
        <v>2</v>
      </c>
      <c r="E578" s="14">
        <v>1239</v>
      </c>
      <c r="F578" s="14">
        <v>16</v>
      </c>
      <c r="G578" s="14">
        <v>15605</v>
      </c>
      <c r="H578" s="14">
        <v>0.366580315593</v>
      </c>
      <c r="I578" s="14">
        <v>0.859033252699364</v>
      </c>
      <c r="J578" s="14">
        <v>1.57435431799839</v>
      </c>
      <c r="K578" s="14" t="s">
        <v>20574</v>
      </c>
    </row>
    <row r="579" spans="1:11">
      <c r="A579" s="14" t="s">
        <v>20575</v>
      </c>
      <c r="B579" s="14" t="s">
        <v>20576</v>
      </c>
      <c r="C579" s="14" t="s">
        <v>16086</v>
      </c>
      <c r="D579" s="14">
        <v>2</v>
      </c>
      <c r="E579" s="14">
        <v>1239</v>
      </c>
      <c r="F579" s="14">
        <v>16</v>
      </c>
      <c r="G579" s="14">
        <v>15605</v>
      </c>
      <c r="H579" s="14">
        <v>0.366580315593</v>
      </c>
      <c r="I579" s="14">
        <v>0.859033252699364</v>
      </c>
      <c r="J579" s="14">
        <v>1.57435431799839</v>
      </c>
      <c r="K579" s="14" t="s">
        <v>20577</v>
      </c>
    </row>
    <row r="580" spans="1:11">
      <c r="A580" s="14" t="s">
        <v>20578</v>
      </c>
      <c r="B580" s="14" t="s">
        <v>20579</v>
      </c>
      <c r="C580" s="14" t="s">
        <v>16086</v>
      </c>
      <c r="D580" s="14">
        <v>2</v>
      </c>
      <c r="E580" s="14">
        <v>1239</v>
      </c>
      <c r="F580" s="14">
        <v>16</v>
      </c>
      <c r="G580" s="14">
        <v>15605</v>
      </c>
      <c r="H580" s="14">
        <v>0.366580315593</v>
      </c>
      <c r="I580" s="14">
        <v>0.859033252699364</v>
      </c>
      <c r="J580" s="14">
        <v>1.57435431799839</v>
      </c>
      <c r="K580" s="14" t="s">
        <v>20055</v>
      </c>
    </row>
    <row r="581" spans="1:11">
      <c r="A581" s="14" t="s">
        <v>17684</v>
      </c>
      <c r="B581" s="14" t="s">
        <v>17685</v>
      </c>
      <c r="C581" s="14" t="s">
        <v>16090</v>
      </c>
      <c r="D581" s="14">
        <v>2</v>
      </c>
      <c r="E581" s="14">
        <v>1239</v>
      </c>
      <c r="F581" s="14">
        <v>16</v>
      </c>
      <c r="G581" s="14">
        <v>15605</v>
      </c>
      <c r="H581" s="14">
        <v>0.366580315593</v>
      </c>
      <c r="I581" s="14">
        <v>0.859033252699364</v>
      </c>
      <c r="J581" s="14">
        <v>1.57435431799839</v>
      </c>
      <c r="K581" s="14" t="s">
        <v>20580</v>
      </c>
    </row>
    <row r="582" spans="1:11">
      <c r="A582" s="14" t="s">
        <v>17004</v>
      </c>
      <c r="B582" s="14" t="s">
        <v>17005</v>
      </c>
      <c r="C582" s="14" t="s">
        <v>16090</v>
      </c>
      <c r="D582" s="14">
        <v>2</v>
      </c>
      <c r="E582" s="14">
        <v>1239</v>
      </c>
      <c r="F582" s="14">
        <v>16</v>
      </c>
      <c r="G582" s="14">
        <v>15605</v>
      </c>
      <c r="H582" s="14">
        <v>0.366580315593</v>
      </c>
      <c r="I582" s="14">
        <v>0.859033252699364</v>
      </c>
      <c r="J582" s="14">
        <v>1.57435431799839</v>
      </c>
      <c r="K582" s="14" t="s">
        <v>20282</v>
      </c>
    </row>
    <row r="583" spans="1:11">
      <c r="A583" s="14" t="s">
        <v>17631</v>
      </c>
      <c r="B583" s="14" t="s">
        <v>17632</v>
      </c>
      <c r="C583" s="14" t="s">
        <v>16096</v>
      </c>
      <c r="D583" s="14">
        <v>29</v>
      </c>
      <c r="E583" s="14">
        <v>1239</v>
      </c>
      <c r="F583" s="14">
        <v>341</v>
      </c>
      <c r="G583" s="14">
        <v>15605</v>
      </c>
      <c r="H583" s="14">
        <v>0.376968023849263</v>
      </c>
      <c r="I583" s="14">
        <v>0.859033252699364</v>
      </c>
      <c r="J583" s="14">
        <v>1.07111496121884</v>
      </c>
      <c r="K583" s="14" t="s">
        <v>20581</v>
      </c>
    </row>
    <row r="584" spans="1:11">
      <c r="A584" s="14" t="s">
        <v>20582</v>
      </c>
      <c r="B584" s="14" t="s">
        <v>20583</v>
      </c>
      <c r="C584" s="14" t="s">
        <v>16090</v>
      </c>
      <c r="D584" s="14">
        <v>3</v>
      </c>
      <c r="E584" s="14">
        <v>1239</v>
      </c>
      <c r="F584" s="14">
        <v>28</v>
      </c>
      <c r="G584" s="14">
        <v>15605</v>
      </c>
      <c r="H584" s="14">
        <v>0.385900254388068</v>
      </c>
      <c r="I584" s="14">
        <v>0.859033252699364</v>
      </c>
      <c r="J584" s="14">
        <v>1.34944655828433</v>
      </c>
      <c r="K584" s="14" t="s">
        <v>20584</v>
      </c>
    </row>
    <row r="585" spans="1:11">
      <c r="A585" s="14" t="s">
        <v>20585</v>
      </c>
      <c r="B585" s="14" t="s">
        <v>20586</v>
      </c>
      <c r="C585" s="14" t="s">
        <v>16096</v>
      </c>
      <c r="D585" s="14">
        <v>1</v>
      </c>
      <c r="E585" s="14">
        <v>1239</v>
      </c>
      <c r="F585" s="14">
        <v>6</v>
      </c>
      <c r="G585" s="14">
        <v>15605</v>
      </c>
      <c r="H585" s="14">
        <v>0.391309502260374</v>
      </c>
      <c r="I585" s="14">
        <v>0.859033252699364</v>
      </c>
      <c r="J585" s="14">
        <v>2.09913909066451</v>
      </c>
      <c r="K585" s="14" t="s">
        <v>6559</v>
      </c>
    </row>
    <row r="586" spans="1:11">
      <c r="A586" s="14" t="s">
        <v>17696</v>
      </c>
      <c r="B586" s="14" t="s">
        <v>17697</v>
      </c>
      <c r="C586" s="14" t="s">
        <v>16086</v>
      </c>
      <c r="D586" s="14">
        <v>1</v>
      </c>
      <c r="E586" s="14">
        <v>1239</v>
      </c>
      <c r="F586" s="14">
        <v>6</v>
      </c>
      <c r="G586" s="14">
        <v>15605</v>
      </c>
      <c r="H586" s="14">
        <v>0.391309502260374</v>
      </c>
      <c r="I586" s="14">
        <v>0.859033252699364</v>
      </c>
      <c r="J586" s="14">
        <v>2.09913909066451</v>
      </c>
      <c r="K586" s="14" t="s">
        <v>7336</v>
      </c>
    </row>
    <row r="587" spans="1:11">
      <c r="A587" s="14" t="s">
        <v>20587</v>
      </c>
      <c r="B587" s="14" t="s">
        <v>20588</v>
      </c>
      <c r="C587" s="14" t="s">
        <v>16090</v>
      </c>
      <c r="D587" s="14">
        <v>1</v>
      </c>
      <c r="E587" s="14">
        <v>1239</v>
      </c>
      <c r="F587" s="14">
        <v>6</v>
      </c>
      <c r="G587" s="14">
        <v>15605</v>
      </c>
      <c r="H587" s="14">
        <v>0.391309502260374</v>
      </c>
      <c r="I587" s="14">
        <v>0.859033252699364</v>
      </c>
      <c r="J587" s="14">
        <v>2.09913909066451</v>
      </c>
      <c r="K587" s="14" t="s">
        <v>10350</v>
      </c>
    </row>
    <row r="588" spans="1:11">
      <c r="A588" s="14" t="s">
        <v>20589</v>
      </c>
      <c r="B588" s="14" t="s">
        <v>20590</v>
      </c>
      <c r="C588" s="14" t="s">
        <v>16086</v>
      </c>
      <c r="D588" s="14">
        <v>1</v>
      </c>
      <c r="E588" s="14">
        <v>1239</v>
      </c>
      <c r="F588" s="14">
        <v>6</v>
      </c>
      <c r="G588" s="14">
        <v>15605</v>
      </c>
      <c r="H588" s="14">
        <v>0.391309502260374</v>
      </c>
      <c r="I588" s="14">
        <v>0.859033252699364</v>
      </c>
      <c r="J588" s="14">
        <v>2.09913909066451</v>
      </c>
      <c r="K588" s="14" t="s">
        <v>12129</v>
      </c>
    </row>
    <row r="589" spans="1:11">
      <c r="A589" s="14" t="s">
        <v>20591</v>
      </c>
      <c r="B589" s="14" t="s">
        <v>20592</v>
      </c>
      <c r="C589" s="14" t="s">
        <v>16086</v>
      </c>
      <c r="D589" s="14">
        <v>1</v>
      </c>
      <c r="E589" s="14">
        <v>1239</v>
      </c>
      <c r="F589" s="14">
        <v>6</v>
      </c>
      <c r="G589" s="14">
        <v>15605</v>
      </c>
      <c r="H589" s="14">
        <v>0.391309502260374</v>
      </c>
      <c r="I589" s="14">
        <v>0.859033252699364</v>
      </c>
      <c r="J589" s="14">
        <v>2.09913909066451</v>
      </c>
      <c r="K589" s="14" t="s">
        <v>679</v>
      </c>
    </row>
    <row r="590" spans="1:11">
      <c r="A590" s="14" t="s">
        <v>20593</v>
      </c>
      <c r="B590" s="14" t="s">
        <v>20594</v>
      </c>
      <c r="C590" s="14" t="s">
        <v>16086</v>
      </c>
      <c r="D590" s="14">
        <v>1</v>
      </c>
      <c r="E590" s="14">
        <v>1239</v>
      </c>
      <c r="F590" s="14">
        <v>6</v>
      </c>
      <c r="G590" s="14">
        <v>15605</v>
      </c>
      <c r="H590" s="14">
        <v>0.391309502260374</v>
      </c>
      <c r="I590" s="14">
        <v>0.859033252699364</v>
      </c>
      <c r="J590" s="14">
        <v>2.09913909066451</v>
      </c>
      <c r="K590" s="14" t="s">
        <v>8583</v>
      </c>
    </row>
    <row r="591" spans="1:11">
      <c r="A591" s="14" t="s">
        <v>20595</v>
      </c>
      <c r="B591" s="14" t="s">
        <v>20596</v>
      </c>
      <c r="C591" s="14" t="s">
        <v>16086</v>
      </c>
      <c r="D591" s="14">
        <v>1</v>
      </c>
      <c r="E591" s="14">
        <v>1239</v>
      </c>
      <c r="F591" s="14">
        <v>6</v>
      </c>
      <c r="G591" s="14">
        <v>15605</v>
      </c>
      <c r="H591" s="14">
        <v>0.391309502260374</v>
      </c>
      <c r="I591" s="14">
        <v>0.859033252699364</v>
      </c>
      <c r="J591" s="14">
        <v>2.09913909066451</v>
      </c>
      <c r="K591" s="14" t="s">
        <v>14017</v>
      </c>
    </row>
    <row r="592" spans="1:11">
      <c r="A592" s="14" t="s">
        <v>20597</v>
      </c>
      <c r="B592" s="14" t="s">
        <v>20598</v>
      </c>
      <c r="C592" s="14" t="s">
        <v>16086</v>
      </c>
      <c r="D592" s="14">
        <v>1</v>
      </c>
      <c r="E592" s="14">
        <v>1239</v>
      </c>
      <c r="F592" s="14">
        <v>6</v>
      </c>
      <c r="G592" s="14">
        <v>15605</v>
      </c>
      <c r="H592" s="14">
        <v>0.391309502260374</v>
      </c>
      <c r="I592" s="14">
        <v>0.859033252699364</v>
      </c>
      <c r="J592" s="14">
        <v>2.09913909066451</v>
      </c>
      <c r="K592" s="14" t="s">
        <v>1405</v>
      </c>
    </row>
    <row r="593" spans="1:11">
      <c r="A593" s="14" t="s">
        <v>20599</v>
      </c>
      <c r="B593" s="14" t="s">
        <v>20600</v>
      </c>
      <c r="C593" s="14" t="s">
        <v>16086</v>
      </c>
      <c r="D593" s="14">
        <v>1</v>
      </c>
      <c r="E593" s="14">
        <v>1239</v>
      </c>
      <c r="F593" s="14">
        <v>6</v>
      </c>
      <c r="G593" s="14">
        <v>15605</v>
      </c>
      <c r="H593" s="14">
        <v>0.391309502260374</v>
      </c>
      <c r="I593" s="14">
        <v>0.859033252699364</v>
      </c>
      <c r="J593" s="14">
        <v>2.09913909066451</v>
      </c>
      <c r="K593" s="14" t="s">
        <v>4424</v>
      </c>
    </row>
    <row r="594" spans="1:11">
      <c r="A594" s="14" t="s">
        <v>17706</v>
      </c>
      <c r="B594" s="14" t="s">
        <v>17707</v>
      </c>
      <c r="C594" s="14" t="s">
        <v>16086</v>
      </c>
      <c r="D594" s="14">
        <v>1</v>
      </c>
      <c r="E594" s="14">
        <v>1239</v>
      </c>
      <c r="F594" s="14">
        <v>6</v>
      </c>
      <c r="G594" s="14">
        <v>15605</v>
      </c>
      <c r="H594" s="14">
        <v>0.391309502260374</v>
      </c>
      <c r="I594" s="14">
        <v>0.859033252699364</v>
      </c>
      <c r="J594" s="14">
        <v>2.09913909066451</v>
      </c>
      <c r="K594" s="14" t="s">
        <v>4971</v>
      </c>
    </row>
    <row r="595" spans="1:11">
      <c r="A595" s="14" t="s">
        <v>20601</v>
      </c>
      <c r="B595" s="14" t="s">
        <v>20602</v>
      </c>
      <c r="C595" s="14" t="s">
        <v>16096</v>
      </c>
      <c r="D595" s="14">
        <v>1</v>
      </c>
      <c r="E595" s="14">
        <v>1239</v>
      </c>
      <c r="F595" s="14">
        <v>6</v>
      </c>
      <c r="G595" s="14">
        <v>15605</v>
      </c>
      <c r="H595" s="14">
        <v>0.391309502260374</v>
      </c>
      <c r="I595" s="14">
        <v>0.859033252699364</v>
      </c>
      <c r="J595" s="14">
        <v>2.09913909066451</v>
      </c>
      <c r="K595" s="14" t="s">
        <v>15116</v>
      </c>
    </row>
    <row r="596" spans="1:11">
      <c r="A596" s="14" t="s">
        <v>20603</v>
      </c>
      <c r="B596" s="14" t="s">
        <v>20604</v>
      </c>
      <c r="C596" s="14" t="s">
        <v>16090</v>
      </c>
      <c r="D596" s="14">
        <v>1</v>
      </c>
      <c r="E596" s="14">
        <v>1239</v>
      </c>
      <c r="F596" s="14">
        <v>6</v>
      </c>
      <c r="G596" s="14">
        <v>15605</v>
      </c>
      <c r="H596" s="14">
        <v>0.391309502260374</v>
      </c>
      <c r="I596" s="14">
        <v>0.859033252699364</v>
      </c>
      <c r="J596" s="14">
        <v>2.09913909066451</v>
      </c>
      <c r="K596" s="14" t="s">
        <v>10105</v>
      </c>
    </row>
    <row r="597" spans="1:11">
      <c r="A597" s="14" t="s">
        <v>20605</v>
      </c>
      <c r="B597" s="14" t="s">
        <v>20606</v>
      </c>
      <c r="C597" s="14" t="s">
        <v>16090</v>
      </c>
      <c r="D597" s="14">
        <v>1</v>
      </c>
      <c r="E597" s="14">
        <v>1239</v>
      </c>
      <c r="F597" s="14">
        <v>6</v>
      </c>
      <c r="G597" s="14">
        <v>15605</v>
      </c>
      <c r="H597" s="14">
        <v>0.391309502260374</v>
      </c>
      <c r="I597" s="14">
        <v>0.859033252699364</v>
      </c>
      <c r="J597" s="14">
        <v>2.09913909066451</v>
      </c>
      <c r="K597" s="14" t="s">
        <v>1370</v>
      </c>
    </row>
    <row r="598" spans="1:11">
      <c r="A598" s="14" t="s">
        <v>20607</v>
      </c>
      <c r="B598" s="14" t="s">
        <v>20608</v>
      </c>
      <c r="C598" s="14" t="s">
        <v>16086</v>
      </c>
      <c r="D598" s="14">
        <v>1</v>
      </c>
      <c r="E598" s="14">
        <v>1239</v>
      </c>
      <c r="F598" s="14">
        <v>6</v>
      </c>
      <c r="G598" s="14">
        <v>15605</v>
      </c>
      <c r="H598" s="14">
        <v>0.391309502260374</v>
      </c>
      <c r="I598" s="14">
        <v>0.859033252699364</v>
      </c>
      <c r="J598" s="14">
        <v>2.09913909066451</v>
      </c>
      <c r="K598" s="14" t="s">
        <v>14003</v>
      </c>
    </row>
    <row r="599" spans="1:11">
      <c r="A599" s="14" t="s">
        <v>20609</v>
      </c>
      <c r="B599" s="14" t="s">
        <v>20610</v>
      </c>
      <c r="C599" s="14" t="s">
        <v>16090</v>
      </c>
      <c r="D599" s="14">
        <v>1</v>
      </c>
      <c r="E599" s="14">
        <v>1239</v>
      </c>
      <c r="F599" s="14">
        <v>6</v>
      </c>
      <c r="G599" s="14">
        <v>15605</v>
      </c>
      <c r="H599" s="14">
        <v>0.391309502260374</v>
      </c>
      <c r="I599" s="14">
        <v>0.859033252699364</v>
      </c>
      <c r="J599" s="14">
        <v>2.09913909066451</v>
      </c>
      <c r="K599" s="14" t="s">
        <v>15282</v>
      </c>
    </row>
    <row r="600" spans="1:11">
      <c r="A600" s="14" t="s">
        <v>20611</v>
      </c>
      <c r="B600" s="14" t="s">
        <v>20612</v>
      </c>
      <c r="C600" s="14" t="s">
        <v>16090</v>
      </c>
      <c r="D600" s="14">
        <v>1</v>
      </c>
      <c r="E600" s="14">
        <v>1239</v>
      </c>
      <c r="F600" s="14">
        <v>6</v>
      </c>
      <c r="G600" s="14">
        <v>15605</v>
      </c>
      <c r="H600" s="14">
        <v>0.391309502260374</v>
      </c>
      <c r="I600" s="14">
        <v>0.859033252699364</v>
      </c>
      <c r="J600" s="14">
        <v>2.09913909066451</v>
      </c>
      <c r="K600" s="14" t="s">
        <v>4588</v>
      </c>
    </row>
    <row r="601" spans="1:11">
      <c r="A601" s="14" t="s">
        <v>20613</v>
      </c>
      <c r="B601" s="14" t="s">
        <v>20614</v>
      </c>
      <c r="C601" s="14" t="s">
        <v>16090</v>
      </c>
      <c r="D601" s="14">
        <v>1</v>
      </c>
      <c r="E601" s="14">
        <v>1239</v>
      </c>
      <c r="F601" s="14">
        <v>6</v>
      </c>
      <c r="G601" s="14">
        <v>15605</v>
      </c>
      <c r="H601" s="14">
        <v>0.391309502260374</v>
      </c>
      <c r="I601" s="14">
        <v>0.859033252699364</v>
      </c>
      <c r="J601" s="14">
        <v>2.09913909066451</v>
      </c>
      <c r="K601" s="14" t="s">
        <v>6212</v>
      </c>
    </row>
    <row r="602" spans="1:11">
      <c r="A602" s="14" t="s">
        <v>20615</v>
      </c>
      <c r="B602" s="14" t="s">
        <v>20616</v>
      </c>
      <c r="C602" s="14" t="s">
        <v>16090</v>
      </c>
      <c r="D602" s="14">
        <v>1</v>
      </c>
      <c r="E602" s="14">
        <v>1239</v>
      </c>
      <c r="F602" s="14">
        <v>6</v>
      </c>
      <c r="G602" s="14">
        <v>15605</v>
      </c>
      <c r="H602" s="14">
        <v>0.391309502260374</v>
      </c>
      <c r="I602" s="14">
        <v>0.859033252699364</v>
      </c>
      <c r="J602" s="14">
        <v>2.09913909066451</v>
      </c>
      <c r="K602" s="14" t="s">
        <v>8997</v>
      </c>
    </row>
    <row r="603" spans="1:11">
      <c r="A603" s="14" t="s">
        <v>20617</v>
      </c>
      <c r="B603" s="14" t="s">
        <v>20618</v>
      </c>
      <c r="C603" s="14" t="s">
        <v>16090</v>
      </c>
      <c r="D603" s="14">
        <v>1</v>
      </c>
      <c r="E603" s="14">
        <v>1239</v>
      </c>
      <c r="F603" s="14">
        <v>6</v>
      </c>
      <c r="G603" s="14">
        <v>15605</v>
      </c>
      <c r="H603" s="14">
        <v>0.391309502260374</v>
      </c>
      <c r="I603" s="14">
        <v>0.859033252699364</v>
      </c>
      <c r="J603" s="14">
        <v>2.09913909066451</v>
      </c>
      <c r="K603" s="14" t="s">
        <v>7415</v>
      </c>
    </row>
    <row r="604" spans="1:11">
      <c r="A604" s="14" t="s">
        <v>20619</v>
      </c>
      <c r="B604" s="14" t="s">
        <v>20620</v>
      </c>
      <c r="C604" s="14" t="s">
        <v>16096</v>
      </c>
      <c r="D604" s="14">
        <v>1</v>
      </c>
      <c r="E604" s="14">
        <v>1239</v>
      </c>
      <c r="F604" s="14">
        <v>6</v>
      </c>
      <c r="G604" s="14">
        <v>15605</v>
      </c>
      <c r="H604" s="14">
        <v>0.391309502260374</v>
      </c>
      <c r="I604" s="14">
        <v>0.859033252699364</v>
      </c>
      <c r="J604" s="14">
        <v>2.09913909066451</v>
      </c>
      <c r="K604" s="14" t="s">
        <v>8771</v>
      </c>
    </row>
    <row r="605" spans="1:11">
      <c r="A605" s="14" t="s">
        <v>16178</v>
      </c>
      <c r="B605" s="14" t="s">
        <v>16179</v>
      </c>
      <c r="C605" s="14" t="s">
        <v>16090</v>
      </c>
      <c r="D605" s="14">
        <v>1</v>
      </c>
      <c r="E605" s="14">
        <v>1239</v>
      </c>
      <c r="F605" s="14">
        <v>6</v>
      </c>
      <c r="G605" s="14">
        <v>15605</v>
      </c>
      <c r="H605" s="14">
        <v>0.391309502260374</v>
      </c>
      <c r="I605" s="14">
        <v>0.859033252699364</v>
      </c>
      <c r="J605" s="14">
        <v>2.09913909066451</v>
      </c>
      <c r="K605" s="14" t="s">
        <v>4207</v>
      </c>
    </row>
    <row r="606" spans="1:11">
      <c r="A606" s="14" t="s">
        <v>20621</v>
      </c>
      <c r="B606" s="14" t="s">
        <v>20622</v>
      </c>
      <c r="C606" s="14" t="s">
        <v>16090</v>
      </c>
      <c r="D606" s="14">
        <v>1</v>
      </c>
      <c r="E606" s="14">
        <v>1239</v>
      </c>
      <c r="F606" s="14">
        <v>6</v>
      </c>
      <c r="G606" s="14">
        <v>15605</v>
      </c>
      <c r="H606" s="14">
        <v>0.391309502260374</v>
      </c>
      <c r="I606" s="14">
        <v>0.859033252699364</v>
      </c>
      <c r="J606" s="14">
        <v>2.09913909066451</v>
      </c>
      <c r="K606" s="14" t="s">
        <v>8255</v>
      </c>
    </row>
    <row r="607" spans="1:11">
      <c r="A607" s="14" t="s">
        <v>17732</v>
      </c>
      <c r="B607" s="14" t="s">
        <v>17733</v>
      </c>
      <c r="C607" s="14" t="s">
        <v>16096</v>
      </c>
      <c r="D607" s="14">
        <v>1</v>
      </c>
      <c r="E607" s="14">
        <v>1239</v>
      </c>
      <c r="F607" s="14">
        <v>6</v>
      </c>
      <c r="G607" s="14">
        <v>15605</v>
      </c>
      <c r="H607" s="14">
        <v>0.391309502260374</v>
      </c>
      <c r="I607" s="14">
        <v>0.859033252699364</v>
      </c>
      <c r="J607" s="14">
        <v>2.09913909066451</v>
      </c>
      <c r="K607" s="14" t="s">
        <v>9279</v>
      </c>
    </row>
    <row r="608" spans="1:11">
      <c r="A608" s="14" t="s">
        <v>20623</v>
      </c>
      <c r="B608" s="14" t="s">
        <v>20624</v>
      </c>
      <c r="C608" s="14" t="s">
        <v>16090</v>
      </c>
      <c r="D608" s="14">
        <v>1</v>
      </c>
      <c r="E608" s="14">
        <v>1239</v>
      </c>
      <c r="F608" s="14">
        <v>6</v>
      </c>
      <c r="G608" s="14">
        <v>15605</v>
      </c>
      <c r="H608" s="14">
        <v>0.391309502260374</v>
      </c>
      <c r="I608" s="14">
        <v>0.859033252699364</v>
      </c>
      <c r="J608" s="14">
        <v>2.09913909066451</v>
      </c>
      <c r="K608" s="14" t="s">
        <v>15799</v>
      </c>
    </row>
    <row r="609" spans="1:11">
      <c r="A609" s="14" t="s">
        <v>20625</v>
      </c>
      <c r="B609" s="14" t="s">
        <v>20626</v>
      </c>
      <c r="C609" s="14" t="s">
        <v>16090</v>
      </c>
      <c r="D609" s="14">
        <v>1</v>
      </c>
      <c r="E609" s="14">
        <v>1239</v>
      </c>
      <c r="F609" s="14">
        <v>6</v>
      </c>
      <c r="G609" s="14">
        <v>15605</v>
      </c>
      <c r="H609" s="14">
        <v>0.391309502260374</v>
      </c>
      <c r="I609" s="14">
        <v>0.859033252699364</v>
      </c>
      <c r="J609" s="14">
        <v>2.09913909066451</v>
      </c>
      <c r="K609" s="14" t="s">
        <v>9787</v>
      </c>
    </row>
    <row r="610" spans="1:11">
      <c r="A610" s="14" t="s">
        <v>20627</v>
      </c>
      <c r="B610" s="14" t="s">
        <v>20628</v>
      </c>
      <c r="C610" s="14" t="s">
        <v>16090</v>
      </c>
      <c r="D610" s="14">
        <v>1</v>
      </c>
      <c r="E610" s="14">
        <v>1239</v>
      </c>
      <c r="F610" s="14">
        <v>6</v>
      </c>
      <c r="G610" s="14">
        <v>15605</v>
      </c>
      <c r="H610" s="14">
        <v>0.391309502260374</v>
      </c>
      <c r="I610" s="14">
        <v>0.859033252699364</v>
      </c>
      <c r="J610" s="14">
        <v>2.09913909066451</v>
      </c>
      <c r="K610" s="14" t="s">
        <v>9745</v>
      </c>
    </row>
    <row r="611" spans="1:11">
      <c r="A611" s="14" t="s">
        <v>20629</v>
      </c>
      <c r="B611" s="14" t="s">
        <v>20630</v>
      </c>
      <c r="C611" s="14" t="s">
        <v>16096</v>
      </c>
      <c r="D611" s="14">
        <v>1</v>
      </c>
      <c r="E611" s="14">
        <v>1239</v>
      </c>
      <c r="F611" s="14">
        <v>6</v>
      </c>
      <c r="G611" s="14">
        <v>15605</v>
      </c>
      <c r="H611" s="14">
        <v>0.391309502260374</v>
      </c>
      <c r="I611" s="14">
        <v>0.859033252699364</v>
      </c>
      <c r="J611" s="14">
        <v>2.09913909066451</v>
      </c>
      <c r="K611" s="14" t="s">
        <v>4828</v>
      </c>
    </row>
    <row r="612" spans="1:11">
      <c r="A612" s="14" t="s">
        <v>17750</v>
      </c>
      <c r="B612" s="14" t="s">
        <v>17751</v>
      </c>
      <c r="C612" s="14" t="s">
        <v>16086</v>
      </c>
      <c r="D612" s="14">
        <v>1</v>
      </c>
      <c r="E612" s="14">
        <v>1239</v>
      </c>
      <c r="F612" s="14">
        <v>6</v>
      </c>
      <c r="G612" s="14">
        <v>15605</v>
      </c>
      <c r="H612" s="14">
        <v>0.391309502260374</v>
      </c>
      <c r="I612" s="14">
        <v>0.859033252699364</v>
      </c>
      <c r="J612" s="14">
        <v>2.09913909066451</v>
      </c>
      <c r="K612" s="14" t="s">
        <v>7237</v>
      </c>
    </row>
    <row r="613" spans="1:11">
      <c r="A613" s="14" t="s">
        <v>20631</v>
      </c>
      <c r="B613" s="14" t="s">
        <v>20632</v>
      </c>
      <c r="C613" s="14" t="s">
        <v>16086</v>
      </c>
      <c r="D613" s="14">
        <v>1</v>
      </c>
      <c r="E613" s="14">
        <v>1239</v>
      </c>
      <c r="F613" s="14">
        <v>6</v>
      </c>
      <c r="G613" s="14">
        <v>15605</v>
      </c>
      <c r="H613" s="14">
        <v>0.391309502260374</v>
      </c>
      <c r="I613" s="14">
        <v>0.859033252699364</v>
      </c>
      <c r="J613" s="14">
        <v>2.09913909066451</v>
      </c>
      <c r="K613" s="14" t="s">
        <v>6571</v>
      </c>
    </row>
    <row r="614" spans="1:11">
      <c r="A614" s="14" t="s">
        <v>20633</v>
      </c>
      <c r="B614" s="14" t="s">
        <v>20634</v>
      </c>
      <c r="C614" s="14" t="s">
        <v>16086</v>
      </c>
      <c r="D614" s="14">
        <v>1</v>
      </c>
      <c r="E614" s="14">
        <v>1239</v>
      </c>
      <c r="F614" s="14">
        <v>6</v>
      </c>
      <c r="G614" s="14">
        <v>15605</v>
      </c>
      <c r="H614" s="14">
        <v>0.391309502260374</v>
      </c>
      <c r="I614" s="14">
        <v>0.859033252699364</v>
      </c>
      <c r="J614" s="14">
        <v>2.09913909066451</v>
      </c>
      <c r="K614" s="14" t="s">
        <v>973</v>
      </c>
    </row>
    <row r="615" spans="1:11">
      <c r="A615" s="14" t="s">
        <v>20635</v>
      </c>
      <c r="B615" s="14" t="s">
        <v>20636</v>
      </c>
      <c r="C615" s="14" t="s">
        <v>16090</v>
      </c>
      <c r="D615" s="14">
        <v>1</v>
      </c>
      <c r="E615" s="14">
        <v>1239</v>
      </c>
      <c r="F615" s="14">
        <v>6</v>
      </c>
      <c r="G615" s="14">
        <v>15605</v>
      </c>
      <c r="H615" s="14">
        <v>0.391309502260374</v>
      </c>
      <c r="I615" s="14">
        <v>0.859033252699364</v>
      </c>
      <c r="J615" s="14">
        <v>2.09913909066451</v>
      </c>
      <c r="K615" s="14" t="s">
        <v>14017</v>
      </c>
    </row>
    <row r="616" spans="1:11">
      <c r="A616" s="14" t="s">
        <v>20637</v>
      </c>
      <c r="B616" s="14" t="s">
        <v>20638</v>
      </c>
      <c r="C616" s="14" t="s">
        <v>16090</v>
      </c>
      <c r="D616" s="14">
        <v>1</v>
      </c>
      <c r="E616" s="14">
        <v>1239</v>
      </c>
      <c r="F616" s="14">
        <v>6</v>
      </c>
      <c r="G616" s="14">
        <v>15605</v>
      </c>
      <c r="H616" s="14">
        <v>0.391309502260374</v>
      </c>
      <c r="I616" s="14">
        <v>0.859033252699364</v>
      </c>
      <c r="J616" s="14">
        <v>2.09913909066451</v>
      </c>
      <c r="K616" s="14" t="s">
        <v>4979</v>
      </c>
    </row>
    <row r="617" spans="1:11">
      <c r="A617" s="14" t="s">
        <v>20639</v>
      </c>
      <c r="B617" s="14" t="s">
        <v>20640</v>
      </c>
      <c r="C617" s="14" t="s">
        <v>16090</v>
      </c>
      <c r="D617" s="14">
        <v>1</v>
      </c>
      <c r="E617" s="14">
        <v>1239</v>
      </c>
      <c r="F617" s="14">
        <v>6</v>
      </c>
      <c r="G617" s="14">
        <v>15605</v>
      </c>
      <c r="H617" s="14">
        <v>0.391309502260374</v>
      </c>
      <c r="I617" s="14">
        <v>0.859033252699364</v>
      </c>
      <c r="J617" s="14">
        <v>2.09913909066451</v>
      </c>
      <c r="K617" s="14" t="s">
        <v>5126</v>
      </c>
    </row>
    <row r="618" spans="1:11">
      <c r="A618" s="14" t="s">
        <v>20641</v>
      </c>
      <c r="B618" s="14" t="s">
        <v>20642</v>
      </c>
      <c r="C618" s="14" t="s">
        <v>16086</v>
      </c>
      <c r="D618" s="14">
        <v>1</v>
      </c>
      <c r="E618" s="14">
        <v>1239</v>
      </c>
      <c r="F618" s="14">
        <v>6</v>
      </c>
      <c r="G618" s="14">
        <v>15605</v>
      </c>
      <c r="H618" s="14">
        <v>0.391309502260374</v>
      </c>
      <c r="I618" s="14">
        <v>0.859033252699364</v>
      </c>
      <c r="J618" s="14">
        <v>2.09913909066451</v>
      </c>
      <c r="K618" s="14" t="s">
        <v>285</v>
      </c>
    </row>
    <row r="619" spans="1:11">
      <c r="A619" s="14" t="s">
        <v>20643</v>
      </c>
      <c r="B619" s="14" t="s">
        <v>20644</v>
      </c>
      <c r="C619" s="14" t="s">
        <v>16090</v>
      </c>
      <c r="D619" s="14">
        <v>1</v>
      </c>
      <c r="E619" s="14">
        <v>1239</v>
      </c>
      <c r="F619" s="14">
        <v>6</v>
      </c>
      <c r="G619" s="14">
        <v>15605</v>
      </c>
      <c r="H619" s="14">
        <v>0.391309502260374</v>
      </c>
      <c r="I619" s="14">
        <v>0.859033252699364</v>
      </c>
      <c r="J619" s="14">
        <v>2.09913909066451</v>
      </c>
      <c r="K619" s="14" t="s">
        <v>12525</v>
      </c>
    </row>
    <row r="620" spans="1:11">
      <c r="A620" s="14" t="s">
        <v>20645</v>
      </c>
      <c r="B620" s="14" t="s">
        <v>20646</v>
      </c>
      <c r="C620" s="14" t="s">
        <v>16090</v>
      </c>
      <c r="D620" s="14">
        <v>1</v>
      </c>
      <c r="E620" s="14">
        <v>1239</v>
      </c>
      <c r="F620" s="14">
        <v>6</v>
      </c>
      <c r="G620" s="14">
        <v>15605</v>
      </c>
      <c r="H620" s="14">
        <v>0.391309502260374</v>
      </c>
      <c r="I620" s="14">
        <v>0.859033252699364</v>
      </c>
      <c r="J620" s="14">
        <v>2.09913909066451</v>
      </c>
      <c r="K620" s="14" t="s">
        <v>16057</v>
      </c>
    </row>
    <row r="621" spans="1:11">
      <c r="A621" s="14" t="s">
        <v>17768</v>
      </c>
      <c r="B621" s="14" t="s">
        <v>17769</v>
      </c>
      <c r="C621" s="14" t="s">
        <v>16090</v>
      </c>
      <c r="D621" s="14">
        <v>1</v>
      </c>
      <c r="E621" s="14">
        <v>1239</v>
      </c>
      <c r="F621" s="14">
        <v>6</v>
      </c>
      <c r="G621" s="14">
        <v>15605</v>
      </c>
      <c r="H621" s="14">
        <v>0.391309502260374</v>
      </c>
      <c r="I621" s="14">
        <v>0.859033252699364</v>
      </c>
      <c r="J621" s="14">
        <v>2.09913909066451</v>
      </c>
      <c r="K621" s="14" t="s">
        <v>4011</v>
      </c>
    </row>
    <row r="622" spans="1:11">
      <c r="A622" s="14" t="s">
        <v>20647</v>
      </c>
      <c r="B622" s="14" t="s">
        <v>20648</v>
      </c>
      <c r="C622" s="14" t="s">
        <v>16086</v>
      </c>
      <c r="D622" s="14">
        <v>1</v>
      </c>
      <c r="E622" s="14">
        <v>1239</v>
      </c>
      <c r="F622" s="14">
        <v>6</v>
      </c>
      <c r="G622" s="14">
        <v>15605</v>
      </c>
      <c r="H622" s="14">
        <v>0.391309502260374</v>
      </c>
      <c r="I622" s="14">
        <v>0.859033252699364</v>
      </c>
      <c r="J622" s="14">
        <v>2.09913909066451</v>
      </c>
      <c r="K622" s="14" t="s">
        <v>3459</v>
      </c>
    </row>
    <row r="623" spans="1:11">
      <c r="A623" s="14" t="s">
        <v>20649</v>
      </c>
      <c r="B623" s="14" t="s">
        <v>20650</v>
      </c>
      <c r="C623" s="14" t="s">
        <v>16090</v>
      </c>
      <c r="D623" s="14">
        <v>1</v>
      </c>
      <c r="E623" s="14">
        <v>1239</v>
      </c>
      <c r="F623" s="14">
        <v>6</v>
      </c>
      <c r="G623" s="14">
        <v>15605</v>
      </c>
      <c r="H623" s="14">
        <v>0.391309502260374</v>
      </c>
      <c r="I623" s="14">
        <v>0.859033252699364</v>
      </c>
      <c r="J623" s="14">
        <v>2.09913909066451</v>
      </c>
      <c r="K623" s="14" t="s">
        <v>2777</v>
      </c>
    </row>
    <row r="624" spans="1:11">
      <c r="A624" s="14" t="s">
        <v>20651</v>
      </c>
      <c r="B624" s="14" t="s">
        <v>20652</v>
      </c>
      <c r="C624" s="14" t="s">
        <v>16086</v>
      </c>
      <c r="D624" s="14">
        <v>1</v>
      </c>
      <c r="E624" s="14">
        <v>1239</v>
      </c>
      <c r="F624" s="14">
        <v>6</v>
      </c>
      <c r="G624" s="14">
        <v>15605</v>
      </c>
      <c r="H624" s="14">
        <v>0.391309502260374</v>
      </c>
      <c r="I624" s="14">
        <v>0.859033252699364</v>
      </c>
      <c r="J624" s="14">
        <v>2.09913909066451</v>
      </c>
      <c r="K624" s="14" t="s">
        <v>14625</v>
      </c>
    </row>
    <row r="625" spans="1:11">
      <c r="A625" s="14" t="s">
        <v>20653</v>
      </c>
      <c r="B625" s="14" t="s">
        <v>20654</v>
      </c>
      <c r="C625" s="14" t="s">
        <v>16090</v>
      </c>
      <c r="D625" s="14">
        <v>1</v>
      </c>
      <c r="E625" s="14">
        <v>1239</v>
      </c>
      <c r="F625" s="14">
        <v>6</v>
      </c>
      <c r="G625" s="14">
        <v>15605</v>
      </c>
      <c r="H625" s="14">
        <v>0.391309502260374</v>
      </c>
      <c r="I625" s="14">
        <v>0.859033252699364</v>
      </c>
      <c r="J625" s="14">
        <v>2.09913909066451</v>
      </c>
      <c r="K625" s="14" t="s">
        <v>3086</v>
      </c>
    </row>
    <row r="626" spans="1:11">
      <c r="A626" s="14" t="s">
        <v>17774</v>
      </c>
      <c r="B626" s="14" t="s">
        <v>17775</v>
      </c>
      <c r="C626" s="14" t="s">
        <v>16090</v>
      </c>
      <c r="D626" s="14">
        <v>1</v>
      </c>
      <c r="E626" s="14">
        <v>1239</v>
      </c>
      <c r="F626" s="14">
        <v>6</v>
      </c>
      <c r="G626" s="14">
        <v>15605</v>
      </c>
      <c r="H626" s="14">
        <v>0.391309502260374</v>
      </c>
      <c r="I626" s="14">
        <v>0.859033252699364</v>
      </c>
      <c r="J626" s="14">
        <v>2.09913909066451</v>
      </c>
      <c r="K626" s="14" t="s">
        <v>7899</v>
      </c>
    </row>
    <row r="627" spans="1:11">
      <c r="A627" s="14" t="s">
        <v>20655</v>
      </c>
      <c r="B627" s="14" t="s">
        <v>20656</v>
      </c>
      <c r="C627" s="14" t="s">
        <v>16090</v>
      </c>
      <c r="D627" s="14">
        <v>1</v>
      </c>
      <c r="E627" s="14">
        <v>1239</v>
      </c>
      <c r="F627" s="14">
        <v>6</v>
      </c>
      <c r="G627" s="14">
        <v>15605</v>
      </c>
      <c r="H627" s="14">
        <v>0.391309502260374</v>
      </c>
      <c r="I627" s="14">
        <v>0.859033252699364</v>
      </c>
      <c r="J627" s="14">
        <v>2.09913909066451</v>
      </c>
      <c r="K627" s="14" t="s">
        <v>7512</v>
      </c>
    </row>
    <row r="628" spans="1:11">
      <c r="A628" s="14" t="s">
        <v>17782</v>
      </c>
      <c r="B628" s="14" t="s">
        <v>17783</v>
      </c>
      <c r="C628" s="14" t="s">
        <v>16086</v>
      </c>
      <c r="D628" s="14">
        <v>1</v>
      </c>
      <c r="E628" s="14">
        <v>1239</v>
      </c>
      <c r="F628" s="14">
        <v>6</v>
      </c>
      <c r="G628" s="14">
        <v>15605</v>
      </c>
      <c r="H628" s="14">
        <v>0.391309502260374</v>
      </c>
      <c r="I628" s="14">
        <v>0.859033252699364</v>
      </c>
      <c r="J628" s="14">
        <v>2.09913909066451</v>
      </c>
      <c r="K628" s="14" t="s">
        <v>12227</v>
      </c>
    </row>
    <row r="629" spans="1:11">
      <c r="A629" s="14" t="s">
        <v>20657</v>
      </c>
      <c r="B629" s="14" t="s">
        <v>20658</v>
      </c>
      <c r="C629" s="14" t="s">
        <v>16090</v>
      </c>
      <c r="D629" s="14">
        <v>1</v>
      </c>
      <c r="E629" s="14">
        <v>1239</v>
      </c>
      <c r="F629" s="14">
        <v>6</v>
      </c>
      <c r="G629" s="14">
        <v>15605</v>
      </c>
      <c r="H629" s="14">
        <v>0.391309502260374</v>
      </c>
      <c r="I629" s="14">
        <v>0.859033252699364</v>
      </c>
      <c r="J629" s="14">
        <v>2.09913909066451</v>
      </c>
      <c r="K629" s="14" t="s">
        <v>14017</v>
      </c>
    </row>
    <row r="630" spans="1:11">
      <c r="A630" s="14" t="s">
        <v>20659</v>
      </c>
      <c r="B630" s="14" t="s">
        <v>20660</v>
      </c>
      <c r="C630" s="14" t="s">
        <v>16090</v>
      </c>
      <c r="D630" s="14">
        <v>1</v>
      </c>
      <c r="E630" s="14">
        <v>1239</v>
      </c>
      <c r="F630" s="14">
        <v>6</v>
      </c>
      <c r="G630" s="14">
        <v>15605</v>
      </c>
      <c r="H630" s="14">
        <v>0.391309502260374</v>
      </c>
      <c r="I630" s="14">
        <v>0.859033252699364</v>
      </c>
      <c r="J630" s="14">
        <v>2.09913909066451</v>
      </c>
      <c r="K630" s="14" t="s">
        <v>7076</v>
      </c>
    </row>
    <row r="631" spans="1:11">
      <c r="A631" s="14" t="s">
        <v>20661</v>
      </c>
      <c r="B631" s="14" t="s">
        <v>20662</v>
      </c>
      <c r="C631" s="14" t="s">
        <v>16090</v>
      </c>
      <c r="D631" s="14">
        <v>1</v>
      </c>
      <c r="E631" s="14">
        <v>1239</v>
      </c>
      <c r="F631" s="14">
        <v>6</v>
      </c>
      <c r="G631" s="14">
        <v>15605</v>
      </c>
      <c r="H631" s="14">
        <v>0.391309502260374</v>
      </c>
      <c r="I631" s="14">
        <v>0.859033252699364</v>
      </c>
      <c r="J631" s="14">
        <v>2.09913909066451</v>
      </c>
      <c r="K631" s="14" t="s">
        <v>9645</v>
      </c>
    </row>
    <row r="632" spans="1:11">
      <c r="A632" s="14" t="s">
        <v>20663</v>
      </c>
      <c r="B632" s="14" t="s">
        <v>20664</v>
      </c>
      <c r="C632" s="14" t="s">
        <v>16090</v>
      </c>
      <c r="D632" s="14">
        <v>1</v>
      </c>
      <c r="E632" s="14">
        <v>1239</v>
      </c>
      <c r="F632" s="14">
        <v>6</v>
      </c>
      <c r="G632" s="14">
        <v>15605</v>
      </c>
      <c r="H632" s="14">
        <v>0.391309502260374</v>
      </c>
      <c r="I632" s="14">
        <v>0.859033252699364</v>
      </c>
      <c r="J632" s="14">
        <v>2.09913909066451</v>
      </c>
      <c r="K632" s="14" t="s">
        <v>672</v>
      </c>
    </row>
    <row r="633" spans="1:11">
      <c r="A633" s="14" t="s">
        <v>20665</v>
      </c>
      <c r="B633" s="14" t="s">
        <v>20666</v>
      </c>
      <c r="C633" s="14" t="s">
        <v>16090</v>
      </c>
      <c r="D633" s="14">
        <v>1</v>
      </c>
      <c r="E633" s="14">
        <v>1239</v>
      </c>
      <c r="F633" s="14">
        <v>6</v>
      </c>
      <c r="G633" s="14">
        <v>15605</v>
      </c>
      <c r="H633" s="14">
        <v>0.391309502260374</v>
      </c>
      <c r="I633" s="14">
        <v>0.859033252699364</v>
      </c>
      <c r="J633" s="14">
        <v>2.09913909066451</v>
      </c>
      <c r="K633" s="14" t="s">
        <v>13241</v>
      </c>
    </row>
    <row r="634" spans="1:11">
      <c r="A634" s="14" t="s">
        <v>20667</v>
      </c>
      <c r="B634" s="14" t="s">
        <v>20668</v>
      </c>
      <c r="C634" s="14" t="s">
        <v>16086</v>
      </c>
      <c r="D634" s="14">
        <v>1</v>
      </c>
      <c r="E634" s="14">
        <v>1239</v>
      </c>
      <c r="F634" s="14">
        <v>6</v>
      </c>
      <c r="G634" s="14">
        <v>15605</v>
      </c>
      <c r="H634" s="14">
        <v>0.391309502260374</v>
      </c>
      <c r="I634" s="14">
        <v>0.859033252699364</v>
      </c>
      <c r="J634" s="14">
        <v>2.09913909066451</v>
      </c>
      <c r="K634" s="14" t="s">
        <v>14928</v>
      </c>
    </row>
    <row r="635" spans="1:11">
      <c r="A635" s="14" t="s">
        <v>16187</v>
      </c>
      <c r="B635" s="14" t="s">
        <v>16188</v>
      </c>
      <c r="C635" s="14" t="s">
        <v>16090</v>
      </c>
      <c r="D635" s="14">
        <v>1</v>
      </c>
      <c r="E635" s="14">
        <v>1239</v>
      </c>
      <c r="F635" s="14">
        <v>6</v>
      </c>
      <c r="G635" s="14">
        <v>15605</v>
      </c>
      <c r="H635" s="14">
        <v>0.391309502260374</v>
      </c>
      <c r="I635" s="14">
        <v>0.859033252699364</v>
      </c>
      <c r="J635" s="14">
        <v>2.09913909066451</v>
      </c>
      <c r="K635" s="14" t="s">
        <v>4207</v>
      </c>
    </row>
    <row r="636" spans="1:11">
      <c r="A636" s="14" t="s">
        <v>20669</v>
      </c>
      <c r="B636" s="14" t="s">
        <v>20670</v>
      </c>
      <c r="C636" s="14" t="s">
        <v>16086</v>
      </c>
      <c r="D636" s="14">
        <v>1</v>
      </c>
      <c r="E636" s="14">
        <v>1239</v>
      </c>
      <c r="F636" s="14">
        <v>6</v>
      </c>
      <c r="G636" s="14">
        <v>15605</v>
      </c>
      <c r="H636" s="14">
        <v>0.391309502260374</v>
      </c>
      <c r="I636" s="14">
        <v>0.859033252699364</v>
      </c>
      <c r="J636" s="14">
        <v>2.09913909066451</v>
      </c>
      <c r="K636" s="14" t="s">
        <v>8583</v>
      </c>
    </row>
    <row r="637" spans="1:11">
      <c r="A637" s="14" t="s">
        <v>20671</v>
      </c>
      <c r="B637" s="14" t="s">
        <v>20672</v>
      </c>
      <c r="C637" s="14" t="s">
        <v>16086</v>
      </c>
      <c r="D637" s="14">
        <v>1</v>
      </c>
      <c r="E637" s="14">
        <v>1239</v>
      </c>
      <c r="F637" s="14">
        <v>6</v>
      </c>
      <c r="G637" s="14">
        <v>15605</v>
      </c>
      <c r="H637" s="14">
        <v>0.391309502260374</v>
      </c>
      <c r="I637" s="14">
        <v>0.859033252699364</v>
      </c>
      <c r="J637" s="14">
        <v>2.09913909066451</v>
      </c>
      <c r="K637" s="14" t="s">
        <v>3459</v>
      </c>
    </row>
    <row r="638" spans="1:11">
      <c r="A638" s="14" t="s">
        <v>20673</v>
      </c>
      <c r="B638" s="14" t="s">
        <v>20674</v>
      </c>
      <c r="C638" s="14" t="s">
        <v>16096</v>
      </c>
      <c r="D638" s="14">
        <v>1</v>
      </c>
      <c r="E638" s="14">
        <v>1239</v>
      </c>
      <c r="F638" s="14">
        <v>6</v>
      </c>
      <c r="G638" s="14">
        <v>15605</v>
      </c>
      <c r="H638" s="14">
        <v>0.391309502260374</v>
      </c>
      <c r="I638" s="14">
        <v>0.859033252699364</v>
      </c>
      <c r="J638" s="14">
        <v>2.09913909066451</v>
      </c>
      <c r="K638" s="14" t="s">
        <v>5859</v>
      </c>
    </row>
    <row r="639" spans="1:11">
      <c r="A639" s="14" t="s">
        <v>20675</v>
      </c>
      <c r="B639" s="14" t="s">
        <v>20676</v>
      </c>
      <c r="C639" s="14" t="s">
        <v>16086</v>
      </c>
      <c r="D639" s="14">
        <v>1</v>
      </c>
      <c r="E639" s="14">
        <v>1239</v>
      </c>
      <c r="F639" s="14">
        <v>6</v>
      </c>
      <c r="G639" s="14">
        <v>15605</v>
      </c>
      <c r="H639" s="14">
        <v>0.391309502260374</v>
      </c>
      <c r="I639" s="14">
        <v>0.859033252699364</v>
      </c>
      <c r="J639" s="14">
        <v>2.09913909066451</v>
      </c>
      <c r="K639" s="14" t="s">
        <v>13241</v>
      </c>
    </row>
    <row r="640" spans="1:11">
      <c r="A640" s="14" t="s">
        <v>20677</v>
      </c>
      <c r="B640" s="14" t="s">
        <v>20678</v>
      </c>
      <c r="C640" s="14" t="s">
        <v>16090</v>
      </c>
      <c r="D640" s="14">
        <v>1</v>
      </c>
      <c r="E640" s="14">
        <v>1239</v>
      </c>
      <c r="F640" s="14">
        <v>6</v>
      </c>
      <c r="G640" s="14">
        <v>15605</v>
      </c>
      <c r="H640" s="14">
        <v>0.391309502260374</v>
      </c>
      <c r="I640" s="14">
        <v>0.859033252699364</v>
      </c>
      <c r="J640" s="14">
        <v>2.09913909066451</v>
      </c>
      <c r="K640" s="14" t="s">
        <v>11514</v>
      </c>
    </row>
    <row r="641" spans="1:11">
      <c r="A641" s="14" t="s">
        <v>20679</v>
      </c>
      <c r="B641" s="14" t="s">
        <v>20680</v>
      </c>
      <c r="C641" s="14" t="s">
        <v>16086</v>
      </c>
      <c r="D641" s="14">
        <v>1</v>
      </c>
      <c r="E641" s="14">
        <v>1239</v>
      </c>
      <c r="F641" s="14">
        <v>6</v>
      </c>
      <c r="G641" s="14">
        <v>15605</v>
      </c>
      <c r="H641" s="14">
        <v>0.391309502260374</v>
      </c>
      <c r="I641" s="14">
        <v>0.859033252699364</v>
      </c>
      <c r="J641" s="14">
        <v>2.09913909066451</v>
      </c>
      <c r="K641" s="14" t="s">
        <v>14017</v>
      </c>
    </row>
    <row r="642" spans="1:11">
      <c r="A642" s="14" t="s">
        <v>16741</v>
      </c>
      <c r="B642" s="14" t="s">
        <v>16742</v>
      </c>
      <c r="C642" s="14" t="s">
        <v>16090</v>
      </c>
      <c r="D642" s="14">
        <v>1</v>
      </c>
      <c r="E642" s="14">
        <v>1239</v>
      </c>
      <c r="F642" s="14">
        <v>6</v>
      </c>
      <c r="G642" s="14">
        <v>15605</v>
      </c>
      <c r="H642" s="14">
        <v>0.391309502260374</v>
      </c>
      <c r="I642" s="14">
        <v>0.859033252699364</v>
      </c>
      <c r="J642" s="14">
        <v>2.09913909066451</v>
      </c>
      <c r="K642" s="14" t="s">
        <v>5213</v>
      </c>
    </row>
    <row r="643" spans="1:11">
      <c r="A643" s="14" t="s">
        <v>20681</v>
      </c>
      <c r="B643" s="14" t="s">
        <v>20682</v>
      </c>
      <c r="C643" s="14" t="s">
        <v>16086</v>
      </c>
      <c r="D643" s="14">
        <v>1</v>
      </c>
      <c r="E643" s="14">
        <v>1239</v>
      </c>
      <c r="F643" s="14">
        <v>6</v>
      </c>
      <c r="G643" s="14">
        <v>15605</v>
      </c>
      <c r="H643" s="14">
        <v>0.391309502260374</v>
      </c>
      <c r="I643" s="14">
        <v>0.859033252699364</v>
      </c>
      <c r="J643" s="14">
        <v>2.09913909066451</v>
      </c>
      <c r="K643" s="14" t="s">
        <v>5182</v>
      </c>
    </row>
    <row r="644" spans="1:11">
      <c r="A644" s="14" t="s">
        <v>20683</v>
      </c>
      <c r="B644" s="14" t="s">
        <v>20684</v>
      </c>
      <c r="C644" s="14" t="s">
        <v>16090</v>
      </c>
      <c r="D644" s="14">
        <v>1</v>
      </c>
      <c r="E644" s="14">
        <v>1239</v>
      </c>
      <c r="F644" s="14">
        <v>6</v>
      </c>
      <c r="G644" s="14">
        <v>15605</v>
      </c>
      <c r="H644" s="14">
        <v>0.391309502260374</v>
      </c>
      <c r="I644" s="14">
        <v>0.859033252699364</v>
      </c>
      <c r="J644" s="14">
        <v>2.09913909066451</v>
      </c>
      <c r="K644" s="14" t="s">
        <v>7336</v>
      </c>
    </row>
    <row r="645" spans="1:11">
      <c r="A645" s="14" t="s">
        <v>17794</v>
      </c>
      <c r="B645" s="14" t="s">
        <v>17795</v>
      </c>
      <c r="C645" s="14" t="s">
        <v>16090</v>
      </c>
      <c r="D645" s="14">
        <v>1</v>
      </c>
      <c r="E645" s="14">
        <v>1239</v>
      </c>
      <c r="F645" s="14">
        <v>6</v>
      </c>
      <c r="G645" s="14">
        <v>15605</v>
      </c>
      <c r="H645" s="14">
        <v>0.391309502260374</v>
      </c>
      <c r="I645" s="14">
        <v>0.859033252699364</v>
      </c>
      <c r="J645" s="14">
        <v>2.09913909066451</v>
      </c>
      <c r="K645" s="14" t="s">
        <v>5816</v>
      </c>
    </row>
    <row r="646" spans="1:11">
      <c r="A646" s="14" t="s">
        <v>17796</v>
      </c>
      <c r="B646" s="14" t="s">
        <v>17797</v>
      </c>
      <c r="C646" s="14" t="s">
        <v>16090</v>
      </c>
      <c r="D646" s="14">
        <v>1</v>
      </c>
      <c r="E646" s="14">
        <v>1239</v>
      </c>
      <c r="F646" s="14">
        <v>6</v>
      </c>
      <c r="G646" s="14">
        <v>15605</v>
      </c>
      <c r="H646" s="14">
        <v>0.391309502260374</v>
      </c>
      <c r="I646" s="14">
        <v>0.859033252699364</v>
      </c>
      <c r="J646" s="14">
        <v>2.09913909066451</v>
      </c>
      <c r="K646" s="14" t="s">
        <v>12342</v>
      </c>
    </row>
    <row r="647" spans="1:11">
      <c r="A647" s="14" t="s">
        <v>20685</v>
      </c>
      <c r="B647" s="14" t="s">
        <v>20686</v>
      </c>
      <c r="C647" s="14" t="s">
        <v>16090</v>
      </c>
      <c r="D647" s="14">
        <v>1</v>
      </c>
      <c r="E647" s="14">
        <v>1239</v>
      </c>
      <c r="F647" s="14">
        <v>6</v>
      </c>
      <c r="G647" s="14">
        <v>15605</v>
      </c>
      <c r="H647" s="14">
        <v>0.391309502260374</v>
      </c>
      <c r="I647" s="14">
        <v>0.859033252699364</v>
      </c>
      <c r="J647" s="14">
        <v>2.09913909066451</v>
      </c>
      <c r="K647" s="14" t="s">
        <v>11196</v>
      </c>
    </row>
    <row r="648" spans="1:11">
      <c r="A648" s="14" t="s">
        <v>20687</v>
      </c>
      <c r="B648" s="14" t="s">
        <v>20688</v>
      </c>
      <c r="C648" s="14" t="s">
        <v>16090</v>
      </c>
      <c r="D648" s="14">
        <v>1</v>
      </c>
      <c r="E648" s="14">
        <v>1239</v>
      </c>
      <c r="F648" s="14">
        <v>6</v>
      </c>
      <c r="G648" s="14">
        <v>15605</v>
      </c>
      <c r="H648" s="14">
        <v>0.391309502260374</v>
      </c>
      <c r="I648" s="14">
        <v>0.859033252699364</v>
      </c>
      <c r="J648" s="14">
        <v>2.09913909066451</v>
      </c>
      <c r="K648" s="14" t="s">
        <v>6017</v>
      </c>
    </row>
    <row r="649" spans="1:11">
      <c r="A649" s="14" t="s">
        <v>16189</v>
      </c>
      <c r="B649" s="14" t="s">
        <v>16190</v>
      </c>
      <c r="C649" s="14" t="s">
        <v>16090</v>
      </c>
      <c r="D649" s="14">
        <v>1</v>
      </c>
      <c r="E649" s="14">
        <v>1239</v>
      </c>
      <c r="F649" s="14">
        <v>6</v>
      </c>
      <c r="G649" s="14">
        <v>15605</v>
      </c>
      <c r="H649" s="14">
        <v>0.391309502260374</v>
      </c>
      <c r="I649" s="14">
        <v>0.859033252699364</v>
      </c>
      <c r="J649" s="14">
        <v>2.09913909066451</v>
      </c>
      <c r="K649" s="14" t="s">
        <v>4207</v>
      </c>
    </row>
    <row r="650" spans="1:11">
      <c r="A650" s="14" t="s">
        <v>17810</v>
      </c>
      <c r="B650" s="14" t="s">
        <v>17811</v>
      </c>
      <c r="C650" s="14" t="s">
        <v>16090</v>
      </c>
      <c r="D650" s="14">
        <v>1</v>
      </c>
      <c r="E650" s="14">
        <v>1239</v>
      </c>
      <c r="F650" s="14">
        <v>6</v>
      </c>
      <c r="G650" s="14">
        <v>15605</v>
      </c>
      <c r="H650" s="14">
        <v>0.391309502260374</v>
      </c>
      <c r="I650" s="14">
        <v>0.859033252699364</v>
      </c>
      <c r="J650" s="14">
        <v>2.09913909066451</v>
      </c>
      <c r="K650" s="14" t="s">
        <v>12050</v>
      </c>
    </row>
    <row r="651" spans="1:11">
      <c r="A651" s="14" t="s">
        <v>20689</v>
      </c>
      <c r="B651" s="14" t="s">
        <v>20690</v>
      </c>
      <c r="C651" s="14" t="s">
        <v>16090</v>
      </c>
      <c r="D651" s="14">
        <v>1</v>
      </c>
      <c r="E651" s="14">
        <v>1239</v>
      </c>
      <c r="F651" s="14">
        <v>6</v>
      </c>
      <c r="G651" s="14">
        <v>15605</v>
      </c>
      <c r="H651" s="14">
        <v>0.391309502260374</v>
      </c>
      <c r="I651" s="14">
        <v>0.859033252699364</v>
      </c>
      <c r="J651" s="14">
        <v>2.09913909066451</v>
      </c>
      <c r="K651" s="14" t="s">
        <v>6017</v>
      </c>
    </row>
    <row r="652" spans="1:11">
      <c r="A652" s="14" t="s">
        <v>20691</v>
      </c>
      <c r="B652" s="14" t="s">
        <v>20692</v>
      </c>
      <c r="C652" s="14" t="s">
        <v>16086</v>
      </c>
      <c r="D652" s="14">
        <v>1</v>
      </c>
      <c r="E652" s="14">
        <v>1239</v>
      </c>
      <c r="F652" s="14">
        <v>6</v>
      </c>
      <c r="G652" s="14">
        <v>15605</v>
      </c>
      <c r="H652" s="14">
        <v>0.391309502260374</v>
      </c>
      <c r="I652" s="14">
        <v>0.859033252699364</v>
      </c>
      <c r="J652" s="14">
        <v>2.09913909066451</v>
      </c>
      <c r="K652" s="14" t="s">
        <v>11076</v>
      </c>
    </row>
    <row r="653" spans="1:11">
      <c r="A653" s="14" t="s">
        <v>17890</v>
      </c>
      <c r="B653" s="14" t="s">
        <v>17891</v>
      </c>
      <c r="C653" s="14" t="s">
        <v>16096</v>
      </c>
      <c r="D653" s="14">
        <v>15</v>
      </c>
      <c r="E653" s="14">
        <v>1239</v>
      </c>
      <c r="F653" s="14">
        <v>172</v>
      </c>
      <c r="G653" s="14">
        <v>15605</v>
      </c>
      <c r="H653" s="14">
        <v>0.391344050040088</v>
      </c>
      <c r="I653" s="14">
        <v>0.859033252699364</v>
      </c>
      <c r="J653" s="14">
        <v>1.09838673348725</v>
      </c>
      <c r="K653" s="14" t="s">
        <v>20693</v>
      </c>
    </row>
    <row r="654" spans="1:11">
      <c r="A654" s="14" t="s">
        <v>16353</v>
      </c>
      <c r="B654" s="14" t="s">
        <v>16354</v>
      </c>
      <c r="C654" s="14" t="s">
        <v>16086</v>
      </c>
      <c r="D654" s="14">
        <v>2</v>
      </c>
      <c r="E654" s="14">
        <v>1239</v>
      </c>
      <c r="F654" s="14">
        <v>17</v>
      </c>
      <c r="G654" s="14">
        <v>15605</v>
      </c>
      <c r="H654" s="14">
        <v>0.395759739209274</v>
      </c>
      <c r="I654" s="14">
        <v>0.860792492130977</v>
      </c>
      <c r="J654" s="14">
        <v>1.48174524046907</v>
      </c>
      <c r="K654" s="14" t="s">
        <v>20694</v>
      </c>
    </row>
    <row r="655" spans="1:11">
      <c r="A655" s="14" t="s">
        <v>18989</v>
      </c>
      <c r="B655" s="14" t="s">
        <v>18990</v>
      </c>
      <c r="C655" s="14" t="s">
        <v>16090</v>
      </c>
      <c r="D655" s="14">
        <v>2</v>
      </c>
      <c r="E655" s="14">
        <v>1239</v>
      </c>
      <c r="F655" s="14">
        <v>17</v>
      </c>
      <c r="G655" s="14">
        <v>15605</v>
      </c>
      <c r="H655" s="14">
        <v>0.395759739209274</v>
      </c>
      <c r="I655" s="14">
        <v>0.860792492130977</v>
      </c>
      <c r="J655" s="14">
        <v>1.48174524046907</v>
      </c>
      <c r="K655" s="14" t="s">
        <v>20394</v>
      </c>
    </row>
    <row r="656" spans="1:11">
      <c r="A656" s="14" t="s">
        <v>18995</v>
      </c>
      <c r="B656" s="14" t="s">
        <v>18996</v>
      </c>
      <c r="C656" s="14" t="s">
        <v>16086</v>
      </c>
      <c r="D656" s="14">
        <v>2</v>
      </c>
      <c r="E656" s="14">
        <v>1239</v>
      </c>
      <c r="F656" s="14">
        <v>17</v>
      </c>
      <c r="G656" s="14">
        <v>15605</v>
      </c>
      <c r="H656" s="14">
        <v>0.395759739209274</v>
      </c>
      <c r="I656" s="14">
        <v>0.860792492130977</v>
      </c>
      <c r="J656" s="14">
        <v>1.48174524046907</v>
      </c>
      <c r="K656" s="14" t="s">
        <v>20695</v>
      </c>
    </row>
    <row r="657" spans="1:11">
      <c r="A657" s="14" t="s">
        <v>17878</v>
      </c>
      <c r="B657" s="14" t="s">
        <v>17879</v>
      </c>
      <c r="C657" s="14" t="s">
        <v>16090</v>
      </c>
      <c r="D657" s="14">
        <v>2</v>
      </c>
      <c r="E657" s="14">
        <v>1239</v>
      </c>
      <c r="F657" s="14">
        <v>17</v>
      </c>
      <c r="G657" s="14">
        <v>15605</v>
      </c>
      <c r="H657" s="14">
        <v>0.395759739209274</v>
      </c>
      <c r="I657" s="14">
        <v>0.860792492130977</v>
      </c>
      <c r="J657" s="14">
        <v>1.48174524046907</v>
      </c>
      <c r="K657" s="14" t="s">
        <v>20696</v>
      </c>
    </row>
    <row r="658" spans="1:11">
      <c r="A658" s="14" t="s">
        <v>18997</v>
      </c>
      <c r="B658" s="14" t="s">
        <v>18998</v>
      </c>
      <c r="C658" s="14" t="s">
        <v>16090</v>
      </c>
      <c r="D658" s="14">
        <v>2</v>
      </c>
      <c r="E658" s="14">
        <v>1239</v>
      </c>
      <c r="F658" s="14">
        <v>17</v>
      </c>
      <c r="G658" s="14">
        <v>15605</v>
      </c>
      <c r="H658" s="14">
        <v>0.395759739209274</v>
      </c>
      <c r="I658" s="14">
        <v>0.860792492130977</v>
      </c>
      <c r="J658" s="14">
        <v>1.48174524046907</v>
      </c>
      <c r="K658" s="14" t="s">
        <v>20172</v>
      </c>
    </row>
    <row r="659" spans="1:11">
      <c r="A659" s="14" t="s">
        <v>17887</v>
      </c>
      <c r="B659" s="14" t="s">
        <v>17888</v>
      </c>
      <c r="C659" s="14" t="s">
        <v>16090</v>
      </c>
      <c r="D659" s="14">
        <v>2</v>
      </c>
      <c r="E659" s="14">
        <v>1239</v>
      </c>
      <c r="F659" s="14">
        <v>17</v>
      </c>
      <c r="G659" s="14">
        <v>15605</v>
      </c>
      <c r="H659" s="14">
        <v>0.395759739209274</v>
      </c>
      <c r="I659" s="14">
        <v>0.860792492130977</v>
      </c>
      <c r="J659" s="14">
        <v>1.48174524046907</v>
      </c>
      <c r="K659" s="14" t="s">
        <v>20697</v>
      </c>
    </row>
    <row r="660" spans="1:11">
      <c r="A660" s="14" t="s">
        <v>17182</v>
      </c>
      <c r="B660" s="14" t="s">
        <v>17183</v>
      </c>
      <c r="C660" s="14" t="s">
        <v>16090</v>
      </c>
      <c r="D660" s="14">
        <v>3</v>
      </c>
      <c r="E660" s="14">
        <v>1239</v>
      </c>
      <c r="F660" s="14">
        <v>29</v>
      </c>
      <c r="G660" s="14">
        <v>15605</v>
      </c>
      <c r="H660" s="14">
        <v>0.407940260080279</v>
      </c>
      <c r="I660" s="14">
        <v>0.863762834210566</v>
      </c>
      <c r="J660" s="14">
        <v>1.30291391834349</v>
      </c>
      <c r="K660" s="14" t="s">
        <v>20698</v>
      </c>
    </row>
    <row r="661" spans="1:11">
      <c r="A661" s="14" t="s">
        <v>16335</v>
      </c>
      <c r="B661" s="14" t="s">
        <v>16336</v>
      </c>
      <c r="C661" s="14" t="s">
        <v>16090</v>
      </c>
      <c r="D661" s="14">
        <v>3</v>
      </c>
      <c r="E661" s="14">
        <v>1239</v>
      </c>
      <c r="F661" s="14">
        <v>29</v>
      </c>
      <c r="G661" s="14">
        <v>15605</v>
      </c>
      <c r="H661" s="14">
        <v>0.407940260080279</v>
      </c>
      <c r="I661" s="14">
        <v>0.863762834210566</v>
      </c>
      <c r="J661" s="14">
        <v>1.30291391834349</v>
      </c>
      <c r="K661" s="14" t="s">
        <v>20699</v>
      </c>
    </row>
    <row r="662" spans="1:11">
      <c r="A662" s="14" t="s">
        <v>18016</v>
      </c>
      <c r="B662" s="14" t="s">
        <v>18017</v>
      </c>
      <c r="C662" s="14" t="s">
        <v>16090</v>
      </c>
      <c r="D662" s="14">
        <v>3</v>
      </c>
      <c r="E662" s="14">
        <v>1239</v>
      </c>
      <c r="F662" s="14">
        <v>29</v>
      </c>
      <c r="G662" s="14">
        <v>15605</v>
      </c>
      <c r="H662" s="14">
        <v>0.407940260080279</v>
      </c>
      <c r="I662" s="14">
        <v>0.863762834210566</v>
      </c>
      <c r="J662" s="14">
        <v>1.30291391834349</v>
      </c>
      <c r="K662" s="14" t="s">
        <v>20700</v>
      </c>
    </row>
    <row r="663" spans="1:11">
      <c r="A663" s="14" t="s">
        <v>18019</v>
      </c>
      <c r="B663" s="14" t="s">
        <v>18020</v>
      </c>
      <c r="C663" s="14" t="s">
        <v>16090</v>
      </c>
      <c r="D663" s="14">
        <v>3</v>
      </c>
      <c r="E663" s="14">
        <v>1239</v>
      </c>
      <c r="F663" s="14">
        <v>29</v>
      </c>
      <c r="G663" s="14">
        <v>15605</v>
      </c>
      <c r="H663" s="14">
        <v>0.407940260080279</v>
      </c>
      <c r="I663" s="14">
        <v>0.863762834210566</v>
      </c>
      <c r="J663" s="14">
        <v>1.30291391834349</v>
      </c>
      <c r="K663" s="14" t="s">
        <v>20701</v>
      </c>
    </row>
    <row r="664" spans="1:11">
      <c r="A664" s="14" t="s">
        <v>16338</v>
      </c>
      <c r="B664" s="14" t="s">
        <v>16339</v>
      </c>
      <c r="C664" s="14" t="s">
        <v>16090</v>
      </c>
      <c r="D664" s="14">
        <v>3</v>
      </c>
      <c r="E664" s="14">
        <v>1239</v>
      </c>
      <c r="F664" s="14">
        <v>29</v>
      </c>
      <c r="G664" s="14">
        <v>15605</v>
      </c>
      <c r="H664" s="14">
        <v>0.407940260080279</v>
      </c>
      <c r="I664" s="14">
        <v>0.863762834210566</v>
      </c>
      <c r="J664" s="14">
        <v>1.30291391834349</v>
      </c>
      <c r="K664" s="14" t="s">
        <v>20702</v>
      </c>
    </row>
    <row r="665" spans="1:11">
      <c r="A665" s="14" t="s">
        <v>16651</v>
      </c>
      <c r="B665" s="14" t="s">
        <v>16652</v>
      </c>
      <c r="C665" s="14" t="s">
        <v>16086</v>
      </c>
      <c r="D665" s="14">
        <v>4</v>
      </c>
      <c r="E665" s="14">
        <v>1239</v>
      </c>
      <c r="F665" s="14">
        <v>41</v>
      </c>
      <c r="G665" s="14">
        <v>15605</v>
      </c>
      <c r="H665" s="14">
        <v>0.412094390782692</v>
      </c>
      <c r="I665" s="14">
        <v>0.863762834210566</v>
      </c>
      <c r="J665" s="14">
        <v>1.22876434575484</v>
      </c>
      <c r="K665" s="14" t="s">
        <v>20405</v>
      </c>
    </row>
    <row r="666" spans="1:11">
      <c r="A666" s="14" t="s">
        <v>16654</v>
      </c>
      <c r="B666" s="14" t="s">
        <v>16655</v>
      </c>
      <c r="C666" s="14" t="s">
        <v>16086</v>
      </c>
      <c r="D666" s="14">
        <v>4</v>
      </c>
      <c r="E666" s="14">
        <v>1239</v>
      </c>
      <c r="F666" s="14">
        <v>41</v>
      </c>
      <c r="G666" s="14">
        <v>15605</v>
      </c>
      <c r="H666" s="14">
        <v>0.412094390782692</v>
      </c>
      <c r="I666" s="14">
        <v>0.863762834210566</v>
      </c>
      <c r="J666" s="14">
        <v>1.22876434575484</v>
      </c>
      <c r="K666" s="14" t="s">
        <v>20405</v>
      </c>
    </row>
    <row r="667" spans="1:11">
      <c r="A667" s="14" t="s">
        <v>16679</v>
      </c>
      <c r="B667" s="14" t="s">
        <v>16680</v>
      </c>
      <c r="C667" s="14" t="s">
        <v>16090</v>
      </c>
      <c r="D667" s="14">
        <v>7</v>
      </c>
      <c r="E667" s="14">
        <v>1239</v>
      </c>
      <c r="F667" s="14">
        <v>77</v>
      </c>
      <c r="G667" s="14">
        <v>15605</v>
      </c>
      <c r="H667" s="14">
        <v>0.412634221787344</v>
      </c>
      <c r="I667" s="14">
        <v>0.863762834210566</v>
      </c>
      <c r="J667" s="14">
        <v>1.14498495854428</v>
      </c>
      <c r="K667" s="14" t="s">
        <v>20703</v>
      </c>
    </row>
    <row r="668" spans="1:11">
      <c r="A668" s="14" t="s">
        <v>16819</v>
      </c>
      <c r="B668" s="14" t="s">
        <v>16820</v>
      </c>
      <c r="C668" s="14" t="s">
        <v>16090</v>
      </c>
      <c r="D668" s="14">
        <v>6</v>
      </c>
      <c r="E668" s="14">
        <v>1239</v>
      </c>
      <c r="F668" s="14">
        <v>65</v>
      </c>
      <c r="G668" s="14">
        <v>15605</v>
      </c>
      <c r="H668" s="14">
        <v>0.413361374573377</v>
      </c>
      <c r="I668" s="14">
        <v>0.863762834210566</v>
      </c>
      <c r="J668" s="14">
        <v>1.16260011175265</v>
      </c>
      <c r="K668" s="14" t="s">
        <v>20704</v>
      </c>
    </row>
    <row r="669" spans="1:11">
      <c r="A669" s="14" t="s">
        <v>16752</v>
      </c>
      <c r="B669" s="14" t="s">
        <v>16753</v>
      </c>
      <c r="C669" s="14" t="s">
        <v>16090</v>
      </c>
      <c r="D669" s="14">
        <v>15</v>
      </c>
      <c r="E669" s="14">
        <v>1239</v>
      </c>
      <c r="F669" s="14">
        <v>175</v>
      </c>
      <c r="G669" s="14">
        <v>15605</v>
      </c>
      <c r="H669" s="14">
        <v>0.417743013970212</v>
      </c>
      <c r="I669" s="14">
        <v>0.863762834210566</v>
      </c>
      <c r="J669" s="14">
        <v>1.07955724662746</v>
      </c>
      <c r="K669" s="14" t="s">
        <v>20705</v>
      </c>
    </row>
    <row r="670" spans="1:11">
      <c r="A670" s="14" t="s">
        <v>18968</v>
      </c>
      <c r="B670" s="14" t="s">
        <v>18969</v>
      </c>
      <c r="C670" s="14" t="s">
        <v>16090</v>
      </c>
      <c r="D670" s="14">
        <v>17</v>
      </c>
      <c r="E670" s="14">
        <v>1239</v>
      </c>
      <c r="F670" s="14">
        <v>200</v>
      </c>
      <c r="G670" s="14">
        <v>15605</v>
      </c>
      <c r="H670" s="14">
        <v>0.421389813804138</v>
      </c>
      <c r="I670" s="14">
        <v>0.863762834210566</v>
      </c>
      <c r="J670" s="14">
        <v>1.0705609362389</v>
      </c>
      <c r="K670" s="14" t="s">
        <v>20706</v>
      </c>
    </row>
    <row r="671" spans="1:11">
      <c r="A671" s="14" t="s">
        <v>19278</v>
      </c>
      <c r="B671" s="14" t="s">
        <v>19279</v>
      </c>
      <c r="C671" s="14" t="s">
        <v>16086</v>
      </c>
      <c r="D671" s="14">
        <v>9</v>
      </c>
      <c r="E671" s="14">
        <v>1239</v>
      </c>
      <c r="F671" s="14">
        <v>102</v>
      </c>
      <c r="G671" s="14">
        <v>15605</v>
      </c>
      <c r="H671" s="14">
        <v>0.421718015619675</v>
      </c>
      <c r="I671" s="14">
        <v>0.863762834210566</v>
      </c>
      <c r="J671" s="14">
        <v>1.1113089303518</v>
      </c>
      <c r="K671" s="14" t="s">
        <v>20707</v>
      </c>
    </row>
    <row r="672" spans="1:11">
      <c r="A672" s="14" t="s">
        <v>16378</v>
      </c>
      <c r="B672" s="14" t="s">
        <v>16379</v>
      </c>
      <c r="C672" s="14" t="s">
        <v>16090</v>
      </c>
      <c r="D672" s="14">
        <v>2</v>
      </c>
      <c r="E672" s="14">
        <v>1239</v>
      </c>
      <c r="F672" s="14">
        <v>18</v>
      </c>
      <c r="G672" s="14">
        <v>15605</v>
      </c>
      <c r="H672" s="14">
        <v>0.424302594456065</v>
      </c>
      <c r="I672" s="14">
        <v>0.863762834210566</v>
      </c>
      <c r="J672" s="14">
        <v>1.39942606044301</v>
      </c>
      <c r="K672" s="14" t="s">
        <v>20708</v>
      </c>
    </row>
    <row r="673" spans="1:11">
      <c r="A673" s="14" t="s">
        <v>17111</v>
      </c>
      <c r="B673" s="14" t="s">
        <v>17112</v>
      </c>
      <c r="C673" s="14" t="s">
        <v>16086</v>
      </c>
      <c r="D673" s="14">
        <v>2</v>
      </c>
      <c r="E673" s="14">
        <v>1239</v>
      </c>
      <c r="F673" s="14">
        <v>18</v>
      </c>
      <c r="G673" s="14">
        <v>15605</v>
      </c>
      <c r="H673" s="14">
        <v>0.424302594456065</v>
      </c>
      <c r="I673" s="14">
        <v>0.863762834210566</v>
      </c>
      <c r="J673" s="14">
        <v>1.39942606044301</v>
      </c>
      <c r="K673" s="14" t="s">
        <v>20709</v>
      </c>
    </row>
    <row r="674" spans="1:11">
      <c r="A674" s="14" t="s">
        <v>19033</v>
      </c>
      <c r="B674" s="14" t="s">
        <v>19034</v>
      </c>
      <c r="C674" s="14" t="s">
        <v>16096</v>
      </c>
      <c r="D674" s="14">
        <v>2</v>
      </c>
      <c r="E674" s="14">
        <v>1239</v>
      </c>
      <c r="F674" s="14">
        <v>18</v>
      </c>
      <c r="G674" s="14">
        <v>15605</v>
      </c>
      <c r="H674" s="14">
        <v>0.424302594456065</v>
      </c>
      <c r="I674" s="14">
        <v>0.863762834210566</v>
      </c>
      <c r="J674" s="14">
        <v>1.39942606044301</v>
      </c>
      <c r="K674" s="14" t="s">
        <v>20710</v>
      </c>
    </row>
    <row r="675" spans="1:11">
      <c r="A675" s="14" t="s">
        <v>20711</v>
      </c>
      <c r="B675" s="14" t="s">
        <v>20712</v>
      </c>
      <c r="C675" s="14" t="s">
        <v>16090</v>
      </c>
      <c r="D675" s="14">
        <v>2</v>
      </c>
      <c r="E675" s="14">
        <v>1239</v>
      </c>
      <c r="F675" s="14">
        <v>18</v>
      </c>
      <c r="G675" s="14">
        <v>15605</v>
      </c>
      <c r="H675" s="14">
        <v>0.424302594456065</v>
      </c>
      <c r="I675" s="14">
        <v>0.863762834210566</v>
      </c>
      <c r="J675" s="14">
        <v>1.39942606044301</v>
      </c>
      <c r="K675" s="14" t="s">
        <v>20713</v>
      </c>
    </row>
    <row r="676" spans="1:11">
      <c r="A676" s="14" t="s">
        <v>18028</v>
      </c>
      <c r="B676" s="14" t="s">
        <v>18029</v>
      </c>
      <c r="C676" s="14" t="s">
        <v>16086</v>
      </c>
      <c r="D676" s="14">
        <v>2</v>
      </c>
      <c r="E676" s="14">
        <v>1239</v>
      </c>
      <c r="F676" s="14">
        <v>18</v>
      </c>
      <c r="G676" s="14">
        <v>15605</v>
      </c>
      <c r="H676" s="14">
        <v>0.424302594456065</v>
      </c>
      <c r="I676" s="14">
        <v>0.863762834210566</v>
      </c>
      <c r="J676" s="14">
        <v>1.39942606044301</v>
      </c>
      <c r="K676" s="14" t="s">
        <v>20714</v>
      </c>
    </row>
    <row r="677" spans="1:11">
      <c r="A677" s="14" t="s">
        <v>19041</v>
      </c>
      <c r="B677" s="14" t="s">
        <v>19042</v>
      </c>
      <c r="C677" s="14" t="s">
        <v>16090</v>
      </c>
      <c r="D677" s="14">
        <v>2</v>
      </c>
      <c r="E677" s="14">
        <v>1239</v>
      </c>
      <c r="F677" s="14">
        <v>18</v>
      </c>
      <c r="G677" s="14">
        <v>15605</v>
      </c>
      <c r="H677" s="14">
        <v>0.424302594456065</v>
      </c>
      <c r="I677" s="14">
        <v>0.863762834210566</v>
      </c>
      <c r="J677" s="14">
        <v>1.39942606044301</v>
      </c>
      <c r="K677" s="14" t="s">
        <v>20715</v>
      </c>
    </row>
    <row r="678" spans="1:11">
      <c r="A678" s="14" t="s">
        <v>20716</v>
      </c>
      <c r="B678" s="14" t="s">
        <v>20717</v>
      </c>
      <c r="C678" s="14" t="s">
        <v>16090</v>
      </c>
      <c r="D678" s="14">
        <v>2</v>
      </c>
      <c r="E678" s="14">
        <v>1239</v>
      </c>
      <c r="F678" s="14">
        <v>18</v>
      </c>
      <c r="G678" s="14">
        <v>15605</v>
      </c>
      <c r="H678" s="14">
        <v>0.424302594456065</v>
      </c>
      <c r="I678" s="14">
        <v>0.863762834210566</v>
      </c>
      <c r="J678" s="14">
        <v>1.39942606044301</v>
      </c>
      <c r="K678" s="14" t="s">
        <v>20718</v>
      </c>
    </row>
    <row r="679" spans="1:11">
      <c r="A679" s="14" t="s">
        <v>20719</v>
      </c>
      <c r="B679" s="14" t="s">
        <v>20720</v>
      </c>
      <c r="C679" s="14" t="s">
        <v>16090</v>
      </c>
      <c r="D679" s="14">
        <v>2</v>
      </c>
      <c r="E679" s="14">
        <v>1239</v>
      </c>
      <c r="F679" s="14">
        <v>18</v>
      </c>
      <c r="G679" s="14">
        <v>15605</v>
      </c>
      <c r="H679" s="14">
        <v>0.424302594456065</v>
      </c>
      <c r="I679" s="14">
        <v>0.863762834210566</v>
      </c>
      <c r="J679" s="14">
        <v>1.39942606044301</v>
      </c>
      <c r="K679" s="14" t="s">
        <v>20721</v>
      </c>
    </row>
    <row r="680" spans="1:11">
      <c r="A680" s="14" t="s">
        <v>16667</v>
      </c>
      <c r="B680" s="14" t="s">
        <v>16668</v>
      </c>
      <c r="C680" s="14" t="s">
        <v>16086</v>
      </c>
      <c r="D680" s="14">
        <v>2</v>
      </c>
      <c r="E680" s="14">
        <v>1239</v>
      </c>
      <c r="F680" s="14">
        <v>18</v>
      </c>
      <c r="G680" s="14">
        <v>15605</v>
      </c>
      <c r="H680" s="14">
        <v>0.424302594456065</v>
      </c>
      <c r="I680" s="14">
        <v>0.863762834210566</v>
      </c>
      <c r="J680" s="14">
        <v>1.39942606044301</v>
      </c>
      <c r="K680" s="14" t="s">
        <v>20722</v>
      </c>
    </row>
    <row r="681" spans="1:11">
      <c r="A681" s="14" t="s">
        <v>19045</v>
      </c>
      <c r="B681" s="14" t="s">
        <v>19046</v>
      </c>
      <c r="C681" s="14" t="s">
        <v>16086</v>
      </c>
      <c r="D681" s="14">
        <v>2</v>
      </c>
      <c r="E681" s="14">
        <v>1239</v>
      </c>
      <c r="F681" s="14">
        <v>18</v>
      </c>
      <c r="G681" s="14">
        <v>15605</v>
      </c>
      <c r="H681" s="14">
        <v>0.424302594456065</v>
      </c>
      <c r="I681" s="14">
        <v>0.863762834210566</v>
      </c>
      <c r="J681" s="14">
        <v>1.39942606044301</v>
      </c>
      <c r="K681" s="14" t="s">
        <v>20723</v>
      </c>
    </row>
    <row r="682" spans="1:11">
      <c r="A682" s="14" t="s">
        <v>16136</v>
      </c>
      <c r="B682" s="14" t="s">
        <v>16137</v>
      </c>
      <c r="C682" s="14" t="s">
        <v>16090</v>
      </c>
      <c r="D682" s="14">
        <v>27</v>
      </c>
      <c r="E682" s="14">
        <v>1239</v>
      </c>
      <c r="F682" s="14">
        <v>324</v>
      </c>
      <c r="G682" s="14">
        <v>15605</v>
      </c>
      <c r="H682" s="14">
        <v>0.425390874131801</v>
      </c>
      <c r="I682" s="14">
        <v>0.863762834210566</v>
      </c>
      <c r="J682" s="14">
        <v>1.04956954533226</v>
      </c>
      <c r="K682" s="14" t="s">
        <v>20724</v>
      </c>
    </row>
    <row r="683" spans="1:11">
      <c r="A683" s="14" t="s">
        <v>18046</v>
      </c>
      <c r="B683" s="14" t="s">
        <v>18047</v>
      </c>
      <c r="C683" s="14" t="s">
        <v>16090</v>
      </c>
      <c r="D683" s="14">
        <v>3</v>
      </c>
      <c r="E683" s="14">
        <v>1239</v>
      </c>
      <c r="F683" s="14">
        <v>30</v>
      </c>
      <c r="G683" s="14">
        <v>15605</v>
      </c>
      <c r="H683" s="14">
        <v>0.429734370599698</v>
      </c>
      <c r="I683" s="14">
        <v>0.863762834210566</v>
      </c>
      <c r="J683" s="14">
        <v>1.25948345439871</v>
      </c>
      <c r="K683" s="14" t="s">
        <v>20725</v>
      </c>
    </row>
    <row r="684" spans="1:11">
      <c r="A684" s="14" t="s">
        <v>20726</v>
      </c>
      <c r="B684" s="14" t="s">
        <v>20727</v>
      </c>
      <c r="C684" s="14" t="s">
        <v>16090</v>
      </c>
      <c r="D684" s="14">
        <v>4</v>
      </c>
      <c r="E684" s="14">
        <v>1239</v>
      </c>
      <c r="F684" s="14">
        <v>42</v>
      </c>
      <c r="G684" s="14">
        <v>15605</v>
      </c>
      <c r="H684" s="14">
        <v>0.430389466622336</v>
      </c>
      <c r="I684" s="14">
        <v>0.863762834210566</v>
      </c>
      <c r="J684" s="14">
        <v>1.19950805180829</v>
      </c>
      <c r="K684" s="14" t="s">
        <v>20728</v>
      </c>
    </row>
    <row r="685" spans="1:11">
      <c r="A685" s="14" t="s">
        <v>20729</v>
      </c>
      <c r="B685" s="14" t="s">
        <v>20730</v>
      </c>
      <c r="C685" s="14" t="s">
        <v>16086</v>
      </c>
      <c r="D685" s="14">
        <v>1</v>
      </c>
      <c r="E685" s="14">
        <v>1239</v>
      </c>
      <c r="F685" s="14">
        <v>7</v>
      </c>
      <c r="G685" s="14">
        <v>15605</v>
      </c>
      <c r="H685" s="14">
        <v>0.439656673662348</v>
      </c>
      <c r="I685" s="14">
        <v>0.863762834210566</v>
      </c>
      <c r="J685" s="14">
        <v>1.79926207771244</v>
      </c>
      <c r="K685" s="14" t="s">
        <v>990</v>
      </c>
    </row>
    <row r="686" spans="1:11">
      <c r="A686" s="14" t="s">
        <v>20731</v>
      </c>
      <c r="B686" s="14" t="s">
        <v>20732</v>
      </c>
      <c r="C686" s="14" t="s">
        <v>16086</v>
      </c>
      <c r="D686" s="14">
        <v>1</v>
      </c>
      <c r="E686" s="14">
        <v>1239</v>
      </c>
      <c r="F686" s="14">
        <v>7</v>
      </c>
      <c r="G686" s="14">
        <v>15605</v>
      </c>
      <c r="H686" s="14">
        <v>0.439656673662348</v>
      </c>
      <c r="I686" s="14">
        <v>0.863762834210566</v>
      </c>
      <c r="J686" s="14">
        <v>1.79926207771244</v>
      </c>
      <c r="K686" s="14" t="s">
        <v>3620</v>
      </c>
    </row>
    <row r="687" spans="1:11">
      <c r="A687" s="14" t="s">
        <v>17922</v>
      </c>
      <c r="B687" s="14" t="s">
        <v>17923</v>
      </c>
      <c r="C687" s="14" t="s">
        <v>16096</v>
      </c>
      <c r="D687" s="14">
        <v>1</v>
      </c>
      <c r="E687" s="14">
        <v>1239</v>
      </c>
      <c r="F687" s="14">
        <v>7</v>
      </c>
      <c r="G687" s="14">
        <v>15605</v>
      </c>
      <c r="H687" s="14">
        <v>0.439656673662348</v>
      </c>
      <c r="I687" s="14">
        <v>0.863762834210566</v>
      </c>
      <c r="J687" s="14">
        <v>1.79926207771244</v>
      </c>
      <c r="K687" s="14" t="s">
        <v>15204</v>
      </c>
    </row>
    <row r="688" spans="1:11">
      <c r="A688" s="14" t="s">
        <v>20733</v>
      </c>
      <c r="B688" s="14" t="s">
        <v>20734</v>
      </c>
      <c r="C688" s="14" t="s">
        <v>16090</v>
      </c>
      <c r="D688" s="14">
        <v>1</v>
      </c>
      <c r="E688" s="14">
        <v>1239</v>
      </c>
      <c r="F688" s="14">
        <v>7</v>
      </c>
      <c r="G688" s="14">
        <v>15605</v>
      </c>
      <c r="H688" s="14">
        <v>0.439656673662348</v>
      </c>
      <c r="I688" s="14">
        <v>0.863762834210566</v>
      </c>
      <c r="J688" s="14">
        <v>1.79926207771244</v>
      </c>
      <c r="K688" s="14" t="s">
        <v>14017</v>
      </c>
    </row>
    <row r="689" spans="1:11">
      <c r="A689" s="14" t="s">
        <v>17930</v>
      </c>
      <c r="B689" s="14" t="s">
        <v>17931</v>
      </c>
      <c r="C689" s="14" t="s">
        <v>16090</v>
      </c>
      <c r="D689" s="14">
        <v>1</v>
      </c>
      <c r="E689" s="14">
        <v>1239</v>
      </c>
      <c r="F689" s="14">
        <v>7</v>
      </c>
      <c r="G689" s="14">
        <v>15605</v>
      </c>
      <c r="H689" s="14">
        <v>0.439656673662348</v>
      </c>
      <c r="I689" s="14">
        <v>0.863762834210566</v>
      </c>
      <c r="J689" s="14">
        <v>1.79926207771244</v>
      </c>
      <c r="K689" s="14" t="s">
        <v>4498</v>
      </c>
    </row>
    <row r="690" spans="1:11">
      <c r="A690" s="14" t="s">
        <v>20735</v>
      </c>
      <c r="B690" s="14" t="s">
        <v>20736</v>
      </c>
      <c r="C690" s="14" t="s">
        <v>16090</v>
      </c>
      <c r="D690" s="14">
        <v>1</v>
      </c>
      <c r="E690" s="14">
        <v>1239</v>
      </c>
      <c r="F690" s="14">
        <v>7</v>
      </c>
      <c r="G690" s="14">
        <v>15605</v>
      </c>
      <c r="H690" s="14">
        <v>0.439656673662348</v>
      </c>
      <c r="I690" s="14">
        <v>0.863762834210566</v>
      </c>
      <c r="J690" s="14">
        <v>1.79926207771244</v>
      </c>
      <c r="K690" s="14" t="s">
        <v>8651</v>
      </c>
    </row>
    <row r="691" spans="1:11">
      <c r="A691" s="14" t="s">
        <v>16850</v>
      </c>
      <c r="B691" s="14" t="s">
        <v>16851</v>
      </c>
      <c r="C691" s="14" t="s">
        <v>16090</v>
      </c>
      <c r="D691" s="14">
        <v>1</v>
      </c>
      <c r="E691" s="14">
        <v>1239</v>
      </c>
      <c r="F691" s="14">
        <v>7</v>
      </c>
      <c r="G691" s="14">
        <v>15605</v>
      </c>
      <c r="H691" s="14">
        <v>0.439656673662348</v>
      </c>
      <c r="I691" s="14">
        <v>0.863762834210566</v>
      </c>
      <c r="J691" s="14">
        <v>1.79926207771244</v>
      </c>
      <c r="K691" s="14" t="s">
        <v>6087</v>
      </c>
    </row>
    <row r="692" spans="1:11">
      <c r="A692" s="14" t="s">
        <v>20737</v>
      </c>
      <c r="B692" s="14" t="s">
        <v>20738</v>
      </c>
      <c r="C692" s="14" t="s">
        <v>16086</v>
      </c>
      <c r="D692" s="14">
        <v>1</v>
      </c>
      <c r="E692" s="14">
        <v>1239</v>
      </c>
      <c r="F692" s="14">
        <v>7</v>
      </c>
      <c r="G692" s="14">
        <v>15605</v>
      </c>
      <c r="H692" s="14">
        <v>0.439656673662348</v>
      </c>
      <c r="I692" s="14">
        <v>0.863762834210566</v>
      </c>
      <c r="J692" s="14">
        <v>1.79926207771244</v>
      </c>
      <c r="K692" s="14" t="s">
        <v>1795</v>
      </c>
    </row>
    <row r="693" spans="1:11">
      <c r="A693" s="14" t="s">
        <v>17932</v>
      </c>
      <c r="B693" s="14" t="s">
        <v>17933</v>
      </c>
      <c r="C693" s="14" t="s">
        <v>16090</v>
      </c>
      <c r="D693" s="14">
        <v>1</v>
      </c>
      <c r="E693" s="14">
        <v>1239</v>
      </c>
      <c r="F693" s="14">
        <v>7</v>
      </c>
      <c r="G693" s="14">
        <v>15605</v>
      </c>
      <c r="H693" s="14">
        <v>0.439656673662348</v>
      </c>
      <c r="I693" s="14">
        <v>0.863762834210566</v>
      </c>
      <c r="J693" s="14">
        <v>1.79926207771244</v>
      </c>
      <c r="K693" s="14" t="s">
        <v>5678</v>
      </c>
    </row>
    <row r="694" spans="1:11">
      <c r="A694" s="14" t="s">
        <v>16853</v>
      </c>
      <c r="B694" s="14" t="s">
        <v>16854</v>
      </c>
      <c r="C694" s="14" t="s">
        <v>16090</v>
      </c>
      <c r="D694" s="14">
        <v>1</v>
      </c>
      <c r="E694" s="14">
        <v>1239</v>
      </c>
      <c r="F694" s="14">
        <v>7</v>
      </c>
      <c r="G694" s="14">
        <v>15605</v>
      </c>
      <c r="H694" s="14">
        <v>0.439656673662348</v>
      </c>
      <c r="I694" s="14">
        <v>0.863762834210566</v>
      </c>
      <c r="J694" s="14">
        <v>1.79926207771244</v>
      </c>
      <c r="K694" s="14" t="s">
        <v>12813</v>
      </c>
    </row>
    <row r="695" spans="1:11">
      <c r="A695" s="14" t="s">
        <v>16856</v>
      </c>
      <c r="B695" s="14" t="s">
        <v>16857</v>
      </c>
      <c r="C695" s="14" t="s">
        <v>16090</v>
      </c>
      <c r="D695" s="14">
        <v>1</v>
      </c>
      <c r="E695" s="14">
        <v>1239</v>
      </c>
      <c r="F695" s="14">
        <v>7</v>
      </c>
      <c r="G695" s="14">
        <v>15605</v>
      </c>
      <c r="H695" s="14">
        <v>0.439656673662348</v>
      </c>
      <c r="I695" s="14">
        <v>0.863762834210566</v>
      </c>
      <c r="J695" s="14">
        <v>1.79926207771244</v>
      </c>
      <c r="K695" s="14" t="s">
        <v>9048</v>
      </c>
    </row>
    <row r="696" spans="1:11">
      <c r="A696" s="14" t="s">
        <v>17938</v>
      </c>
      <c r="B696" s="14" t="s">
        <v>17939</v>
      </c>
      <c r="C696" s="14" t="s">
        <v>16090</v>
      </c>
      <c r="D696" s="14">
        <v>1</v>
      </c>
      <c r="E696" s="14">
        <v>1239</v>
      </c>
      <c r="F696" s="14">
        <v>7</v>
      </c>
      <c r="G696" s="14">
        <v>15605</v>
      </c>
      <c r="H696" s="14">
        <v>0.439656673662348</v>
      </c>
      <c r="I696" s="14">
        <v>0.863762834210566</v>
      </c>
      <c r="J696" s="14">
        <v>1.79926207771244</v>
      </c>
      <c r="K696" s="14" t="s">
        <v>1574</v>
      </c>
    </row>
    <row r="697" spans="1:11">
      <c r="A697" s="14" t="s">
        <v>20739</v>
      </c>
      <c r="B697" s="14" t="s">
        <v>20740</v>
      </c>
      <c r="C697" s="14" t="s">
        <v>16096</v>
      </c>
      <c r="D697" s="14">
        <v>1</v>
      </c>
      <c r="E697" s="14">
        <v>1239</v>
      </c>
      <c r="F697" s="14">
        <v>7</v>
      </c>
      <c r="G697" s="14">
        <v>15605</v>
      </c>
      <c r="H697" s="14">
        <v>0.439656673662348</v>
      </c>
      <c r="I697" s="14">
        <v>0.863762834210566</v>
      </c>
      <c r="J697" s="14">
        <v>1.79926207771244</v>
      </c>
      <c r="K697" s="14" t="s">
        <v>7262</v>
      </c>
    </row>
    <row r="698" spans="1:11">
      <c r="A698" s="14" t="s">
        <v>20741</v>
      </c>
      <c r="B698" s="14" t="s">
        <v>20742</v>
      </c>
      <c r="C698" s="14" t="s">
        <v>16090</v>
      </c>
      <c r="D698" s="14">
        <v>1</v>
      </c>
      <c r="E698" s="14">
        <v>1239</v>
      </c>
      <c r="F698" s="14">
        <v>7</v>
      </c>
      <c r="G698" s="14">
        <v>15605</v>
      </c>
      <c r="H698" s="14">
        <v>0.439656673662348</v>
      </c>
      <c r="I698" s="14">
        <v>0.863762834210566</v>
      </c>
      <c r="J698" s="14">
        <v>1.79926207771244</v>
      </c>
      <c r="K698" s="14" t="s">
        <v>3452</v>
      </c>
    </row>
    <row r="699" spans="1:11">
      <c r="A699" s="14" t="s">
        <v>20743</v>
      </c>
      <c r="B699" s="14" t="s">
        <v>20744</v>
      </c>
      <c r="C699" s="14" t="s">
        <v>16086</v>
      </c>
      <c r="D699" s="14">
        <v>1</v>
      </c>
      <c r="E699" s="14">
        <v>1239</v>
      </c>
      <c r="F699" s="14">
        <v>7</v>
      </c>
      <c r="G699" s="14">
        <v>15605</v>
      </c>
      <c r="H699" s="14">
        <v>0.439656673662348</v>
      </c>
      <c r="I699" s="14">
        <v>0.863762834210566</v>
      </c>
      <c r="J699" s="14">
        <v>1.79926207771244</v>
      </c>
      <c r="K699" s="14" t="s">
        <v>8724</v>
      </c>
    </row>
    <row r="700" spans="1:11">
      <c r="A700" s="14" t="s">
        <v>20745</v>
      </c>
      <c r="B700" s="14" t="s">
        <v>20746</v>
      </c>
      <c r="C700" s="14" t="s">
        <v>16090</v>
      </c>
      <c r="D700" s="14">
        <v>1</v>
      </c>
      <c r="E700" s="14">
        <v>1239</v>
      </c>
      <c r="F700" s="14">
        <v>7</v>
      </c>
      <c r="G700" s="14">
        <v>15605</v>
      </c>
      <c r="H700" s="14">
        <v>0.439656673662348</v>
      </c>
      <c r="I700" s="14">
        <v>0.863762834210566</v>
      </c>
      <c r="J700" s="14">
        <v>1.79926207771244</v>
      </c>
      <c r="K700" s="14" t="s">
        <v>5213</v>
      </c>
    </row>
    <row r="701" spans="1:11">
      <c r="A701" s="14" t="s">
        <v>17946</v>
      </c>
      <c r="B701" s="14" t="s">
        <v>17947</v>
      </c>
      <c r="C701" s="14" t="s">
        <v>16086</v>
      </c>
      <c r="D701" s="14">
        <v>1</v>
      </c>
      <c r="E701" s="14">
        <v>1239</v>
      </c>
      <c r="F701" s="14">
        <v>7</v>
      </c>
      <c r="G701" s="14">
        <v>15605</v>
      </c>
      <c r="H701" s="14">
        <v>0.439656673662348</v>
      </c>
      <c r="I701" s="14">
        <v>0.863762834210566</v>
      </c>
      <c r="J701" s="14">
        <v>1.79926207771244</v>
      </c>
      <c r="K701" s="14" t="s">
        <v>1110</v>
      </c>
    </row>
    <row r="702" spans="1:11">
      <c r="A702" s="14" t="s">
        <v>20747</v>
      </c>
      <c r="B702" s="14" t="s">
        <v>20748</v>
      </c>
      <c r="C702" s="14" t="s">
        <v>16096</v>
      </c>
      <c r="D702" s="14">
        <v>1</v>
      </c>
      <c r="E702" s="14">
        <v>1239</v>
      </c>
      <c r="F702" s="14">
        <v>7</v>
      </c>
      <c r="G702" s="14">
        <v>15605</v>
      </c>
      <c r="H702" s="14">
        <v>0.439656673662348</v>
      </c>
      <c r="I702" s="14">
        <v>0.863762834210566</v>
      </c>
      <c r="J702" s="14">
        <v>1.79926207771244</v>
      </c>
      <c r="K702" s="14" t="s">
        <v>2399</v>
      </c>
    </row>
    <row r="703" spans="1:11">
      <c r="A703" s="14" t="s">
        <v>17948</v>
      </c>
      <c r="B703" s="14" t="s">
        <v>17949</v>
      </c>
      <c r="C703" s="14" t="s">
        <v>16086</v>
      </c>
      <c r="D703" s="14">
        <v>1</v>
      </c>
      <c r="E703" s="14">
        <v>1239</v>
      </c>
      <c r="F703" s="14">
        <v>7</v>
      </c>
      <c r="G703" s="14">
        <v>15605</v>
      </c>
      <c r="H703" s="14">
        <v>0.439656673662348</v>
      </c>
      <c r="I703" s="14">
        <v>0.863762834210566</v>
      </c>
      <c r="J703" s="14">
        <v>1.79926207771244</v>
      </c>
      <c r="K703" s="14" t="s">
        <v>14677</v>
      </c>
    </row>
    <row r="704" spans="1:11">
      <c r="A704" s="14" t="s">
        <v>20749</v>
      </c>
      <c r="B704" s="14" t="s">
        <v>20750</v>
      </c>
      <c r="C704" s="14" t="s">
        <v>16090</v>
      </c>
      <c r="D704" s="14">
        <v>1</v>
      </c>
      <c r="E704" s="14">
        <v>1239</v>
      </c>
      <c r="F704" s="14">
        <v>7</v>
      </c>
      <c r="G704" s="14">
        <v>15605</v>
      </c>
      <c r="H704" s="14">
        <v>0.439656673662348</v>
      </c>
      <c r="I704" s="14">
        <v>0.863762834210566</v>
      </c>
      <c r="J704" s="14">
        <v>1.79926207771244</v>
      </c>
      <c r="K704" s="14" t="s">
        <v>679</v>
      </c>
    </row>
    <row r="705" spans="1:11">
      <c r="A705" s="14" t="s">
        <v>20751</v>
      </c>
      <c r="B705" s="14" t="s">
        <v>20752</v>
      </c>
      <c r="C705" s="14" t="s">
        <v>16090</v>
      </c>
      <c r="D705" s="14">
        <v>1</v>
      </c>
      <c r="E705" s="14">
        <v>1239</v>
      </c>
      <c r="F705" s="14">
        <v>7</v>
      </c>
      <c r="G705" s="14">
        <v>15605</v>
      </c>
      <c r="H705" s="14">
        <v>0.439656673662348</v>
      </c>
      <c r="I705" s="14">
        <v>0.863762834210566</v>
      </c>
      <c r="J705" s="14">
        <v>1.79926207771244</v>
      </c>
      <c r="K705" s="14" t="s">
        <v>10088</v>
      </c>
    </row>
    <row r="706" spans="1:11">
      <c r="A706" s="14" t="s">
        <v>17956</v>
      </c>
      <c r="B706" s="14" t="s">
        <v>17957</v>
      </c>
      <c r="C706" s="14" t="s">
        <v>16096</v>
      </c>
      <c r="D706" s="14">
        <v>1</v>
      </c>
      <c r="E706" s="14">
        <v>1239</v>
      </c>
      <c r="F706" s="14">
        <v>7</v>
      </c>
      <c r="G706" s="14">
        <v>15605</v>
      </c>
      <c r="H706" s="14">
        <v>0.439656673662348</v>
      </c>
      <c r="I706" s="14">
        <v>0.863762834210566</v>
      </c>
      <c r="J706" s="14">
        <v>1.79926207771244</v>
      </c>
      <c r="K706" s="14" t="s">
        <v>15204</v>
      </c>
    </row>
    <row r="707" spans="1:11">
      <c r="A707" s="14" t="s">
        <v>17960</v>
      </c>
      <c r="B707" s="14" t="s">
        <v>17961</v>
      </c>
      <c r="C707" s="14" t="s">
        <v>16086</v>
      </c>
      <c r="D707" s="14">
        <v>1</v>
      </c>
      <c r="E707" s="14">
        <v>1239</v>
      </c>
      <c r="F707" s="14">
        <v>7</v>
      </c>
      <c r="G707" s="14">
        <v>15605</v>
      </c>
      <c r="H707" s="14">
        <v>0.439656673662348</v>
      </c>
      <c r="I707" s="14">
        <v>0.863762834210566</v>
      </c>
      <c r="J707" s="14">
        <v>1.79926207771244</v>
      </c>
      <c r="K707" s="14" t="s">
        <v>5975</v>
      </c>
    </row>
    <row r="708" spans="1:11">
      <c r="A708" s="14" t="s">
        <v>20753</v>
      </c>
      <c r="B708" s="14" t="s">
        <v>20754</v>
      </c>
      <c r="C708" s="14" t="s">
        <v>16090</v>
      </c>
      <c r="D708" s="14">
        <v>1</v>
      </c>
      <c r="E708" s="14">
        <v>1239</v>
      </c>
      <c r="F708" s="14">
        <v>7</v>
      </c>
      <c r="G708" s="14">
        <v>15605</v>
      </c>
      <c r="H708" s="14">
        <v>0.439656673662348</v>
      </c>
      <c r="I708" s="14">
        <v>0.863762834210566</v>
      </c>
      <c r="J708" s="14">
        <v>1.79926207771244</v>
      </c>
      <c r="K708" s="14" t="s">
        <v>7081</v>
      </c>
    </row>
    <row r="709" spans="1:11">
      <c r="A709" s="14" t="s">
        <v>20755</v>
      </c>
      <c r="B709" s="14" t="s">
        <v>20756</v>
      </c>
      <c r="C709" s="14" t="s">
        <v>16086</v>
      </c>
      <c r="D709" s="14">
        <v>1</v>
      </c>
      <c r="E709" s="14">
        <v>1239</v>
      </c>
      <c r="F709" s="14">
        <v>7</v>
      </c>
      <c r="G709" s="14">
        <v>15605</v>
      </c>
      <c r="H709" s="14">
        <v>0.439656673662348</v>
      </c>
      <c r="I709" s="14">
        <v>0.863762834210566</v>
      </c>
      <c r="J709" s="14">
        <v>1.79926207771244</v>
      </c>
      <c r="K709" s="14" t="s">
        <v>1795</v>
      </c>
    </row>
    <row r="710" spans="1:11">
      <c r="A710" s="14" t="s">
        <v>17968</v>
      </c>
      <c r="B710" s="14" t="s">
        <v>17969</v>
      </c>
      <c r="C710" s="14" t="s">
        <v>16086</v>
      </c>
      <c r="D710" s="14">
        <v>1</v>
      </c>
      <c r="E710" s="14">
        <v>1239</v>
      </c>
      <c r="F710" s="14">
        <v>7</v>
      </c>
      <c r="G710" s="14">
        <v>15605</v>
      </c>
      <c r="H710" s="14">
        <v>0.439656673662348</v>
      </c>
      <c r="I710" s="14">
        <v>0.863762834210566</v>
      </c>
      <c r="J710" s="14">
        <v>1.79926207771244</v>
      </c>
      <c r="K710" s="14" t="s">
        <v>9981</v>
      </c>
    </row>
    <row r="711" spans="1:11">
      <c r="A711" s="14" t="s">
        <v>20757</v>
      </c>
      <c r="B711" s="14" t="s">
        <v>20758</v>
      </c>
      <c r="C711" s="14" t="s">
        <v>16096</v>
      </c>
      <c r="D711" s="14">
        <v>1</v>
      </c>
      <c r="E711" s="14">
        <v>1239</v>
      </c>
      <c r="F711" s="14">
        <v>7</v>
      </c>
      <c r="G711" s="14">
        <v>15605</v>
      </c>
      <c r="H711" s="14">
        <v>0.439656673662348</v>
      </c>
      <c r="I711" s="14">
        <v>0.863762834210566</v>
      </c>
      <c r="J711" s="14">
        <v>1.79926207771244</v>
      </c>
      <c r="K711" s="14" t="s">
        <v>3585</v>
      </c>
    </row>
    <row r="712" spans="1:11">
      <c r="A712" s="14" t="s">
        <v>20759</v>
      </c>
      <c r="B712" s="14" t="s">
        <v>20760</v>
      </c>
      <c r="C712" s="14" t="s">
        <v>16090</v>
      </c>
      <c r="D712" s="14">
        <v>1</v>
      </c>
      <c r="E712" s="14">
        <v>1239</v>
      </c>
      <c r="F712" s="14">
        <v>7</v>
      </c>
      <c r="G712" s="14">
        <v>15605</v>
      </c>
      <c r="H712" s="14">
        <v>0.439656673662348</v>
      </c>
      <c r="I712" s="14">
        <v>0.863762834210566</v>
      </c>
      <c r="J712" s="14">
        <v>1.79926207771244</v>
      </c>
      <c r="K712" s="14" t="s">
        <v>11196</v>
      </c>
    </row>
    <row r="713" spans="1:11">
      <c r="A713" s="14" t="s">
        <v>17984</v>
      </c>
      <c r="B713" s="14" t="s">
        <v>17985</v>
      </c>
      <c r="C713" s="14" t="s">
        <v>16090</v>
      </c>
      <c r="D713" s="14">
        <v>1</v>
      </c>
      <c r="E713" s="14">
        <v>1239</v>
      </c>
      <c r="F713" s="14">
        <v>7</v>
      </c>
      <c r="G713" s="14">
        <v>15605</v>
      </c>
      <c r="H713" s="14">
        <v>0.439656673662348</v>
      </c>
      <c r="I713" s="14">
        <v>0.863762834210566</v>
      </c>
      <c r="J713" s="14">
        <v>1.79926207771244</v>
      </c>
      <c r="K713" s="14" t="s">
        <v>11525</v>
      </c>
    </row>
    <row r="714" spans="1:11">
      <c r="A714" s="14" t="s">
        <v>17986</v>
      </c>
      <c r="B714" s="14" t="s">
        <v>17987</v>
      </c>
      <c r="C714" s="14" t="s">
        <v>16090</v>
      </c>
      <c r="D714" s="14">
        <v>1</v>
      </c>
      <c r="E714" s="14">
        <v>1239</v>
      </c>
      <c r="F714" s="14">
        <v>7</v>
      </c>
      <c r="G714" s="14">
        <v>15605</v>
      </c>
      <c r="H714" s="14">
        <v>0.439656673662348</v>
      </c>
      <c r="I714" s="14">
        <v>0.863762834210566</v>
      </c>
      <c r="J714" s="14">
        <v>1.79926207771244</v>
      </c>
      <c r="K714" s="14" t="s">
        <v>15204</v>
      </c>
    </row>
    <row r="715" spans="1:11">
      <c r="A715" s="14" t="s">
        <v>20761</v>
      </c>
      <c r="B715" s="14" t="s">
        <v>20762</v>
      </c>
      <c r="C715" s="14" t="s">
        <v>16090</v>
      </c>
      <c r="D715" s="14">
        <v>1</v>
      </c>
      <c r="E715" s="14">
        <v>1239</v>
      </c>
      <c r="F715" s="14">
        <v>7</v>
      </c>
      <c r="G715" s="14">
        <v>15605</v>
      </c>
      <c r="H715" s="14">
        <v>0.439656673662348</v>
      </c>
      <c r="I715" s="14">
        <v>0.863762834210566</v>
      </c>
      <c r="J715" s="14">
        <v>1.79926207771244</v>
      </c>
      <c r="K715" s="14" t="s">
        <v>3208</v>
      </c>
    </row>
    <row r="716" spans="1:11">
      <c r="A716" s="14" t="s">
        <v>20763</v>
      </c>
      <c r="B716" s="14" t="s">
        <v>20764</v>
      </c>
      <c r="C716" s="14" t="s">
        <v>16090</v>
      </c>
      <c r="D716" s="14">
        <v>1</v>
      </c>
      <c r="E716" s="14">
        <v>1239</v>
      </c>
      <c r="F716" s="14">
        <v>7</v>
      </c>
      <c r="G716" s="14">
        <v>15605</v>
      </c>
      <c r="H716" s="14">
        <v>0.439656673662348</v>
      </c>
      <c r="I716" s="14">
        <v>0.863762834210566</v>
      </c>
      <c r="J716" s="14">
        <v>1.79926207771244</v>
      </c>
      <c r="K716" s="14" t="s">
        <v>230</v>
      </c>
    </row>
    <row r="717" spans="1:11">
      <c r="A717" s="14" t="s">
        <v>17990</v>
      </c>
      <c r="B717" s="14" t="s">
        <v>17991</v>
      </c>
      <c r="C717" s="14" t="s">
        <v>16090</v>
      </c>
      <c r="D717" s="14">
        <v>1</v>
      </c>
      <c r="E717" s="14">
        <v>1239</v>
      </c>
      <c r="F717" s="14">
        <v>7</v>
      </c>
      <c r="G717" s="14">
        <v>15605</v>
      </c>
      <c r="H717" s="14">
        <v>0.439656673662348</v>
      </c>
      <c r="I717" s="14">
        <v>0.863762834210566</v>
      </c>
      <c r="J717" s="14">
        <v>1.79926207771244</v>
      </c>
      <c r="K717" s="14" t="s">
        <v>6593</v>
      </c>
    </row>
    <row r="718" spans="1:11">
      <c r="A718" s="14" t="s">
        <v>20765</v>
      </c>
      <c r="B718" s="14" t="s">
        <v>20766</v>
      </c>
      <c r="C718" s="14" t="s">
        <v>16090</v>
      </c>
      <c r="D718" s="14">
        <v>1</v>
      </c>
      <c r="E718" s="14">
        <v>1239</v>
      </c>
      <c r="F718" s="14">
        <v>7</v>
      </c>
      <c r="G718" s="14">
        <v>15605</v>
      </c>
      <c r="H718" s="14">
        <v>0.439656673662348</v>
      </c>
      <c r="I718" s="14">
        <v>0.863762834210566</v>
      </c>
      <c r="J718" s="14">
        <v>1.79926207771244</v>
      </c>
      <c r="K718" s="14" t="s">
        <v>8583</v>
      </c>
    </row>
    <row r="719" spans="1:11">
      <c r="A719" s="14" t="s">
        <v>20767</v>
      </c>
      <c r="B719" s="14" t="s">
        <v>20768</v>
      </c>
      <c r="C719" s="14" t="s">
        <v>16086</v>
      </c>
      <c r="D719" s="14">
        <v>1</v>
      </c>
      <c r="E719" s="14">
        <v>1239</v>
      </c>
      <c r="F719" s="14">
        <v>7</v>
      </c>
      <c r="G719" s="14">
        <v>15605</v>
      </c>
      <c r="H719" s="14">
        <v>0.439656673662348</v>
      </c>
      <c r="I719" s="14">
        <v>0.863762834210566</v>
      </c>
      <c r="J719" s="14">
        <v>1.79926207771244</v>
      </c>
      <c r="K719" s="14" t="s">
        <v>7237</v>
      </c>
    </row>
    <row r="720" spans="1:11">
      <c r="A720" s="14" t="s">
        <v>20769</v>
      </c>
      <c r="B720" s="14" t="s">
        <v>20770</v>
      </c>
      <c r="C720" s="14" t="s">
        <v>16090</v>
      </c>
      <c r="D720" s="14">
        <v>1</v>
      </c>
      <c r="E720" s="14">
        <v>1239</v>
      </c>
      <c r="F720" s="14">
        <v>7</v>
      </c>
      <c r="G720" s="14">
        <v>15605</v>
      </c>
      <c r="H720" s="14">
        <v>0.439656673662348</v>
      </c>
      <c r="I720" s="14">
        <v>0.863762834210566</v>
      </c>
      <c r="J720" s="14">
        <v>1.79926207771244</v>
      </c>
      <c r="K720" s="14" t="s">
        <v>7450</v>
      </c>
    </row>
    <row r="721" spans="1:11">
      <c r="A721" s="14" t="s">
        <v>17996</v>
      </c>
      <c r="B721" s="14" t="s">
        <v>17997</v>
      </c>
      <c r="C721" s="14" t="s">
        <v>16086</v>
      </c>
      <c r="D721" s="14">
        <v>1</v>
      </c>
      <c r="E721" s="14">
        <v>1239</v>
      </c>
      <c r="F721" s="14">
        <v>7</v>
      </c>
      <c r="G721" s="14">
        <v>15605</v>
      </c>
      <c r="H721" s="14">
        <v>0.439656673662348</v>
      </c>
      <c r="I721" s="14">
        <v>0.863762834210566</v>
      </c>
      <c r="J721" s="14">
        <v>1.79926207771244</v>
      </c>
      <c r="K721" s="14" t="s">
        <v>7798</v>
      </c>
    </row>
    <row r="722" spans="1:11">
      <c r="A722" s="14" t="s">
        <v>18002</v>
      </c>
      <c r="B722" s="14" t="s">
        <v>18003</v>
      </c>
      <c r="C722" s="14" t="s">
        <v>16096</v>
      </c>
      <c r="D722" s="14">
        <v>1</v>
      </c>
      <c r="E722" s="14">
        <v>1239</v>
      </c>
      <c r="F722" s="14">
        <v>7</v>
      </c>
      <c r="G722" s="14">
        <v>15605</v>
      </c>
      <c r="H722" s="14">
        <v>0.439656673662348</v>
      </c>
      <c r="I722" s="14">
        <v>0.863762834210566</v>
      </c>
      <c r="J722" s="14">
        <v>1.79926207771244</v>
      </c>
      <c r="K722" s="14" t="s">
        <v>15204</v>
      </c>
    </row>
    <row r="723" spans="1:11">
      <c r="A723" s="14" t="s">
        <v>20771</v>
      </c>
      <c r="B723" s="14" t="s">
        <v>20772</v>
      </c>
      <c r="C723" s="14" t="s">
        <v>16086</v>
      </c>
      <c r="D723" s="14">
        <v>1</v>
      </c>
      <c r="E723" s="14">
        <v>1239</v>
      </c>
      <c r="F723" s="14">
        <v>7</v>
      </c>
      <c r="G723" s="14">
        <v>15605</v>
      </c>
      <c r="H723" s="14">
        <v>0.439656673662348</v>
      </c>
      <c r="I723" s="14">
        <v>0.863762834210566</v>
      </c>
      <c r="J723" s="14">
        <v>1.79926207771244</v>
      </c>
      <c r="K723" s="14" t="s">
        <v>6832</v>
      </c>
    </row>
    <row r="724" spans="1:11">
      <c r="A724" s="14" t="s">
        <v>20773</v>
      </c>
      <c r="B724" s="14" t="s">
        <v>20774</v>
      </c>
      <c r="C724" s="14" t="s">
        <v>16090</v>
      </c>
      <c r="D724" s="14">
        <v>1</v>
      </c>
      <c r="E724" s="14">
        <v>1239</v>
      </c>
      <c r="F724" s="14">
        <v>7</v>
      </c>
      <c r="G724" s="14">
        <v>15605</v>
      </c>
      <c r="H724" s="14">
        <v>0.439656673662348</v>
      </c>
      <c r="I724" s="14">
        <v>0.863762834210566</v>
      </c>
      <c r="J724" s="14">
        <v>1.79926207771244</v>
      </c>
      <c r="K724" s="14" t="s">
        <v>14775</v>
      </c>
    </row>
    <row r="725" spans="1:11">
      <c r="A725" s="14" t="s">
        <v>20775</v>
      </c>
      <c r="B725" s="14" t="s">
        <v>20776</v>
      </c>
      <c r="C725" s="14" t="s">
        <v>16090</v>
      </c>
      <c r="D725" s="14">
        <v>1</v>
      </c>
      <c r="E725" s="14">
        <v>1239</v>
      </c>
      <c r="F725" s="14">
        <v>7</v>
      </c>
      <c r="G725" s="14">
        <v>15605</v>
      </c>
      <c r="H725" s="14">
        <v>0.439656673662348</v>
      </c>
      <c r="I725" s="14">
        <v>0.863762834210566</v>
      </c>
      <c r="J725" s="14">
        <v>1.79926207771244</v>
      </c>
      <c r="K725" s="14" t="s">
        <v>2338</v>
      </c>
    </row>
    <row r="726" spans="1:11">
      <c r="A726" s="14" t="s">
        <v>16670</v>
      </c>
      <c r="B726" s="14" t="s">
        <v>16671</v>
      </c>
      <c r="C726" s="14" t="s">
        <v>16090</v>
      </c>
      <c r="D726" s="14">
        <v>6</v>
      </c>
      <c r="E726" s="14">
        <v>1239</v>
      </c>
      <c r="F726" s="14">
        <v>67</v>
      </c>
      <c r="G726" s="14">
        <v>15605</v>
      </c>
      <c r="H726" s="14">
        <v>0.442285631591782</v>
      </c>
      <c r="I726" s="14">
        <v>0.863762834210566</v>
      </c>
      <c r="J726" s="14">
        <v>1.12789563080481</v>
      </c>
      <c r="K726" s="14" t="s">
        <v>20198</v>
      </c>
    </row>
    <row r="727" spans="1:11">
      <c r="A727" s="14" t="s">
        <v>20777</v>
      </c>
      <c r="B727" s="14" t="s">
        <v>20778</v>
      </c>
      <c r="C727" s="14" t="s">
        <v>16086</v>
      </c>
      <c r="D727" s="14">
        <v>4</v>
      </c>
      <c r="E727" s="14">
        <v>1239</v>
      </c>
      <c r="F727" s="14">
        <v>43</v>
      </c>
      <c r="G727" s="14">
        <v>15605</v>
      </c>
      <c r="H727" s="14">
        <v>0.448528375241031</v>
      </c>
      <c r="I727" s="14">
        <v>0.863762834210566</v>
      </c>
      <c r="J727" s="14">
        <v>1.17161251571973</v>
      </c>
      <c r="K727" s="14" t="s">
        <v>20779</v>
      </c>
    </row>
    <row r="728" spans="1:11">
      <c r="A728" s="14" t="s">
        <v>18200</v>
      </c>
      <c r="B728" s="14" t="s">
        <v>18201</v>
      </c>
      <c r="C728" s="14" t="s">
        <v>16086</v>
      </c>
      <c r="D728" s="14">
        <v>3</v>
      </c>
      <c r="E728" s="14">
        <v>1239</v>
      </c>
      <c r="F728" s="14">
        <v>31</v>
      </c>
      <c r="G728" s="14">
        <v>15605</v>
      </c>
      <c r="H728" s="14">
        <v>0.451232129192083</v>
      </c>
      <c r="I728" s="14">
        <v>0.863762834210566</v>
      </c>
      <c r="J728" s="14">
        <v>1.21885495586972</v>
      </c>
      <c r="K728" s="14" t="s">
        <v>20347</v>
      </c>
    </row>
    <row r="729" spans="1:11">
      <c r="A729" s="14" t="s">
        <v>17327</v>
      </c>
      <c r="B729" s="14" t="s">
        <v>17328</v>
      </c>
      <c r="C729" s="14" t="s">
        <v>16090</v>
      </c>
      <c r="D729" s="14">
        <v>3</v>
      </c>
      <c r="E729" s="14">
        <v>1239</v>
      </c>
      <c r="F729" s="14">
        <v>31</v>
      </c>
      <c r="G729" s="14">
        <v>15605</v>
      </c>
      <c r="H729" s="14">
        <v>0.451232129192083</v>
      </c>
      <c r="I729" s="14">
        <v>0.863762834210566</v>
      </c>
      <c r="J729" s="14">
        <v>1.21885495586972</v>
      </c>
      <c r="K729" s="14" t="s">
        <v>20780</v>
      </c>
    </row>
    <row r="730" spans="1:11">
      <c r="A730" s="14" t="s">
        <v>17330</v>
      </c>
      <c r="B730" s="14" t="s">
        <v>17331</v>
      </c>
      <c r="C730" s="14" t="s">
        <v>16090</v>
      </c>
      <c r="D730" s="14">
        <v>3</v>
      </c>
      <c r="E730" s="14">
        <v>1239</v>
      </c>
      <c r="F730" s="14">
        <v>31</v>
      </c>
      <c r="G730" s="14">
        <v>15605</v>
      </c>
      <c r="H730" s="14">
        <v>0.451232129192083</v>
      </c>
      <c r="I730" s="14">
        <v>0.863762834210566</v>
      </c>
      <c r="J730" s="14">
        <v>1.21885495586972</v>
      </c>
      <c r="K730" s="14" t="s">
        <v>20781</v>
      </c>
    </row>
    <row r="731" spans="1:11">
      <c r="A731" s="14" t="s">
        <v>18203</v>
      </c>
      <c r="B731" s="14" t="s">
        <v>18204</v>
      </c>
      <c r="C731" s="14" t="s">
        <v>16090</v>
      </c>
      <c r="D731" s="14">
        <v>3</v>
      </c>
      <c r="E731" s="14">
        <v>1239</v>
      </c>
      <c r="F731" s="14">
        <v>31</v>
      </c>
      <c r="G731" s="14">
        <v>15605</v>
      </c>
      <c r="H731" s="14">
        <v>0.451232129192083</v>
      </c>
      <c r="I731" s="14">
        <v>0.863762834210566</v>
      </c>
      <c r="J731" s="14">
        <v>1.21885495586972</v>
      </c>
      <c r="K731" s="14" t="s">
        <v>20782</v>
      </c>
    </row>
    <row r="732" spans="1:11">
      <c r="A732" s="14" t="s">
        <v>18067</v>
      </c>
      <c r="B732" s="14" t="s">
        <v>18068</v>
      </c>
      <c r="C732" s="14" t="s">
        <v>16086</v>
      </c>
      <c r="D732" s="14">
        <v>2</v>
      </c>
      <c r="E732" s="14">
        <v>1239</v>
      </c>
      <c r="F732" s="14">
        <v>19</v>
      </c>
      <c r="G732" s="14">
        <v>15605</v>
      </c>
      <c r="H732" s="14">
        <v>0.452126005029151</v>
      </c>
      <c r="I732" s="14">
        <v>0.863762834210566</v>
      </c>
      <c r="J732" s="14">
        <v>1.3257720572618</v>
      </c>
      <c r="K732" s="14" t="s">
        <v>20783</v>
      </c>
    </row>
    <row r="733" spans="1:11">
      <c r="A733" s="14" t="s">
        <v>18070</v>
      </c>
      <c r="B733" s="14" t="s">
        <v>18071</v>
      </c>
      <c r="C733" s="14" t="s">
        <v>16086</v>
      </c>
      <c r="D733" s="14">
        <v>2</v>
      </c>
      <c r="E733" s="14">
        <v>1239</v>
      </c>
      <c r="F733" s="14">
        <v>19</v>
      </c>
      <c r="G733" s="14">
        <v>15605</v>
      </c>
      <c r="H733" s="14">
        <v>0.452126005029151</v>
      </c>
      <c r="I733" s="14">
        <v>0.863762834210566</v>
      </c>
      <c r="J733" s="14">
        <v>1.3257720572618</v>
      </c>
      <c r="K733" s="14" t="s">
        <v>20784</v>
      </c>
    </row>
    <row r="734" spans="1:11">
      <c r="A734" s="14" t="s">
        <v>19074</v>
      </c>
      <c r="B734" s="14" t="s">
        <v>19075</v>
      </c>
      <c r="C734" s="14" t="s">
        <v>16086</v>
      </c>
      <c r="D734" s="14">
        <v>2</v>
      </c>
      <c r="E734" s="14">
        <v>1239</v>
      </c>
      <c r="F734" s="14">
        <v>19</v>
      </c>
      <c r="G734" s="14">
        <v>15605</v>
      </c>
      <c r="H734" s="14">
        <v>0.452126005029151</v>
      </c>
      <c r="I734" s="14">
        <v>0.863762834210566</v>
      </c>
      <c r="J734" s="14">
        <v>1.3257720572618</v>
      </c>
      <c r="K734" s="14" t="s">
        <v>20394</v>
      </c>
    </row>
    <row r="735" spans="1:11">
      <c r="A735" s="14" t="s">
        <v>19084</v>
      </c>
      <c r="B735" s="14" t="s">
        <v>19085</v>
      </c>
      <c r="C735" s="14" t="s">
        <v>16090</v>
      </c>
      <c r="D735" s="14">
        <v>2</v>
      </c>
      <c r="E735" s="14">
        <v>1239</v>
      </c>
      <c r="F735" s="14">
        <v>19</v>
      </c>
      <c r="G735" s="14">
        <v>15605</v>
      </c>
      <c r="H735" s="14">
        <v>0.452126005029151</v>
      </c>
      <c r="I735" s="14">
        <v>0.863762834210566</v>
      </c>
      <c r="J735" s="14">
        <v>1.3257720572618</v>
      </c>
      <c r="K735" s="14" t="s">
        <v>20785</v>
      </c>
    </row>
    <row r="736" spans="1:11">
      <c r="A736" s="14" t="s">
        <v>17013</v>
      </c>
      <c r="B736" s="14" t="s">
        <v>17014</v>
      </c>
      <c r="C736" s="14" t="s">
        <v>16086</v>
      </c>
      <c r="D736" s="14">
        <v>20</v>
      </c>
      <c r="E736" s="14">
        <v>1239</v>
      </c>
      <c r="F736" s="14">
        <v>241</v>
      </c>
      <c r="G736" s="14">
        <v>15605</v>
      </c>
      <c r="H736" s="14">
        <v>0.45218317395095</v>
      </c>
      <c r="I736" s="14">
        <v>0.863762834210566</v>
      </c>
      <c r="J736" s="14">
        <v>1.04521448497818</v>
      </c>
      <c r="K736" s="14" t="s">
        <v>20786</v>
      </c>
    </row>
    <row r="737" spans="1:11">
      <c r="A737" s="14" t="s">
        <v>19197</v>
      </c>
      <c r="B737" s="14" t="s">
        <v>19198</v>
      </c>
      <c r="C737" s="14" t="s">
        <v>16086</v>
      </c>
      <c r="D737" s="14">
        <v>6</v>
      </c>
      <c r="E737" s="14">
        <v>1239</v>
      </c>
      <c r="F737" s="14">
        <v>68</v>
      </c>
      <c r="G737" s="14">
        <v>15605</v>
      </c>
      <c r="H737" s="14">
        <v>0.45664587757004</v>
      </c>
      <c r="I737" s="14">
        <v>0.863762834210566</v>
      </c>
      <c r="J737" s="14">
        <v>1.1113089303518</v>
      </c>
      <c r="K737" s="14" t="s">
        <v>20787</v>
      </c>
    </row>
    <row r="738" spans="1:11">
      <c r="A738" s="14" t="s">
        <v>18856</v>
      </c>
      <c r="B738" s="14" t="s">
        <v>18857</v>
      </c>
      <c r="C738" s="14" t="s">
        <v>16086</v>
      </c>
      <c r="D738" s="14">
        <v>6</v>
      </c>
      <c r="E738" s="14">
        <v>1239</v>
      </c>
      <c r="F738" s="14">
        <v>68</v>
      </c>
      <c r="G738" s="14">
        <v>15605</v>
      </c>
      <c r="H738" s="14">
        <v>0.45664587757004</v>
      </c>
      <c r="I738" s="14">
        <v>0.863762834210566</v>
      </c>
      <c r="J738" s="14">
        <v>1.1113089303518</v>
      </c>
      <c r="K738" s="14" t="s">
        <v>20788</v>
      </c>
    </row>
    <row r="739" spans="1:11">
      <c r="A739" s="14" t="s">
        <v>16350</v>
      </c>
      <c r="B739" s="14" t="s">
        <v>16351</v>
      </c>
      <c r="C739" s="14" t="s">
        <v>16090</v>
      </c>
      <c r="D739" s="14">
        <v>4</v>
      </c>
      <c r="E739" s="14">
        <v>1239</v>
      </c>
      <c r="F739" s="14">
        <v>44</v>
      </c>
      <c r="G739" s="14">
        <v>15605</v>
      </c>
      <c r="H739" s="14">
        <v>0.466480235835014</v>
      </c>
      <c r="I739" s="14">
        <v>0.863762834210566</v>
      </c>
      <c r="J739" s="14">
        <v>1.14498495854428</v>
      </c>
      <c r="K739" s="14" t="s">
        <v>20789</v>
      </c>
    </row>
    <row r="740" spans="1:11">
      <c r="A740" s="14" t="s">
        <v>17250</v>
      </c>
      <c r="B740" s="14" t="s">
        <v>17251</v>
      </c>
      <c r="C740" s="14" t="s">
        <v>16086</v>
      </c>
      <c r="D740" s="14">
        <v>16</v>
      </c>
      <c r="E740" s="14">
        <v>1239</v>
      </c>
      <c r="F740" s="14">
        <v>193</v>
      </c>
      <c r="G740" s="14">
        <v>15605</v>
      </c>
      <c r="H740" s="14">
        <v>0.466534643703961</v>
      </c>
      <c r="I740" s="14">
        <v>0.863762834210566</v>
      </c>
      <c r="J740" s="14">
        <v>1.04413136115955</v>
      </c>
      <c r="K740" s="14" t="s">
        <v>20790</v>
      </c>
    </row>
    <row r="741" spans="1:11">
      <c r="A741" s="14" t="s">
        <v>16102</v>
      </c>
      <c r="B741" s="14" t="s">
        <v>16103</v>
      </c>
      <c r="C741" s="14" t="s">
        <v>16090</v>
      </c>
      <c r="D741" s="14">
        <v>9</v>
      </c>
      <c r="E741" s="14">
        <v>1239</v>
      </c>
      <c r="F741" s="14">
        <v>106</v>
      </c>
      <c r="G741" s="14">
        <v>15605</v>
      </c>
      <c r="H741" s="14">
        <v>0.467853988972286</v>
      </c>
      <c r="I741" s="14">
        <v>0.863762834210566</v>
      </c>
      <c r="J741" s="14">
        <v>1.06937274430079</v>
      </c>
      <c r="K741" s="14" t="s">
        <v>20791</v>
      </c>
    </row>
    <row r="742" spans="1:11">
      <c r="A742" s="14" t="s">
        <v>19118</v>
      </c>
      <c r="B742" s="14" t="s">
        <v>19119</v>
      </c>
      <c r="C742" s="14" t="s">
        <v>16086</v>
      </c>
      <c r="D742" s="14">
        <v>2</v>
      </c>
      <c r="E742" s="14">
        <v>1239</v>
      </c>
      <c r="F742" s="14">
        <v>20</v>
      </c>
      <c r="G742" s="14">
        <v>15605</v>
      </c>
      <c r="H742" s="14">
        <v>0.479164245358619</v>
      </c>
      <c r="I742" s="14">
        <v>0.863762834210566</v>
      </c>
      <c r="J742" s="14">
        <v>1.25948345439871</v>
      </c>
      <c r="K742" s="14" t="s">
        <v>20146</v>
      </c>
    </row>
    <row r="743" spans="1:11">
      <c r="A743" s="14" t="s">
        <v>19120</v>
      </c>
      <c r="B743" s="14" t="s">
        <v>19121</v>
      </c>
      <c r="C743" s="14" t="s">
        <v>16090</v>
      </c>
      <c r="D743" s="14">
        <v>2</v>
      </c>
      <c r="E743" s="14">
        <v>1239</v>
      </c>
      <c r="F743" s="14">
        <v>20</v>
      </c>
      <c r="G743" s="14">
        <v>15605</v>
      </c>
      <c r="H743" s="14">
        <v>0.479164245358619</v>
      </c>
      <c r="I743" s="14">
        <v>0.863762834210566</v>
      </c>
      <c r="J743" s="14">
        <v>1.25948345439871</v>
      </c>
      <c r="K743" s="14" t="s">
        <v>20792</v>
      </c>
    </row>
    <row r="744" spans="1:11">
      <c r="A744" s="14" t="s">
        <v>17232</v>
      </c>
      <c r="B744" s="14" t="s">
        <v>17233</v>
      </c>
      <c r="C744" s="14" t="s">
        <v>16090</v>
      </c>
      <c r="D744" s="14">
        <v>2</v>
      </c>
      <c r="E744" s="14">
        <v>1239</v>
      </c>
      <c r="F744" s="14">
        <v>20</v>
      </c>
      <c r="G744" s="14">
        <v>15605</v>
      </c>
      <c r="H744" s="14">
        <v>0.479164245358619</v>
      </c>
      <c r="I744" s="14">
        <v>0.863762834210566</v>
      </c>
      <c r="J744" s="14">
        <v>1.25948345439871</v>
      </c>
      <c r="K744" s="14" t="s">
        <v>20793</v>
      </c>
    </row>
    <row r="745" spans="1:11">
      <c r="A745" s="14" t="s">
        <v>19126</v>
      </c>
      <c r="B745" s="14" t="s">
        <v>19127</v>
      </c>
      <c r="C745" s="14" t="s">
        <v>16096</v>
      </c>
      <c r="D745" s="14">
        <v>2</v>
      </c>
      <c r="E745" s="14">
        <v>1239</v>
      </c>
      <c r="F745" s="14">
        <v>20</v>
      </c>
      <c r="G745" s="14">
        <v>15605</v>
      </c>
      <c r="H745" s="14">
        <v>0.479164245358619</v>
      </c>
      <c r="I745" s="14">
        <v>0.863762834210566</v>
      </c>
      <c r="J745" s="14">
        <v>1.25948345439871</v>
      </c>
      <c r="K745" s="14" t="s">
        <v>20794</v>
      </c>
    </row>
    <row r="746" spans="1:11">
      <c r="A746" s="14" t="s">
        <v>19128</v>
      </c>
      <c r="B746" s="14" t="s">
        <v>19129</v>
      </c>
      <c r="C746" s="14" t="s">
        <v>16090</v>
      </c>
      <c r="D746" s="14">
        <v>2</v>
      </c>
      <c r="E746" s="14">
        <v>1239</v>
      </c>
      <c r="F746" s="14">
        <v>20</v>
      </c>
      <c r="G746" s="14">
        <v>15605</v>
      </c>
      <c r="H746" s="14">
        <v>0.479164245358619</v>
      </c>
      <c r="I746" s="14">
        <v>0.863762834210566</v>
      </c>
      <c r="J746" s="14">
        <v>1.25948345439871</v>
      </c>
      <c r="K746" s="14" t="s">
        <v>20795</v>
      </c>
    </row>
    <row r="747" spans="1:11">
      <c r="A747" s="14" t="s">
        <v>20796</v>
      </c>
      <c r="B747" s="14" t="s">
        <v>20797</v>
      </c>
      <c r="C747" s="14" t="s">
        <v>16086</v>
      </c>
      <c r="D747" s="14">
        <v>2</v>
      </c>
      <c r="E747" s="14">
        <v>1239</v>
      </c>
      <c r="F747" s="14">
        <v>20</v>
      </c>
      <c r="G747" s="14">
        <v>15605</v>
      </c>
      <c r="H747" s="14">
        <v>0.479164245358619</v>
      </c>
      <c r="I747" s="14">
        <v>0.863762834210566</v>
      </c>
      <c r="J747" s="14">
        <v>1.25948345439871</v>
      </c>
      <c r="K747" s="14" t="s">
        <v>20419</v>
      </c>
    </row>
    <row r="748" spans="1:11">
      <c r="A748" s="14" t="s">
        <v>20798</v>
      </c>
      <c r="B748" s="14" t="s">
        <v>20799</v>
      </c>
      <c r="C748" s="14" t="s">
        <v>16090</v>
      </c>
      <c r="D748" s="14">
        <v>2</v>
      </c>
      <c r="E748" s="14">
        <v>1239</v>
      </c>
      <c r="F748" s="14">
        <v>20</v>
      </c>
      <c r="G748" s="14">
        <v>15605</v>
      </c>
      <c r="H748" s="14">
        <v>0.479164245358619</v>
      </c>
      <c r="I748" s="14">
        <v>0.863762834210566</v>
      </c>
      <c r="J748" s="14">
        <v>1.25948345439871</v>
      </c>
      <c r="K748" s="14" t="s">
        <v>20800</v>
      </c>
    </row>
    <row r="749" spans="1:11">
      <c r="A749" s="14" t="s">
        <v>20801</v>
      </c>
      <c r="B749" s="14" t="s">
        <v>20802</v>
      </c>
      <c r="C749" s="14" t="s">
        <v>16090</v>
      </c>
      <c r="D749" s="14">
        <v>2</v>
      </c>
      <c r="E749" s="14">
        <v>1239</v>
      </c>
      <c r="F749" s="14">
        <v>20</v>
      </c>
      <c r="G749" s="14">
        <v>15605</v>
      </c>
      <c r="H749" s="14">
        <v>0.479164245358619</v>
      </c>
      <c r="I749" s="14">
        <v>0.863762834210566</v>
      </c>
      <c r="J749" s="14">
        <v>1.25948345439871</v>
      </c>
      <c r="K749" s="14" t="s">
        <v>20803</v>
      </c>
    </row>
    <row r="750" spans="1:11">
      <c r="A750" s="14" t="s">
        <v>18226</v>
      </c>
      <c r="B750" s="14" t="s">
        <v>18227</v>
      </c>
      <c r="C750" s="14" t="s">
        <v>16090</v>
      </c>
      <c r="D750" s="14">
        <v>2</v>
      </c>
      <c r="E750" s="14">
        <v>1239</v>
      </c>
      <c r="F750" s="14">
        <v>20</v>
      </c>
      <c r="G750" s="14">
        <v>15605</v>
      </c>
      <c r="H750" s="14">
        <v>0.479164245358619</v>
      </c>
      <c r="I750" s="14">
        <v>0.863762834210566</v>
      </c>
      <c r="J750" s="14">
        <v>1.25948345439871</v>
      </c>
      <c r="K750" s="14" t="s">
        <v>20804</v>
      </c>
    </row>
    <row r="751" spans="1:11">
      <c r="A751" s="14" t="s">
        <v>20805</v>
      </c>
      <c r="B751" s="14" t="s">
        <v>20806</v>
      </c>
      <c r="C751" s="14" t="s">
        <v>16086</v>
      </c>
      <c r="D751" s="14">
        <v>1</v>
      </c>
      <c r="E751" s="14">
        <v>1239</v>
      </c>
      <c r="F751" s="14">
        <v>8</v>
      </c>
      <c r="G751" s="14">
        <v>15605</v>
      </c>
      <c r="H751" s="14">
        <v>0.484166571170513</v>
      </c>
      <c r="I751" s="14">
        <v>0.863762834210566</v>
      </c>
      <c r="J751" s="14">
        <v>1.57435431799839</v>
      </c>
      <c r="K751" s="14" t="s">
        <v>15856</v>
      </c>
    </row>
    <row r="752" spans="1:11">
      <c r="A752" s="14" t="s">
        <v>20807</v>
      </c>
      <c r="B752" s="14" t="s">
        <v>20808</v>
      </c>
      <c r="C752" s="14" t="s">
        <v>16086</v>
      </c>
      <c r="D752" s="14">
        <v>1</v>
      </c>
      <c r="E752" s="14">
        <v>1239</v>
      </c>
      <c r="F752" s="14">
        <v>8</v>
      </c>
      <c r="G752" s="14">
        <v>15605</v>
      </c>
      <c r="H752" s="14">
        <v>0.484166571170513</v>
      </c>
      <c r="I752" s="14">
        <v>0.863762834210566</v>
      </c>
      <c r="J752" s="14">
        <v>1.57435431799839</v>
      </c>
      <c r="K752" s="14" t="s">
        <v>700</v>
      </c>
    </row>
    <row r="753" spans="1:11">
      <c r="A753" s="14" t="s">
        <v>20809</v>
      </c>
      <c r="B753" s="14" t="s">
        <v>20810</v>
      </c>
      <c r="C753" s="14" t="s">
        <v>16096</v>
      </c>
      <c r="D753" s="14">
        <v>1</v>
      </c>
      <c r="E753" s="14">
        <v>1239</v>
      </c>
      <c r="F753" s="14">
        <v>8</v>
      </c>
      <c r="G753" s="14">
        <v>15605</v>
      </c>
      <c r="H753" s="14">
        <v>0.484166571170513</v>
      </c>
      <c r="I753" s="14">
        <v>0.863762834210566</v>
      </c>
      <c r="J753" s="14">
        <v>1.57435431799839</v>
      </c>
      <c r="K753" s="14" t="s">
        <v>8863</v>
      </c>
    </row>
    <row r="754" spans="1:11">
      <c r="A754" s="14" t="s">
        <v>20811</v>
      </c>
      <c r="B754" s="14" t="s">
        <v>20812</v>
      </c>
      <c r="C754" s="14" t="s">
        <v>16090</v>
      </c>
      <c r="D754" s="14">
        <v>1</v>
      </c>
      <c r="E754" s="14">
        <v>1239</v>
      </c>
      <c r="F754" s="14">
        <v>8</v>
      </c>
      <c r="G754" s="14">
        <v>15605</v>
      </c>
      <c r="H754" s="14">
        <v>0.484166571170513</v>
      </c>
      <c r="I754" s="14">
        <v>0.863762834210566</v>
      </c>
      <c r="J754" s="14">
        <v>1.57435431799839</v>
      </c>
      <c r="K754" s="14" t="s">
        <v>12695</v>
      </c>
    </row>
    <row r="755" spans="1:11">
      <c r="A755" s="14" t="s">
        <v>20813</v>
      </c>
      <c r="B755" s="14" t="s">
        <v>20814</v>
      </c>
      <c r="C755" s="14" t="s">
        <v>16096</v>
      </c>
      <c r="D755" s="14">
        <v>1</v>
      </c>
      <c r="E755" s="14">
        <v>1239</v>
      </c>
      <c r="F755" s="14">
        <v>8</v>
      </c>
      <c r="G755" s="14">
        <v>15605</v>
      </c>
      <c r="H755" s="14">
        <v>0.484166571170513</v>
      </c>
      <c r="I755" s="14">
        <v>0.863762834210566</v>
      </c>
      <c r="J755" s="14">
        <v>1.57435431799839</v>
      </c>
      <c r="K755" s="14" t="s">
        <v>5182</v>
      </c>
    </row>
    <row r="756" spans="1:11">
      <c r="A756" s="14" t="s">
        <v>20815</v>
      </c>
      <c r="B756" s="14" t="s">
        <v>20816</v>
      </c>
      <c r="C756" s="14" t="s">
        <v>16086</v>
      </c>
      <c r="D756" s="14">
        <v>1</v>
      </c>
      <c r="E756" s="14">
        <v>1239</v>
      </c>
      <c r="F756" s="14">
        <v>8</v>
      </c>
      <c r="G756" s="14">
        <v>15605</v>
      </c>
      <c r="H756" s="14">
        <v>0.484166571170513</v>
      </c>
      <c r="I756" s="14">
        <v>0.863762834210566</v>
      </c>
      <c r="J756" s="14">
        <v>1.57435431799839</v>
      </c>
      <c r="K756" s="14" t="s">
        <v>15635</v>
      </c>
    </row>
    <row r="757" spans="1:11">
      <c r="A757" s="14" t="s">
        <v>16431</v>
      </c>
      <c r="B757" s="14" t="s">
        <v>16432</v>
      </c>
      <c r="C757" s="14" t="s">
        <v>16086</v>
      </c>
      <c r="D757" s="14">
        <v>1</v>
      </c>
      <c r="E757" s="14">
        <v>1239</v>
      </c>
      <c r="F757" s="14">
        <v>8</v>
      </c>
      <c r="G757" s="14">
        <v>15605</v>
      </c>
      <c r="H757" s="14">
        <v>0.484166571170513</v>
      </c>
      <c r="I757" s="14">
        <v>0.863762834210566</v>
      </c>
      <c r="J757" s="14">
        <v>1.57435431799839</v>
      </c>
      <c r="K757" s="14" t="s">
        <v>3827</v>
      </c>
    </row>
    <row r="758" spans="1:11">
      <c r="A758" s="14" t="s">
        <v>18090</v>
      </c>
      <c r="B758" s="14" t="s">
        <v>18091</v>
      </c>
      <c r="C758" s="14" t="s">
        <v>16086</v>
      </c>
      <c r="D758" s="14">
        <v>1</v>
      </c>
      <c r="E758" s="14">
        <v>1239</v>
      </c>
      <c r="F758" s="14">
        <v>8</v>
      </c>
      <c r="G758" s="14">
        <v>15605</v>
      </c>
      <c r="H758" s="14">
        <v>0.484166571170513</v>
      </c>
      <c r="I758" s="14">
        <v>0.863762834210566</v>
      </c>
      <c r="J758" s="14">
        <v>1.57435431799839</v>
      </c>
      <c r="K758" s="14" t="s">
        <v>9183</v>
      </c>
    </row>
    <row r="759" spans="1:11">
      <c r="A759" s="14" t="s">
        <v>20817</v>
      </c>
      <c r="B759" s="14" t="s">
        <v>20818</v>
      </c>
      <c r="C759" s="14" t="s">
        <v>16086</v>
      </c>
      <c r="D759" s="14">
        <v>1</v>
      </c>
      <c r="E759" s="14">
        <v>1239</v>
      </c>
      <c r="F759" s="14">
        <v>8</v>
      </c>
      <c r="G759" s="14">
        <v>15605</v>
      </c>
      <c r="H759" s="14">
        <v>0.484166571170513</v>
      </c>
      <c r="I759" s="14">
        <v>0.863762834210566</v>
      </c>
      <c r="J759" s="14">
        <v>1.57435431799839</v>
      </c>
      <c r="K759" s="14" t="s">
        <v>10262</v>
      </c>
    </row>
    <row r="760" spans="1:11">
      <c r="A760" s="14" t="s">
        <v>20819</v>
      </c>
      <c r="B760" s="14" t="s">
        <v>20820</v>
      </c>
      <c r="C760" s="14" t="s">
        <v>16086</v>
      </c>
      <c r="D760" s="14">
        <v>1</v>
      </c>
      <c r="E760" s="14">
        <v>1239</v>
      </c>
      <c r="F760" s="14">
        <v>8</v>
      </c>
      <c r="G760" s="14">
        <v>15605</v>
      </c>
      <c r="H760" s="14">
        <v>0.484166571170513</v>
      </c>
      <c r="I760" s="14">
        <v>0.863762834210566</v>
      </c>
      <c r="J760" s="14">
        <v>1.57435431799839</v>
      </c>
      <c r="K760" s="14" t="s">
        <v>1591</v>
      </c>
    </row>
    <row r="761" spans="1:11">
      <c r="A761" s="14" t="s">
        <v>20821</v>
      </c>
      <c r="B761" s="14" t="s">
        <v>20822</v>
      </c>
      <c r="C761" s="14" t="s">
        <v>16086</v>
      </c>
      <c r="D761" s="14">
        <v>1</v>
      </c>
      <c r="E761" s="14">
        <v>1239</v>
      </c>
      <c r="F761" s="14">
        <v>8</v>
      </c>
      <c r="G761" s="14">
        <v>15605</v>
      </c>
      <c r="H761" s="14">
        <v>0.484166571170513</v>
      </c>
      <c r="I761" s="14">
        <v>0.863762834210566</v>
      </c>
      <c r="J761" s="14">
        <v>1.57435431799839</v>
      </c>
      <c r="K761" s="14" t="s">
        <v>4424</v>
      </c>
    </row>
    <row r="762" spans="1:11">
      <c r="A762" s="14" t="s">
        <v>20823</v>
      </c>
      <c r="B762" s="14" t="s">
        <v>20824</v>
      </c>
      <c r="C762" s="14" t="s">
        <v>16096</v>
      </c>
      <c r="D762" s="14">
        <v>1</v>
      </c>
      <c r="E762" s="14">
        <v>1239</v>
      </c>
      <c r="F762" s="14">
        <v>8</v>
      </c>
      <c r="G762" s="14">
        <v>15605</v>
      </c>
      <c r="H762" s="14">
        <v>0.484166571170513</v>
      </c>
      <c r="I762" s="14">
        <v>0.863762834210566</v>
      </c>
      <c r="J762" s="14">
        <v>1.57435431799839</v>
      </c>
      <c r="K762" s="14" t="s">
        <v>3585</v>
      </c>
    </row>
    <row r="763" spans="1:11">
      <c r="A763" s="14" t="s">
        <v>18098</v>
      </c>
      <c r="B763" s="14" t="s">
        <v>18099</v>
      </c>
      <c r="C763" s="14" t="s">
        <v>16090</v>
      </c>
      <c r="D763" s="14">
        <v>1</v>
      </c>
      <c r="E763" s="14">
        <v>1239</v>
      </c>
      <c r="F763" s="14">
        <v>8</v>
      </c>
      <c r="G763" s="14">
        <v>15605</v>
      </c>
      <c r="H763" s="14">
        <v>0.484166571170513</v>
      </c>
      <c r="I763" s="14">
        <v>0.863762834210566</v>
      </c>
      <c r="J763" s="14">
        <v>1.57435431799839</v>
      </c>
      <c r="K763" s="14" t="s">
        <v>246</v>
      </c>
    </row>
    <row r="764" spans="1:11">
      <c r="A764" s="14" t="s">
        <v>18100</v>
      </c>
      <c r="B764" s="14" t="s">
        <v>18101</v>
      </c>
      <c r="C764" s="14" t="s">
        <v>16090</v>
      </c>
      <c r="D764" s="14">
        <v>1</v>
      </c>
      <c r="E764" s="14">
        <v>1239</v>
      </c>
      <c r="F764" s="14">
        <v>8</v>
      </c>
      <c r="G764" s="14">
        <v>15605</v>
      </c>
      <c r="H764" s="14">
        <v>0.484166571170513</v>
      </c>
      <c r="I764" s="14">
        <v>0.863762834210566</v>
      </c>
      <c r="J764" s="14">
        <v>1.57435431799839</v>
      </c>
      <c r="K764" s="14" t="s">
        <v>9478</v>
      </c>
    </row>
    <row r="765" spans="1:11">
      <c r="A765" s="14" t="s">
        <v>16944</v>
      </c>
      <c r="B765" s="14" t="s">
        <v>16945</v>
      </c>
      <c r="C765" s="14" t="s">
        <v>16090</v>
      </c>
      <c r="D765" s="14">
        <v>1</v>
      </c>
      <c r="E765" s="14">
        <v>1239</v>
      </c>
      <c r="F765" s="14">
        <v>8</v>
      </c>
      <c r="G765" s="14">
        <v>15605</v>
      </c>
      <c r="H765" s="14">
        <v>0.484166571170513</v>
      </c>
      <c r="I765" s="14">
        <v>0.863762834210566</v>
      </c>
      <c r="J765" s="14">
        <v>1.57435431799839</v>
      </c>
      <c r="K765" s="14" t="s">
        <v>6952</v>
      </c>
    </row>
    <row r="766" spans="1:11">
      <c r="A766" s="14" t="s">
        <v>18102</v>
      </c>
      <c r="B766" s="14" t="s">
        <v>18103</v>
      </c>
      <c r="C766" s="14" t="s">
        <v>16086</v>
      </c>
      <c r="D766" s="14">
        <v>1</v>
      </c>
      <c r="E766" s="14">
        <v>1239</v>
      </c>
      <c r="F766" s="14">
        <v>8</v>
      </c>
      <c r="G766" s="14">
        <v>15605</v>
      </c>
      <c r="H766" s="14">
        <v>0.484166571170513</v>
      </c>
      <c r="I766" s="14">
        <v>0.863762834210566</v>
      </c>
      <c r="J766" s="14">
        <v>1.57435431799839</v>
      </c>
      <c r="K766" s="14" t="s">
        <v>8399</v>
      </c>
    </row>
    <row r="767" spans="1:11">
      <c r="A767" s="14" t="s">
        <v>18106</v>
      </c>
      <c r="B767" s="14" t="s">
        <v>18107</v>
      </c>
      <c r="C767" s="14" t="s">
        <v>16086</v>
      </c>
      <c r="D767" s="14">
        <v>1</v>
      </c>
      <c r="E767" s="14">
        <v>1239</v>
      </c>
      <c r="F767" s="14">
        <v>8</v>
      </c>
      <c r="G767" s="14">
        <v>15605</v>
      </c>
      <c r="H767" s="14">
        <v>0.484166571170513</v>
      </c>
      <c r="I767" s="14">
        <v>0.863762834210566</v>
      </c>
      <c r="J767" s="14">
        <v>1.57435431799839</v>
      </c>
      <c r="K767" s="14" t="s">
        <v>5801</v>
      </c>
    </row>
    <row r="768" spans="1:11">
      <c r="A768" s="14" t="s">
        <v>20825</v>
      </c>
      <c r="B768" s="14" t="s">
        <v>20826</v>
      </c>
      <c r="C768" s="14" t="s">
        <v>16090</v>
      </c>
      <c r="D768" s="14">
        <v>1</v>
      </c>
      <c r="E768" s="14">
        <v>1239</v>
      </c>
      <c r="F768" s="14">
        <v>8</v>
      </c>
      <c r="G768" s="14">
        <v>15605</v>
      </c>
      <c r="H768" s="14">
        <v>0.484166571170513</v>
      </c>
      <c r="I768" s="14">
        <v>0.863762834210566</v>
      </c>
      <c r="J768" s="14">
        <v>1.57435431799839</v>
      </c>
      <c r="K768" s="14" t="s">
        <v>9673</v>
      </c>
    </row>
    <row r="769" spans="1:11">
      <c r="A769" s="14" t="s">
        <v>16222</v>
      </c>
      <c r="B769" s="14" t="s">
        <v>16223</v>
      </c>
      <c r="C769" s="14" t="s">
        <v>16090</v>
      </c>
      <c r="D769" s="14">
        <v>1</v>
      </c>
      <c r="E769" s="14">
        <v>1239</v>
      </c>
      <c r="F769" s="14">
        <v>8</v>
      </c>
      <c r="G769" s="14">
        <v>15605</v>
      </c>
      <c r="H769" s="14">
        <v>0.484166571170513</v>
      </c>
      <c r="I769" s="14">
        <v>0.863762834210566</v>
      </c>
      <c r="J769" s="14">
        <v>1.57435431799839</v>
      </c>
      <c r="K769" s="14" t="s">
        <v>3827</v>
      </c>
    </row>
    <row r="770" spans="1:11">
      <c r="A770" s="14" t="s">
        <v>20827</v>
      </c>
      <c r="B770" s="14" t="s">
        <v>20828</v>
      </c>
      <c r="C770" s="14" t="s">
        <v>16090</v>
      </c>
      <c r="D770" s="14">
        <v>1</v>
      </c>
      <c r="E770" s="14">
        <v>1239</v>
      </c>
      <c r="F770" s="14">
        <v>8</v>
      </c>
      <c r="G770" s="14">
        <v>15605</v>
      </c>
      <c r="H770" s="14">
        <v>0.484166571170513</v>
      </c>
      <c r="I770" s="14">
        <v>0.863762834210566</v>
      </c>
      <c r="J770" s="14">
        <v>1.57435431799839</v>
      </c>
      <c r="K770" s="14" t="s">
        <v>7376</v>
      </c>
    </row>
    <row r="771" spans="1:11">
      <c r="A771" s="14" t="s">
        <v>20829</v>
      </c>
      <c r="B771" s="14" t="s">
        <v>20830</v>
      </c>
      <c r="C771" s="14" t="s">
        <v>16096</v>
      </c>
      <c r="D771" s="14">
        <v>1</v>
      </c>
      <c r="E771" s="14">
        <v>1239</v>
      </c>
      <c r="F771" s="14">
        <v>8</v>
      </c>
      <c r="G771" s="14">
        <v>15605</v>
      </c>
      <c r="H771" s="14">
        <v>0.484166571170513</v>
      </c>
      <c r="I771" s="14">
        <v>0.863762834210566</v>
      </c>
      <c r="J771" s="14">
        <v>1.57435431799839</v>
      </c>
      <c r="K771" s="14" t="s">
        <v>4683</v>
      </c>
    </row>
    <row r="772" spans="1:11">
      <c r="A772" s="14" t="s">
        <v>20831</v>
      </c>
      <c r="B772" s="14" t="s">
        <v>20832</v>
      </c>
      <c r="C772" s="14" t="s">
        <v>16090</v>
      </c>
      <c r="D772" s="14">
        <v>1</v>
      </c>
      <c r="E772" s="14">
        <v>1239</v>
      </c>
      <c r="F772" s="14">
        <v>8</v>
      </c>
      <c r="G772" s="14">
        <v>15605</v>
      </c>
      <c r="H772" s="14">
        <v>0.484166571170513</v>
      </c>
      <c r="I772" s="14">
        <v>0.863762834210566</v>
      </c>
      <c r="J772" s="14">
        <v>1.57435431799839</v>
      </c>
      <c r="K772" s="14" t="s">
        <v>14003</v>
      </c>
    </row>
    <row r="773" spans="1:11">
      <c r="A773" s="14" t="s">
        <v>18128</v>
      </c>
      <c r="B773" s="14" t="s">
        <v>18129</v>
      </c>
      <c r="C773" s="14" t="s">
        <v>16090</v>
      </c>
      <c r="D773" s="14">
        <v>1</v>
      </c>
      <c r="E773" s="14">
        <v>1239</v>
      </c>
      <c r="F773" s="14">
        <v>8</v>
      </c>
      <c r="G773" s="14">
        <v>15605</v>
      </c>
      <c r="H773" s="14">
        <v>0.484166571170513</v>
      </c>
      <c r="I773" s="14">
        <v>0.863762834210566</v>
      </c>
      <c r="J773" s="14">
        <v>1.57435431799839</v>
      </c>
      <c r="K773" s="14" t="s">
        <v>3627</v>
      </c>
    </row>
    <row r="774" spans="1:11">
      <c r="A774" s="14" t="s">
        <v>18130</v>
      </c>
      <c r="B774" s="14" t="s">
        <v>18131</v>
      </c>
      <c r="C774" s="14" t="s">
        <v>16090</v>
      </c>
      <c r="D774" s="14">
        <v>1</v>
      </c>
      <c r="E774" s="14">
        <v>1239</v>
      </c>
      <c r="F774" s="14">
        <v>8</v>
      </c>
      <c r="G774" s="14">
        <v>15605</v>
      </c>
      <c r="H774" s="14">
        <v>0.484166571170513</v>
      </c>
      <c r="I774" s="14">
        <v>0.863762834210566</v>
      </c>
      <c r="J774" s="14">
        <v>1.57435431799839</v>
      </c>
      <c r="K774" s="14" t="s">
        <v>12892</v>
      </c>
    </row>
    <row r="775" spans="1:11">
      <c r="A775" s="14" t="s">
        <v>20833</v>
      </c>
      <c r="B775" s="14" t="s">
        <v>20834</v>
      </c>
      <c r="C775" s="14" t="s">
        <v>16096</v>
      </c>
      <c r="D775" s="14">
        <v>1</v>
      </c>
      <c r="E775" s="14">
        <v>1239</v>
      </c>
      <c r="F775" s="14">
        <v>8</v>
      </c>
      <c r="G775" s="14">
        <v>15605</v>
      </c>
      <c r="H775" s="14">
        <v>0.484166571170513</v>
      </c>
      <c r="I775" s="14">
        <v>0.863762834210566</v>
      </c>
      <c r="J775" s="14">
        <v>1.57435431799839</v>
      </c>
      <c r="K775" s="14" t="s">
        <v>15635</v>
      </c>
    </row>
    <row r="776" spans="1:11">
      <c r="A776" s="14" t="s">
        <v>20835</v>
      </c>
      <c r="B776" s="14" t="s">
        <v>20836</v>
      </c>
      <c r="C776" s="14" t="s">
        <v>16086</v>
      </c>
      <c r="D776" s="14">
        <v>1</v>
      </c>
      <c r="E776" s="14">
        <v>1239</v>
      </c>
      <c r="F776" s="14">
        <v>8</v>
      </c>
      <c r="G776" s="14">
        <v>15605</v>
      </c>
      <c r="H776" s="14">
        <v>0.484166571170513</v>
      </c>
      <c r="I776" s="14">
        <v>0.863762834210566</v>
      </c>
      <c r="J776" s="14">
        <v>1.57435431799839</v>
      </c>
      <c r="K776" s="14" t="s">
        <v>11031</v>
      </c>
    </row>
    <row r="777" spans="1:11">
      <c r="A777" s="14" t="s">
        <v>18136</v>
      </c>
      <c r="B777" s="14" t="s">
        <v>18137</v>
      </c>
      <c r="C777" s="14" t="s">
        <v>16086</v>
      </c>
      <c r="D777" s="14">
        <v>1</v>
      </c>
      <c r="E777" s="14">
        <v>1239</v>
      </c>
      <c r="F777" s="14">
        <v>8</v>
      </c>
      <c r="G777" s="14">
        <v>15605</v>
      </c>
      <c r="H777" s="14">
        <v>0.484166571170513</v>
      </c>
      <c r="I777" s="14">
        <v>0.863762834210566</v>
      </c>
      <c r="J777" s="14">
        <v>1.57435431799839</v>
      </c>
      <c r="K777" s="14" t="s">
        <v>5717</v>
      </c>
    </row>
    <row r="778" spans="1:11">
      <c r="A778" s="14" t="s">
        <v>16437</v>
      </c>
      <c r="B778" s="14" t="s">
        <v>16438</v>
      </c>
      <c r="C778" s="14" t="s">
        <v>16086</v>
      </c>
      <c r="D778" s="14">
        <v>1</v>
      </c>
      <c r="E778" s="14">
        <v>1239</v>
      </c>
      <c r="F778" s="14">
        <v>8</v>
      </c>
      <c r="G778" s="14">
        <v>15605</v>
      </c>
      <c r="H778" s="14">
        <v>0.484166571170513</v>
      </c>
      <c r="I778" s="14">
        <v>0.863762834210566</v>
      </c>
      <c r="J778" s="14">
        <v>1.57435431799839</v>
      </c>
      <c r="K778" s="14" t="s">
        <v>14353</v>
      </c>
    </row>
    <row r="779" spans="1:11">
      <c r="A779" s="14" t="s">
        <v>20837</v>
      </c>
      <c r="B779" s="14" t="s">
        <v>20838</v>
      </c>
      <c r="C779" s="14" t="s">
        <v>16090</v>
      </c>
      <c r="D779" s="14">
        <v>1</v>
      </c>
      <c r="E779" s="14">
        <v>1239</v>
      </c>
      <c r="F779" s="14">
        <v>8</v>
      </c>
      <c r="G779" s="14">
        <v>15605</v>
      </c>
      <c r="H779" s="14">
        <v>0.484166571170513</v>
      </c>
      <c r="I779" s="14">
        <v>0.863762834210566</v>
      </c>
      <c r="J779" s="14">
        <v>1.57435431799839</v>
      </c>
      <c r="K779" s="14" t="s">
        <v>9603</v>
      </c>
    </row>
    <row r="780" spans="1:11">
      <c r="A780" s="14" t="s">
        <v>18142</v>
      </c>
      <c r="B780" s="14" t="s">
        <v>18143</v>
      </c>
      <c r="C780" s="14" t="s">
        <v>16086</v>
      </c>
      <c r="D780" s="14">
        <v>1</v>
      </c>
      <c r="E780" s="14">
        <v>1239</v>
      </c>
      <c r="F780" s="14">
        <v>8</v>
      </c>
      <c r="G780" s="14">
        <v>15605</v>
      </c>
      <c r="H780" s="14">
        <v>0.484166571170513</v>
      </c>
      <c r="I780" s="14">
        <v>0.863762834210566</v>
      </c>
      <c r="J780" s="14">
        <v>1.57435431799839</v>
      </c>
      <c r="K780" s="14" t="s">
        <v>1574</v>
      </c>
    </row>
    <row r="781" spans="1:11">
      <c r="A781" s="14" t="s">
        <v>18146</v>
      </c>
      <c r="B781" s="14" t="s">
        <v>18147</v>
      </c>
      <c r="C781" s="14" t="s">
        <v>16096</v>
      </c>
      <c r="D781" s="14">
        <v>1</v>
      </c>
      <c r="E781" s="14">
        <v>1239</v>
      </c>
      <c r="F781" s="14">
        <v>8</v>
      </c>
      <c r="G781" s="14">
        <v>15605</v>
      </c>
      <c r="H781" s="14">
        <v>0.484166571170513</v>
      </c>
      <c r="I781" s="14">
        <v>0.863762834210566</v>
      </c>
      <c r="J781" s="14">
        <v>1.57435431799839</v>
      </c>
      <c r="K781" s="14" t="s">
        <v>15204</v>
      </c>
    </row>
    <row r="782" spans="1:11">
      <c r="A782" s="14" t="s">
        <v>16961</v>
      </c>
      <c r="B782" s="14" t="s">
        <v>16962</v>
      </c>
      <c r="C782" s="14" t="s">
        <v>16090</v>
      </c>
      <c r="D782" s="14">
        <v>1</v>
      </c>
      <c r="E782" s="14">
        <v>1239</v>
      </c>
      <c r="F782" s="14">
        <v>8</v>
      </c>
      <c r="G782" s="14">
        <v>15605</v>
      </c>
      <c r="H782" s="14">
        <v>0.484166571170513</v>
      </c>
      <c r="I782" s="14">
        <v>0.863762834210566</v>
      </c>
      <c r="J782" s="14">
        <v>1.57435431799839</v>
      </c>
      <c r="K782" s="14" t="s">
        <v>5989</v>
      </c>
    </row>
    <row r="783" spans="1:11">
      <c r="A783" s="14" t="s">
        <v>16440</v>
      </c>
      <c r="B783" s="14" t="s">
        <v>16441</v>
      </c>
      <c r="C783" s="14" t="s">
        <v>16090</v>
      </c>
      <c r="D783" s="14">
        <v>1</v>
      </c>
      <c r="E783" s="14">
        <v>1239</v>
      </c>
      <c r="F783" s="14">
        <v>8</v>
      </c>
      <c r="G783" s="14">
        <v>15605</v>
      </c>
      <c r="H783" s="14">
        <v>0.484166571170513</v>
      </c>
      <c r="I783" s="14">
        <v>0.863762834210566</v>
      </c>
      <c r="J783" s="14">
        <v>1.57435431799839</v>
      </c>
      <c r="K783" s="14" t="s">
        <v>9326</v>
      </c>
    </row>
    <row r="784" spans="1:11">
      <c r="A784" s="14" t="s">
        <v>18148</v>
      </c>
      <c r="B784" s="14" t="s">
        <v>18149</v>
      </c>
      <c r="C784" s="14" t="s">
        <v>16096</v>
      </c>
      <c r="D784" s="14">
        <v>1</v>
      </c>
      <c r="E784" s="14">
        <v>1239</v>
      </c>
      <c r="F784" s="14">
        <v>8</v>
      </c>
      <c r="G784" s="14">
        <v>15605</v>
      </c>
      <c r="H784" s="14">
        <v>0.484166571170513</v>
      </c>
      <c r="I784" s="14">
        <v>0.863762834210566</v>
      </c>
      <c r="J784" s="14">
        <v>1.57435431799839</v>
      </c>
      <c r="K784" s="14" t="s">
        <v>1561</v>
      </c>
    </row>
    <row r="785" spans="1:11">
      <c r="A785" s="14" t="s">
        <v>18150</v>
      </c>
      <c r="B785" s="14" t="s">
        <v>18151</v>
      </c>
      <c r="C785" s="14" t="s">
        <v>16090</v>
      </c>
      <c r="D785" s="14">
        <v>1</v>
      </c>
      <c r="E785" s="14">
        <v>1239</v>
      </c>
      <c r="F785" s="14">
        <v>8</v>
      </c>
      <c r="G785" s="14">
        <v>15605</v>
      </c>
      <c r="H785" s="14">
        <v>0.484166571170513</v>
      </c>
      <c r="I785" s="14">
        <v>0.863762834210566</v>
      </c>
      <c r="J785" s="14">
        <v>1.57435431799839</v>
      </c>
      <c r="K785" s="14" t="s">
        <v>13458</v>
      </c>
    </row>
    <row r="786" spans="1:11">
      <c r="A786" s="14" t="s">
        <v>18152</v>
      </c>
      <c r="B786" s="14" t="s">
        <v>18153</v>
      </c>
      <c r="C786" s="14" t="s">
        <v>16090</v>
      </c>
      <c r="D786" s="14">
        <v>1</v>
      </c>
      <c r="E786" s="14">
        <v>1239</v>
      </c>
      <c r="F786" s="14">
        <v>8</v>
      </c>
      <c r="G786" s="14">
        <v>15605</v>
      </c>
      <c r="H786" s="14">
        <v>0.484166571170513</v>
      </c>
      <c r="I786" s="14">
        <v>0.863762834210566</v>
      </c>
      <c r="J786" s="14">
        <v>1.57435431799839</v>
      </c>
      <c r="K786" s="14" t="s">
        <v>13458</v>
      </c>
    </row>
    <row r="787" spans="1:11">
      <c r="A787" s="14" t="s">
        <v>16964</v>
      </c>
      <c r="B787" s="14" t="s">
        <v>16965</v>
      </c>
      <c r="C787" s="14" t="s">
        <v>16090</v>
      </c>
      <c r="D787" s="14">
        <v>1</v>
      </c>
      <c r="E787" s="14">
        <v>1239</v>
      </c>
      <c r="F787" s="14">
        <v>8</v>
      </c>
      <c r="G787" s="14">
        <v>15605</v>
      </c>
      <c r="H787" s="14">
        <v>0.484166571170513</v>
      </c>
      <c r="I787" s="14">
        <v>0.863762834210566</v>
      </c>
      <c r="J787" s="14">
        <v>1.57435431799839</v>
      </c>
      <c r="K787" s="14" t="s">
        <v>6841</v>
      </c>
    </row>
    <row r="788" spans="1:11">
      <c r="A788" s="14" t="s">
        <v>20839</v>
      </c>
      <c r="B788" s="14" t="s">
        <v>20840</v>
      </c>
      <c r="C788" s="14" t="s">
        <v>16090</v>
      </c>
      <c r="D788" s="14">
        <v>1</v>
      </c>
      <c r="E788" s="14">
        <v>1239</v>
      </c>
      <c r="F788" s="14">
        <v>8</v>
      </c>
      <c r="G788" s="14">
        <v>15605</v>
      </c>
      <c r="H788" s="14">
        <v>0.484166571170513</v>
      </c>
      <c r="I788" s="14">
        <v>0.863762834210566</v>
      </c>
      <c r="J788" s="14">
        <v>1.57435431799839</v>
      </c>
      <c r="K788" s="14" t="s">
        <v>9874</v>
      </c>
    </row>
    <row r="789" spans="1:11">
      <c r="A789" s="14" t="s">
        <v>20841</v>
      </c>
      <c r="B789" s="14" t="s">
        <v>20842</v>
      </c>
      <c r="C789" s="14" t="s">
        <v>16090</v>
      </c>
      <c r="D789" s="14">
        <v>1</v>
      </c>
      <c r="E789" s="14">
        <v>1239</v>
      </c>
      <c r="F789" s="14">
        <v>8</v>
      </c>
      <c r="G789" s="14">
        <v>15605</v>
      </c>
      <c r="H789" s="14">
        <v>0.484166571170513</v>
      </c>
      <c r="I789" s="14">
        <v>0.863762834210566</v>
      </c>
      <c r="J789" s="14">
        <v>1.57435431799839</v>
      </c>
      <c r="K789" s="14" t="s">
        <v>4525</v>
      </c>
    </row>
    <row r="790" spans="1:11">
      <c r="A790" s="14" t="s">
        <v>16967</v>
      </c>
      <c r="B790" s="14" t="s">
        <v>16968</v>
      </c>
      <c r="C790" s="14" t="s">
        <v>16086</v>
      </c>
      <c r="D790" s="14">
        <v>1</v>
      </c>
      <c r="E790" s="14">
        <v>1239</v>
      </c>
      <c r="F790" s="14">
        <v>8</v>
      </c>
      <c r="G790" s="14">
        <v>15605</v>
      </c>
      <c r="H790" s="14">
        <v>0.484166571170513</v>
      </c>
      <c r="I790" s="14">
        <v>0.863762834210566</v>
      </c>
      <c r="J790" s="14">
        <v>1.57435431799839</v>
      </c>
      <c r="K790" s="14" t="s">
        <v>2456</v>
      </c>
    </row>
    <row r="791" spans="1:11">
      <c r="A791" s="14" t="s">
        <v>18166</v>
      </c>
      <c r="B791" s="14" t="s">
        <v>18167</v>
      </c>
      <c r="C791" s="14" t="s">
        <v>16090</v>
      </c>
      <c r="D791" s="14">
        <v>1</v>
      </c>
      <c r="E791" s="14">
        <v>1239</v>
      </c>
      <c r="F791" s="14">
        <v>8</v>
      </c>
      <c r="G791" s="14">
        <v>15605</v>
      </c>
      <c r="H791" s="14">
        <v>0.484166571170513</v>
      </c>
      <c r="I791" s="14">
        <v>0.863762834210566</v>
      </c>
      <c r="J791" s="14">
        <v>1.57435431799839</v>
      </c>
      <c r="K791" s="14" t="s">
        <v>10078</v>
      </c>
    </row>
    <row r="792" spans="1:11">
      <c r="A792" s="14" t="s">
        <v>20843</v>
      </c>
      <c r="B792" s="14" t="s">
        <v>20844</v>
      </c>
      <c r="C792" s="14" t="s">
        <v>16086</v>
      </c>
      <c r="D792" s="14">
        <v>1</v>
      </c>
      <c r="E792" s="14">
        <v>1239</v>
      </c>
      <c r="F792" s="14">
        <v>8</v>
      </c>
      <c r="G792" s="14">
        <v>15605</v>
      </c>
      <c r="H792" s="14">
        <v>0.484166571170513</v>
      </c>
      <c r="I792" s="14">
        <v>0.863762834210566</v>
      </c>
      <c r="J792" s="14">
        <v>1.57435431799839</v>
      </c>
      <c r="K792" s="14" t="s">
        <v>7450</v>
      </c>
    </row>
    <row r="793" spans="1:11">
      <c r="A793" s="14" t="s">
        <v>18176</v>
      </c>
      <c r="B793" s="14" t="s">
        <v>18177</v>
      </c>
      <c r="C793" s="14" t="s">
        <v>16090</v>
      </c>
      <c r="D793" s="14">
        <v>1</v>
      </c>
      <c r="E793" s="14">
        <v>1239</v>
      </c>
      <c r="F793" s="14">
        <v>8</v>
      </c>
      <c r="G793" s="14">
        <v>15605</v>
      </c>
      <c r="H793" s="14">
        <v>0.484166571170513</v>
      </c>
      <c r="I793" s="14">
        <v>0.863762834210566</v>
      </c>
      <c r="J793" s="14">
        <v>1.57435431799839</v>
      </c>
      <c r="K793" s="14" t="s">
        <v>3459</v>
      </c>
    </row>
    <row r="794" spans="1:11">
      <c r="A794" s="14" t="s">
        <v>20845</v>
      </c>
      <c r="B794" s="14" t="s">
        <v>20846</v>
      </c>
      <c r="C794" s="14" t="s">
        <v>16086</v>
      </c>
      <c r="D794" s="14">
        <v>1</v>
      </c>
      <c r="E794" s="14">
        <v>1239</v>
      </c>
      <c r="F794" s="14">
        <v>8</v>
      </c>
      <c r="G794" s="14">
        <v>15605</v>
      </c>
      <c r="H794" s="14">
        <v>0.484166571170513</v>
      </c>
      <c r="I794" s="14">
        <v>0.863762834210566</v>
      </c>
      <c r="J794" s="14">
        <v>1.57435431799839</v>
      </c>
      <c r="K794" s="14" t="s">
        <v>7160</v>
      </c>
    </row>
    <row r="795" spans="1:11">
      <c r="A795" s="14" t="s">
        <v>20847</v>
      </c>
      <c r="B795" s="14" t="s">
        <v>20848</v>
      </c>
      <c r="C795" s="14" t="s">
        <v>16086</v>
      </c>
      <c r="D795" s="14">
        <v>1</v>
      </c>
      <c r="E795" s="14">
        <v>1239</v>
      </c>
      <c r="F795" s="14">
        <v>8</v>
      </c>
      <c r="G795" s="14">
        <v>15605</v>
      </c>
      <c r="H795" s="14">
        <v>0.484166571170513</v>
      </c>
      <c r="I795" s="14">
        <v>0.863762834210566</v>
      </c>
      <c r="J795" s="14">
        <v>1.57435431799839</v>
      </c>
      <c r="K795" s="14" t="s">
        <v>1412</v>
      </c>
    </row>
    <row r="796" spans="1:11">
      <c r="A796" s="14" t="s">
        <v>18178</v>
      </c>
      <c r="B796" s="14" t="s">
        <v>18179</v>
      </c>
      <c r="C796" s="14" t="s">
        <v>16090</v>
      </c>
      <c r="D796" s="14">
        <v>1</v>
      </c>
      <c r="E796" s="14">
        <v>1239</v>
      </c>
      <c r="F796" s="14">
        <v>8</v>
      </c>
      <c r="G796" s="14">
        <v>15605</v>
      </c>
      <c r="H796" s="14">
        <v>0.484166571170513</v>
      </c>
      <c r="I796" s="14">
        <v>0.863762834210566</v>
      </c>
      <c r="J796" s="14">
        <v>1.57435431799839</v>
      </c>
      <c r="K796" s="14" t="s">
        <v>5801</v>
      </c>
    </row>
    <row r="797" spans="1:11">
      <c r="A797" s="14" t="s">
        <v>18190</v>
      </c>
      <c r="B797" s="14" t="s">
        <v>18191</v>
      </c>
      <c r="C797" s="14" t="s">
        <v>16090</v>
      </c>
      <c r="D797" s="14">
        <v>1</v>
      </c>
      <c r="E797" s="14">
        <v>1239</v>
      </c>
      <c r="F797" s="14">
        <v>8</v>
      </c>
      <c r="G797" s="14">
        <v>15605</v>
      </c>
      <c r="H797" s="14">
        <v>0.484166571170513</v>
      </c>
      <c r="I797" s="14">
        <v>0.863762834210566</v>
      </c>
      <c r="J797" s="14">
        <v>1.57435431799839</v>
      </c>
      <c r="K797" s="14" t="s">
        <v>9581</v>
      </c>
    </row>
    <row r="798" spans="1:11">
      <c r="A798" s="14" t="s">
        <v>20849</v>
      </c>
      <c r="B798" s="14" t="s">
        <v>20850</v>
      </c>
      <c r="C798" s="14" t="s">
        <v>16090</v>
      </c>
      <c r="D798" s="14">
        <v>1</v>
      </c>
      <c r="E798" s="14">
        <v>1239</v>
      </c>
      <c r="F798" s="14">
        <v>8</v>
      </c>
      <c r="G798" s="14">
        <v>15605</v>
      </c>
      <c r="H798" s="14">
        <v>0.484166571170513</v>
      </c>
      <c r="I798" s="14">
        <v>0.863762834210566</v>
      </c>
      <c r="J798" s="14">
        <v>1.57435431799839</v>
      </c>
      <c r="K798" s="14" t="s">
        <v>15007</v>
      </c>
    </row>
    <row r="799" spans="1:11">
      <c r="A799" s="14" t="s">
        <v>16975</v>
      </c>
      <c r="B799" s="14" t="s">
        <v>16976</v>
      </c>
      <c r="C799" s="14" t="s">
        <v>16090</v>
      </c>
      <c r="D799" s="14">
        <v>1</v>
      </c>
      <c r="E799" s="14">
        <v>1239</v>
      </c>
      <c r="F799" s="14">
        <v>8</v>
      </c>
      <c r="G799" s="14">
        <v>15605</v>
      </c>
      <c r="H799" s="14">
        <v>0.484166571170513</v>
      </c>
      <c r="I799" s="14">
        <v>0.863762834210566</v>
      </c>
      <c r="J799" s="14">
        <v>1.57435431799839</v>
      </c>
      <c r="K799" s="14" t="s">
        <v>3086</v>
      </c>
    </row>
    <row r="800" spans="1:11">
      <c r="A800" s="14" t="s">
        <v>20851</v>
      </c>
      <c r="B800" s="14" t="s">
        <v>20852</v>
      </c>
      <c r="C800" s="14" t="s">
        <v>16090</v>
      </c>
      <c r="D800" s="14">
        <v>1</v>
      </c>
      <c r="E800" s="14">
        <v>1239</v>
      </c>
      <c r="F800" s="14">
        <v>8</v>
      </c>
      <c r="G800" s="14">
        <v>15605</v>
      </c>
      <c r="H800" s="14">
        <v>0.484166571170513</v>
      </c>
      <c r="I800" s="14">
        <v>0.863762834210566</v>
      </c>
      <c r="J800" s="14">
        <v>1.57435431799839</v>
      </c>
      <c r="K800" s="14" t="s">
        <v>4828</v>
      </c>
    </row>
    <row r="801" spans="1:11">
      <c r="A801" s="14" t="s">
        <v>20853</v>
      </c>
      <c r="B801" s="14" t="s">
        <v>20854</v>
      </c>
      <c r="C801" s="14" t="s">
        <v>16090</v>
      </c>
      <c r="D801" s="14">
        <v>1</v>
      </c>
      <c r="E801" s="14">
        <v>1239</v>
      </c>
      <c r="F801" s="14">
        <v>8</v>
      </c>
      <c r="G801" s="14">
        <v>15605</v>
      </c>
      <c r="H801" s="14">
        <v>0.484166571170513</v>
      </c>
      <c r="I801" s="14">
        <v>0.863762834210566</v>
      </c>
      <c r="J801" s="14">
        <v>1.57435431799839</v>
      </c>
      <c r="K801" s="14" t="s">
        <v>9829</v>
      </c>
    </row>
    <row r="802" spans="1:11">
      <c r="A802" s="14" t="s">
        <v>20855</v>
      </c>
      <c r="B802" s="14" t="s">
        <v>20856</v>
      </c>
      <c r="C802" s="14" t="s">
        <v>16090</v>
      </c>
      <c r="D802" s="14">
        <v>1</v>
      </c>
      <c r="E802" s="14">
        <v>1239</v>
      </c>
      <c r="F802" s="14">
        <v>8</v>
      </c>
      <c r="G802" s="14">
        <v>15605</v>
      </c>
      <c r="H802" s="14">
        <v>0.484166571170513</v>
      </c>
      <c r="I802" s="14">
        <v>0.863762834210566</v>
      </c>
      <c r="J802" s="14">
        <v>1.57435431799839</v>
      </c>
      <c r="K802" s="14" t="s">
        <v>3086</v>
      </c>
    </row>
    <row r="803" spans="1:11">
      <c r="A803" s="14" t="s">
        <v>20857</v>
      </c>
      <c r="B803" s="14" t="s">
        <v>20858</v>
      </c>
      <c r="C803" s="14" t="s">
        <v>16090</v>
      </c>
      <c r="D803" s="14">
        <v>1</v>
      </c>
      <c r="E803" s="14">
        <v>1239</v>
      </c>
      <c r="F803" s="14">
        <v>8</v>
      </c>
      <c r="G803" s="14">
        <v>15605</v>
      </c>
      <c r="H803" s="14">
        <v>0.484166571170513</v>
      </c>
      <c r="I803" s="14">
        <v>0.863762834210566</v>
      </c>
      <c r="J803" s="14">
        <v>1.57435431799839</v>
      </c>
      <c r="K803" s="14" t="s">
        <v>9502</v>
      </c>
    </row>
    <row r="804" spans="1:11">
      <c r="A804" s="14" t="s">
        <v>16901</v>
      </c>
      <c r="B804" s="14" t="s">
        <v>16902</v>
      </c>
      <c r="C804" s="14" t="s">
        <v>16090</v>
      </c>
      <c r="D804" s="14">
        <v>11</v>
      </c>
      <c r="E804" s="14">
        <v>1239</v>
      </c>
      <c r="F804" s="14">
        <v>133</v>
      </c>
      <c r="G804" s="14">
        <v>15605</v>
      </c>
      <c r="H804" s="14">
        <v>0.489761761172737</v>
      </c>
      <c r="I804" s="14">
        <v>0.869559795581944</v>
      </c>
      <c r="J804" s="14">
        <v>1.04167804499141</v>
      </c>
      <c r="K804" s="14" t="s">
        <v>20859</v>
      </c>
    </row>
    <row r="805" spans="1:11">
      <c r="A805" s="14" t="s">
        <v>16455</v>
      </c>
      <c r="B805" s="14" t="s">
        <v>16456</v>
      </c>
      <c r="C805" s="14" t="s">
        <v>16090</v>
      </c>
      <c r="D805" s="14">
        <v>5</v>
      </c>
      <c r="E805" s="14">
        <v>1239</v>
      </c>
      <c r="F805" s="14">
        <v>58</v>
      </c>
      <c r="G805" s="14">
        <v>15605</v>
      </c>
      <c r="H805" s="14">
        <v>0.49259047645187</v>
      </c>
      <c r="I805" s="14">
        <v>0.869559795581944</v>
      </c>
      <c r="J805" s="14">
        <v>1.08576159861958</v>
      </c>
      <c r="K805" s="14" t="s">
        <v>20860</v>
      </c>
    </row>
    <row r="806" spans="1:11">
      <c r="A806" s="14" t="s">
        <v>20861</v>
      </c>
      <c r="B806" s="14" t="s">
        <v>20862</v>
      </c>
      <c r="C806" s="14" t="s">
        <v>16090</v>
      </c>
      <c r="D806" s="14">
        <v>3</v>
      </c>
      <c r="E806" s="14">
        <v>1239</v>
      </c>
      <c r="F806" s="14">
        <v>33</v>
      </c>
      <c r="G806" s="14">
        <v>15605</v>
      </c>
      <c r="H806" s="14">
        <v>0.493164608129087</v>
      </c>
      <c r="I806" s="14">
        <v>0.869559795581944</v>
      </c>
      <c r="J806" s="14">
        <v>1.14498495854428</v>
      </c>
      <c r="K806" s="14" t="s">
        <v>20863</v>
      </c>
    </row>
    <row r="807" spans="1:11">
      <c r="A807" s="14" t="s">
        <v>16810</v>
      </c>
      <c r="B807" s="14" t="s">
        <v>16811</v>
      </c>
      <c r="C807" s="14" t="s">
        <v>16090</v>
      </c>
      <c r="D807" s="14">
        <v>17</v>
      </c>
      <c r="E807" s="14">
        <v>1239</v>
      </c>
      <c r="F807" s="14">
        <v>209</v>
      </c>
      <c r="G807" s="14">
        <v>15605</v>
      </c>
      <c r="H807" s="14">
        <v>0.495533210956649</v>
      </c>
      <c r="I807" s="14">
        <v>0.869559795581944</v>
      </c>
      <c r="J807" s="14">
        <v>1.02446022606594</v>
      </c>
      <c r="K807" s="14" t="s">
        <v>20864</v>
      </c>
    </row>
    <row r="808" spans="1:11">
      <c r="A808" s="14" t="s">
        <v>17841</v>
      </c>
      <c r="B808" s="14" t="s">
        <v>17842</v>
      </c>
      <c r="C808" s="14" t="s">
        <v>16090</v>
      </c>
      <c r="D808" s="14">
        <v>6</v>
      </c>
      <c r="E808" s="14">
        <v>1239</v>
      </c>
      <c r="F808" s="14">
        <v>71</v>
      </c>
      <c r="G808" s="14">
        <v>15605</v>
      </c>
      <c r="H808" s="14">
        <v>0.499122104953725</v>
      </c>
      <c r="I808" s="14">
        <v>0.869559795581944</v>
      </c>
      <c r="J808" s="14">
        <v>1.06435221498482</v>
      </c>
      <c r="K808" s="14" t="s">
        <v>20865</v>
      </c>
    </row>
    <row r="809" spans="1:11">
      <c r="A809" s="14" t="s">
        <v>4373</v>
      </c>
      <c r="B809" s="14" t="s">
        <v>4374</v>
      </c>
      <c r="C809" s="14" t="s">
        <v>16096</v>
      </c>
      <c r="D809" s="14">
        <v>90</v>
      </c>
      <c r="E809" s="14">
        <v>1239</v>
      </c>
      <c r="F809" s="14">
        <v>1129</v>
      </c>
      <c r="G809" s="14">
        <v>15605</v>
      </c>
      <c r="H809" s="14">
        <v>0.500903595425959</v>
      </c>
      <c r="I809" s="14">
        <v>0.869559795581944</v>
      </c>
      <c r="J809" s="14">
        <v>1.00401692556142</v>
      </c>
      <c r="K809" s="14" t="s">
        <v>20866</v>
      </c>
    </row>
    <row r="810" spans="1:11">
      <c r="A810" s="14" t="s">
        <v>16794</v>
      </c>
      <c r="B810" s="14" t="s">
        <v>16795</v>
      </c>
      <c r="C810" s="14" t="s">
        <v>16090</v>
      </c>
      <c r="D810" s="14">
        <v>4</v>
      </c>
      <c r="E810" s="14">
        <v>1239</v>
      </c>
      <c r="F810" s="14">
        <v>46</v>
      </c>
      <c r="G810" s="14">
        <v>15605</v>
      </c>
      <c r="H810" s="14">
        <v>0.501711648133755</v>
      </c>
      <c r="I810" s="14">
        <v>0.869559795581944</v>
      </c>
      <c r="J810" s="14">
        <v>1.09520300382496</v>
      </c>
      <c r="K810" s="14" t="s">
        <v>20867</v>
      </c>
    </row>
    <row r="811" spans="1:11">
      <c r="A811" s="14" t="s">
        <v>18971</v>
      </c>
      <c r="B811" s="14" t="s">
        <v>18972</v>
      </c>
      <c r="C811" s="14" t="s">
        <v>16086</v>
      </c>
      <c r="D811" s="14">
        <v>4</v>
      </c>
      <c r="E811" s="14">
        <v>1239</v>
      </c>
      <c r="F811" s="14">
        <v>46</v>
      </c>
      <c r="G811" s="14">
        <v>15605</v>
      </c>
      <c r="H811" s="14">
        <v>0.501711648133755</v>
      </c>
      <c r="I811" s="14">
        <v>0.869559795581944</v>
      </c>
      <c r="J811" s="14">
        <v>1.09520300382496</v>
      </c>
      <c r="K811" s="14" t="s">
        <v>20868</v>
      </c>
    </row>
    <row r="812" spans="1:11">
      <c r="A812" s="14" t="s">
        <v>19164</v>
      </c>
      <c r="B812" s="14" t="s">
        <v>19165</v>
      </c>
      <c r="C812" s="14" t="s">
        <v>16090</v>
      </c>
      <c r="D812" s="14">
        <v>2</v>
      </c>
      <c r="E812" s="14">
        <v>1239</v>
      </c>
      <c r="F812" s="14">
        <v>21</v>
      </c>
      <c r="G812" s="14">
        <v>15605</v>
      </c>
      <c r="H812" s="14">
        <v>0.505366543266336</v>
      </c>
      <c r="I812" s="14">
        <v>0.869559795581944</v>
      </c>
      <c r="J812" s="14">
        <v>1.19950805180829</v>
      </c>
      <c r="K812" s="14" t="s">
        <v>19992</v>
      </c>
    </row>
    <row r="813" spans="1:11">
      <c r="A813" s="14" t="s">
        <v>18257</v>
      </c>
      <c r="B813" s="14" t="s">
        <v>18258</v>
      </c>
      <c r="C813" s="14" t="s">
        <v>16090</v>
      </c>
      <c r="D813" s="14">
        <v>2</v>
      </c>
      <c r="E813" s="14">
        <v>1239</v>
      </c>
      <c r="F813" s="14">
        <v>21</v>
      </c>
      <c r="G813" s="14">
        <v>15605</v>
      </c>
      <c r="H813" s="14">
        <v>0.505366543266336</v>
      </c>
      <c r="I813" s="14">
        <v>0.869559795581944</v>
      </c>
      <c r="J813" s="14">
        <v>1.19950805180829</v>
      </c>
      <c r="K813" s="14" t="s">
        <v>20059</v>
      </c>
    </row>
    <row r="814" spans="1:11">
      <c r="A814" s="14" t="s">
        <v>18260</v>
      </c>
      <c r="B814" s="14" t="s">
        <v>18261</v>
      </c>
      <c r="C814" s="14" t="s">
        <v>16086</v>
      </c>
      <c r="D814" s="14">
        <v>2</v>
      </c>
      <c r="E814" s="14">
        <v>1239</v>
      </c>
      <c r="F814" s="14">
        <v>21</v>
      </c>
      <c r="G814" s="14">
        <v>15605</v>
      </c>
      <c r="H814" s="14">
        <v>0.505366543266336</v>
      </c>
      <c r="I814" s="14">
        <v>0.869559795581944</v>
      </c>
      <c r="J814" s="14">
        <v>1.19950805180829</v>
      </c>
      <c r="K814" s="14" t="s">
        <v>20869</v>
      </c>
    </row>
    <row r="815" spans="1:11">
      <c r="A815" s="14" t="s">
        <v>16801</v>
      </c>
      <c r="B815" s="14" t="s">
        <v>16802</v>
      </c>
      <c r="C815" s="14" t="s">
        <v>16090</v>
      </c>
      <c r="D815" s="14">
        <v>2</v>
      </c>
      <c r="E815" s="14">
        <v>1239</v>
      </c>
      <c r="F815" s="14">
        <v>21</v>
      </c>
      <c r="G815" s="14">
        <v>15605</v>
      </c>
      <c r="H815" s="14">
        <v>0.505366543266336</v>
      </c>
      <c r="I815" s="14">
        <v>0.869559795581944</v>
      </c>
      <c r="J815" s="14">
        <v>1.19950805180829</v>
      </c>
      <c r="K815" s="14" t="s">
        <v>20870</v>
      </c>
    </row>
    <row r="816" spans="1:11">
      <c r="A816" s="14" t="s">
        <v>19170</v>
      </c>
      <c r="B816" s="14" t="s">
        <v>19171</v>
      </c>
      <c r="C816" s="14" t="s">
        <v>16090</v>
      </c>
      <c r="D816" s="14">
        <v>2</v>
      </c>
      <c r="E816" s="14">
        <v>1239</v>
      </c>
      <c r="F816" s="14">
        <v>21</v>
      </c>
      <c r="G816" s="14">
        <v>15605</v>
      </c>
      <c r="H816" s="14">
        <v>0.505366543266336</v>
      </c>
      <c r="I816" s="14">
        <v>0.869559795581944</v>
      </c>
      <c r="J816" s="14">
        <v>1.19950805180829</v>
      </c>
      <c r="K816" s="14" t="s">
        <v>20871</v>
      </c>
    </row>
    <row r="817" spans="1:11">
      <c r="A817" s="14" t="s">
        <v>20872</v>
      </c>
      <c r="B817" s="14" t="s">
        <v>20873</v>
      </c>
      <c r="C817" s="14" t="s">
        <v>16086</v>
      </c>
      <c r="D817" s="14">
        <v>2</v>
      </c>
      <c r="E817" s="14">
        <v>1239</v>
      </c>
      <c r="F817" s="14">
        <v>21</v>
      </c>
      <c r="G817" s="14">
        <v>15605</v>
      </c>
      <c r="H817" s="14">
        <v>0.505366543266336</v>
      </c>
      <c r="I817" s="14">
        <v>0.869559795581944</v>
      </c>
      <c r="J817" s="14">
        <v>1.19950805180829</v>
      </c>
      <c r="K817" s="14" t="s">
        <v>20874</v>
      </c>
    </row>
    <row r="818" spans="1:11">
      <c r="A818" s="14" t="s">
        <v>16807</v>
      </c>
      <c r="B818" s="14" t="s">
        <v>16808</v>
      </c>
      <c r="C818" s="14" t="s">
        <v>16090</v>
      </c>
      <c r="D818" s="14">
        <v>2</v>
      </c>
      <c r="E818" s="14">
        <v>1239</v>
      </c>
      <c r="F818" s="14">
        <v>21</v>
      </c>
      <c r="G818" s="14">
        <v>15605</v>
      </c>
      <c r="H818" s="14">
        <v>0.505366543266336</v>
      </c>
      <c r="I818" s="14">
        <v>0.869559795581944</v>
      </c>
      <c r="J818" s="14">
        <v>1.19950805180829</v>
      </c>
      <c r="K818" s="14" t="s">
        <v>20875</v>
      </c>
    </row>
    <row r="819" spans="1:11">
      <c r="A819" s="14" t="s">
        <v>18263</v>
      </c>
      <c r="B819" s="14" t="s">
        <v>18264</v>
      </c>
      <c r="C819" s="14" t="s">
        <v>16086</v>
      </c>
      <c r="D819" s="14">
        <v>2</v>
      </c>
      <c r="E819" s="14">
        <v>1239</v>
      </c>
      <c r="F819" s="14">
        <v>21</v>
      </c>
      <c r="G819" s="14">
        <v>15605</v>
      </c>
      <c r="H819" s="14">
        <v>0.505366543266336</v>
      </c>
      <c r="I819" s="14">
        <v>0.869559795581944</v>
      </c>
      <c r="J819" s="14">
        <v>1.19950805180829</v>
      </c>
      <c r="K819" s="14" t="s">
        <v>20869</v>
      </c>
    </row>
    <row r="820" spans="1:11">
      <c r="A820" s="14" t="s">
        <v>19176</v>
      </c>
      <c r="B820" s="14" t="s">
        <v>19177</v>
      </c>
      <c r="C820" s="14" t="s">
        <v>16090</v>
      </c>
      <c r="D820" s="14">
        <v>2</v>
      </c>
      <c r="E820" s="14">
        <v>1239</v>
      </c>
      <c r="F820" s="14">
        <v>21</v>
      </c>
      <c r="G820" s="14">
        <v>15605</v>
      </c>
      <c r="H820" s="14">
        <v>0.505366543266336</v>
      </c>
      <c r="I820" s="14">
        <v>0.869559795581944</v>
      </c>
      <c r="J820" s="14">
        <v>1.19950805180829</v>
      </c>
      <c r="K820" s="14" t="s">
        <v>20876</v>
      </c>
    </row>
    <row r="821" spans="1:11">
      <c r="A821" s="14" t="s">
        <v>17273</v>
      </c>
      <c r="B821" s="14" t="s">
        <v>17274</v>
      </c>
      <c r="C821" s="14" t="s">
        <v>16086</v>
      </c>
      <c r="D821" s="14">
        <v>2</v>
      </c>
      <c r="E821" s="14">
        <v>1239</v>
      </c>
      <c r="F821" s="14">
        <v>21</v>
      </c>
      <c r="G821" s="14">
        <v>15605</v>
      </c>
      <c r="H821" s="14">
        <v>0.505366543266336</v>
      </c>
      <c r="I821" s="14">
        <v>0.869559795581944</v>
      </c>
      <c r="J821" s="14">
        <v>1.19950805180829</v>
      </c>
      <c r="K821" s="14" t="s">
        <v>20877</v>
      </c>
    </row>
    <row r="822" spans="1:11">
      <c r="A822" s="14" t="s">
        <v>17276</v>
      </c>
      <c r="B822" s="14" t="s">
        <v>17277</v>
      </c>
      <c r="C822" s="14" t="s">
        <v>16090</v>
      </c>
      <c r="D822" s="14">
        <v>2</v>
      </c>
      <c r="E822" s="14">
        <v>1239</v>
      </c>
      <c r="F822" s="14">
        <v>21</v>
      </c>
      <c r="G822" s="14">
        <v>15605</v>
      </c>
      <c r="H822" s="14">
        <v>0.505366543266336</v>
      </c>
      <c r="I822" s="14">
        <v>0.869559795581944</v>
      </c>
      <c r="J822" s="14">
        <v>1.19950805180829</v>
      </c>
      <c r="K822" s="14" t="s">
        <v>20878</v>
      </c>
    </row>
    <row r="823" spans="1:11">
      <c r="A823" s="14" t="s">
        <v>19178</v>
      </c>
      <c r="B823" s="14" t="s">
        <v>19179</v>
      </c>
      <c r="C823" s="14" t="s">
        <v>16090</v>
      </c>
      <c r="D823" s="14">
        <v>2</v>
      </c>
      <c r="E823" s="14">
        <v>1239</v>
      </c>
      <c r="F823" s="14">
        <v>21</v>
      </c>
      <c r="G823" s="14">
        <v>15605</v>
      </c>
      <c r="H823" s="14">
        <v>0.505366543266336</v>
      </c>
      <c r="I823" s="14">
        <v>0.869559795581944</v>
      </c>
      <c r="J823" s="14">
        <v>1.19950805180829</v>
      </c>
      <c r="K823" s="14" t="s">
        <v>20795</v>
      </c>
    </row>
    <row r="824" spans="1:11">
      <c r="A824" s="14" t="s">
        <v>18392</v>
      </c>
      <c r="B824" s="14" t="s">
        <v>18393</v>
      </c>
      <c r="C824" s="14" t="s">
        <v>16090</v>
      </c>
      <c r="D824" s="14">
        <v>3</v>
      </c>
      <c r="E824" s="14">
        <v>1239</v>
      </c>
      <c r="F824" s="14">
        <v>34</v>
      </c>
      <c r="G824" s="14">
        <v>15605</v>
      </c>
      <c r="H824" s="14">
        <v>0.513525455664883</v>
      </c>
      <c r="I824" s="14">
        <v>0.869559795581944</v>
      </c>
      <c r="J824" s="14">
        <v>1.1113089303518</v>
      </c>
      <c r="K824" s="14" t="s">
        <v>20879</v>
      </c>
    </row>
    <row r="825" spans="1:11">
      <c r="A825" s="14" t="s">
        <v>19241</v>
      </c>
      <c r="B825" s="14" t="s">
        <v>19242</v>
      </c>
      <c r="C825" s="14" t="s">
        <v>16086</v>
      </c>
      <c r="D825" s="14">
        <v>7</v>
      </c>
      <c r="E825" s="14">
        <v>1239</v>
      </c>
      <c r="F825" s="14">
        <v>85</v>
      </c>
      <c r="G825" s="14">
        <v>15605</v>
      </c>
      <c r="H825" s="14">
        <v>0.517298136821218</v>
      </c>
      <c r="I825" s="14">
        <v>0.869559795581944</v>
      </c>
      <c r="J825" s="14">
        <v>1.03722166832835</v>
      </c>
      <c r="K825" s="14" t="s">
        <v>20880</v>
      </c>
    </row>
    <row r="826" spans="1:11">
      <c r="A826" s="14" t="s">
        <v>8763</v>
      </c>
      <c r="B826" s="14" t="s">
        <v>8764</v>
      </c>
      <c r="C826" s="14" t="s">
        <v>16096</v>
      </c>
      <c r="D826" s="14">
        <v>56</v>
      </c>
      <c r="E826" s="14">
        <v>1239</v>
      </c>
      <c r="F826" s="14">
        <v>705</v>
      </c>
      <c r="G826" s="14">
        <v>15605</v>
      </c>
      <c r="H826" s="14">
        <v>0.519775408844452</v>
      </c>
      <c r="I826" s="14">
        <v>0.869559795581944</v>
      </c>
      <c r="J826" s="14">
        <v>1.00044075810394</v>
      </c>
      <c r="K826" s="14" t="s">
        <v>20881</v>
      </c>
    </row>
    <row r="827" spans="1:11">
      <c r="A827" s="14" t="s">
        <v>19312</v>
      </c>
      <c r="B827" s="14" t="s">
        <v>19313</v>
      </c>
      <c r="C827" s="14" t="s">
        <v>16086</v>
      </c>
      <c r="D827" s="14">
        <v>5</v>
      </c>
      <c r="E827" s="14">
        <v>1239</v>
      </c>
      <c r="F827" s="14">
        <v>60</v>
      </c>
      <c r="G827" s="14">
        <v>15605</v>
      </c>
      <c r="H827" s="14">
        <v>0.523192554095868</v>
      </c>
      <c r="I827" s="14">
        <v>0.869559795581944</v>
      </c>
      <c r="J827" s="14">
        <v>1.04956954533226</v>
      </c>
      <c r="K827" s="14" t="s">
        <v>20882</v>
      </c>
    </row>
    <row r="828" spans="1:11">
      <c r="A828" s="14" t="s">
        <v>16266</v>
      </c>
      <c r="B828" s="14" t="s">
        <v>16267</v>
      </c>
      <c r="C828" s="14" t="s">
        <v>16086</v>
      </c>
      <c r="D828" s="14">
        <v>5</v>
      </c>
      <c r="E828" s="14">
        <v>1239</v>
      </c>
      <c r="F828" s="14">
        <v>60</v>
      </c>
      <c r="G828" s="14">
        <v>15605</v>
      </c>
      <c r="H828" s="14">
        <v>0.523192554095868</v>
      </c>
      <c r="I828" s="14">
        <v>0.869559795581944</v>
      </c>
      <c r="J828" s="14">
        <v>1.04956954533226</v>
      </c>
      <c r="K828" s="14" t="s">
        <v>20883</v>
      </c>
    </row>
    <row r="829" spans="1:11">
      <c r="A829" s="14" t="s">
        <v>17031</v>
      </c>
      <c r="B829" s="14" t="s">
        <v>17032</v>
      </c>
      <c r="C829" s="14" t="s">
        <v>16096</v>
      </c>
      <c r="D829" s="14">
        <v>1</v>
      </c>
      <c r="E829" s="14">
        <v>1239</v>
      </c>
      <c r="F829" s="14">
        <v>9</v>
      </c>
      <c r="G829" s="14">
        <v>15605</v>
      </c>
      <c r="H829" s="14">
        <v>0.525143529452216</v>
      </c>
      <c r="I829" s="14">
        <v>0.869559795581944</v>
      </c>
      <c r="J829" s="14">
        <v>1.39942606044301</v>
      </c>
      <c r="K829" s="14" t="s">
        <v>13211</v>
      </c>
    </row>
    <row r="830" spans="1:11">
      <c r="A830" s="14" t="s">
        <v>18270</v>
      </c>
      <c r="B830" s="14" t="s">
        <v>18271</v>
      </c>
      <c r="C830" s="14" t="s">
        <v>16090</v>
      </c>
      <c r="D830" s="14">
        <v>1</v>
      </c>
      <c r="E830" s="14">
        <v>1239</v>
      </c>
      <c r="F830" s="14">
        <v>9</v>
      </c>
      <c r="G830" s="14">
        <v>15605</v>
      </c>
      <c r="H830" s="14">
        <v>0.525143529452216</v>
      </c>
      <c r="I830" s="14">
        <v>0.869559795581944</v>
      </c>
      <c r="J830" s="14">
        <v>1.39942606044301</v>
      </c>
      <c r="K830" s="14" t="s">
        <v>1561</v>
      </c>
    </row>
    <row r="831" spans="1:11">
      <c r="A831" s="14" t="s">
        <v>20884</v>
      </c>
      <c r="B831" s="14" t="s">
        <v>20885</v>
      </c>
      <c r="C831" s="14" t="s">
        <v>16086</v>
      </c>
      <c r="D831" s="14">
        <v>1</v>
      </c>
      <c r="E831" s="14">
        <v>1239</v>
      </c>
      <c r="F831" s="14">
        <v>9</v>
      </c>
      <c r="G831" s="14">
        <v>15605</v>
      </c>
      <c r="H831" s="14">
        <v>0.525143529452216</v>
      </c>
      <c r="I831" s="14">
        <v>0.869559795581944</v>
      </c>
      <c r="J831" s="14">
        <v>1.39942606044301</v>
      </c>
      <c r="K831" s="14" t="s">
        <v>2982</v>
      </c>
    </row>
    <row r="832" spans="1:11">
      <c r="A832" s="14" t="s">
        <v>18284</v>
      </c>
      <c r="B832" s="14" t="s">
        <v>18285</v>
      </c>
      <c r="C832" s="14" t="s">
        <v>16086</v>
      </c>
      <c r="D832" s="14">
        <v>1</v>
      </c>
      <c r="E832" s="14">
        <v>1239</v>
      </c>
      <c r="F832" s="14">
        <v>9</v>
      </c>
      <c r="G832" s="14">
        <v>15605</v>
      </c>
      <c r="H832" s="14">
        <v>0.525143529452216</v>
      </c>
      <c r="I832" s="14">
        <v>0.869559795581944</v>
      </c>
      <c r="J832" s="14">
        <v>1.39942606044301</v>
      </c>
      <c r="K832" s="14" t="s">
        <v>15835</v>
      </c>
    </row>
    <row r="833" spans="1:11">
      <c r="A833" s="14" t="s">
        <v>20886</v>
      </c>
      <c r="B833" s="14" t="s">
        <v>20887</v>
      </c>
      <c r="C833" s="14" t="s">
        <v>16090</v>
      </c>
      <c r="D833" s="14">
        <v>1</v>
      </c>
      <c r="E833" s="14">
        <v>1239</v>
      </c>
      <c r="F833" s="14">
        <v>9</v>
      </c>
      <c r="G833" s="14">
        <v>15605</v>
      </c>
      <c r="H833" s="14">
        <v>0.525143529452216</v>
      </c>
      <c r="I833" s="14">
        <v>0.869559795581944</v>
      </c>
      <c r="J833" s="14">
        <v>1.39942606044301</v>
      </c>
      <c r="K833" s="14" t="s">
        <v>12856</v>
      </c>
    </row>
    <row r="834" spans="1:11">
      <c r="A834" s="14" t="s">
        <v>20888</v>
      </c>
      <c r="B834" s="14" t="s">
        <v>20889</v>
      </c>
      <c r="C834" s="14" t="s">
        <v>16090</v>
      </c>
      <c r="D834" s="14">
        <v>1</v>
      </c>
      <c r="E834" s="14">
        <v>1239</v>
      </c>
      <c r="F834" s="14">
        <v>9</v>
      </c>
      <c r="G834" s="14">
        <v>15605</v>
      </c>
      <c r="H834" s="14">
        <v>0.525143529452216</v>
      </c>
      <c r="I834" s="14">
        <v>0.869559795581944</v>
      </c>
      <c r="J834" s="14">
        <v>1.39942606044301</v>
      </c>
      <c r="K834" s="14" t="s">
        <v>9874</v>
      </c>
    </row>
    <row r="835" spans="1:11">
      <c r="A835" s="14" t="s">
        <v>20890</v>
      </c>
      <c r="B835" s="14" t="s">
        <v>20891</v>
      </c>
      <c r="C835" s="14" t="s">
        <v>16090</v>
      </c>
      <c r="D835" s="14">
        <v>1</v>
      </c>
      <c r="E835" s="14">
        <v>1239</v>
      </c>
      <c r="F835" s="14">
        <v>9</v>
      </c>
      <c r="G835" s="14">
        <v>15605</v>
      </c>
      <c r="H835" s="14">
        <v>0.525143529452216</v>
      </c>
      <c r="I835" s="14">
        <v>0.869559795581944</v>
      </c>
      <c r="J835" s="14">
        <v>1.39942606044301</v>
      </c>
      <c r="K835" s="14" t="s">
        <v>8602</v>
      </c>
    </row>
    <row r="836" spans="1:11">
      <c r="A836" s="14" t="s">
        <v>18294</v>
      </c>
      <c r="B836" s="14" t="s">
        <v>18295</v>
      </c>
      <c r="C836" s="14" t="s">
        <v>16090</v>
      </c>
      <c r="D836" s="14">
        <v>1</v>
      </c>
      <c r="E836" s="14">
        <v>1239</v>
      </c>
      <c r="F836" s="14">
        <v>9</v>
      </c>
      <c r="G836" s="14">
        <v>15605</v>
      </c>
      <c r="H836" s="14">
        <v>0.525143529452216</v>
      </c>
      <c r="I836" s="14">
        <v>0.869559795581944</v>
      </c>
      <c r="J836" s="14">
        <v>1.39942606044301</v>
      </c>
      <c r="K836" s="14" t="s">
        <v>5514</v>
      </c>
    </row>
    <row r="837" spans="1:11">
      <c r="A837" s="14" t="s">
        <v>16498</v>
      </c>
      <c r="B837" s="14" t="s">
        <v>16499</v>
      </c>
      <c r="C837" s="14" t="s">
        <v>16090</v>
      </c>
      <c r="D837" s="14">
        <v>1</v>
      </c>
      <c r="E837" s="14">
        <v>1239</v>
      </c>
      <c r="F837" s="14">
        <v>9</v>
      </c>
      <c r="G837" s="14">
        <v>15605</v>
      </c>
      <c r="H837" s="14">
        <v>0.525143529452216</v>
      </c>
      <c r="I837" s="14">
        <v>0.869559795581944</v>
      </c>
      <c r="J837" s="14">
        <v>1.39942606044301</v>
      </c>
      <c r="K837" s="14" t="s">
        <v>2031</v>
      </c>
    </row>
    <row r="838" spans="1:11">
      <c r="A838" s="14" t="s">
        <v>20892</v>
      </c>
      <c r="B838" s="14" t="s">
        <v>20893</v>
      </c>
      <c r="C838" s="14" t="s">
        <v>16090</v>
      </c>
      <c r="D838" s="14">
        <v>1</v>
      </c>
      <c r="E838" s="14">
        <v>1239</v>
      </c>
      <c r="F838" s="14">
        <v>9</v>
      </c>
      <c r="G838" s="14">
        <v>15605</v>
      </c>
      <c r="H838" s="14">
        <v>0.525143529452216</v>
      </c>
      <c r="I838" s="14">
        <v>0.869559795581944</v>
      </c>
      <c r="J838" s="14">
        <v>1.39942606044301</v>
      </c>
      <c r="K838" s="14" t="s">
        <v>3934</v>
      </c>
    </row>
    <row r="839" spans="1:11">
      <c r="A839" s="14" t="s">
        <v>20894</v>
      </c>
      <c r="B839" s="14" t="s">
        <v>20895</v>
      </c>
      <c r="C839" s="14" t="s">
        <v>16090</v>
      </c>
      <c r="D839" s="14">
        <v>1</v>
      </c>
      <c r="E839" s="14">
        <v>1239</v>
      </c>
      <c r="F839" s="14">
        <v>9</v>
      </c>
      <c r="G839" s="14">
        <v>15605</v>
      </c>
      <c r="H839" s="14">
        <v>0.525143529452216</v>
      </c>
      <c r="I839" s="14">
        <v>0.869559795581944</v>
      </c>
      <c r="J839" s="14">
        <v>1.39942606044301</v>
      </c>
      <c r="K839" s="14" t="s">
        <v>8618</v>
      </c>
    </row>
    <row r="840" spans="1:11">
      <c r="A840" s="14" t="s">
        <v>18302</v>
      </c>
      <c r="B840" s="14" t="s">
        <v>18303</v>
      </c>
      <c r="C840" s="14" t="s">
        <v>16090</v>
      </c>
      <c r="D840" s="14">
        <v>1</v>
      </c>
      <c r="E840" s="14">
        <v>1239</v>
      </c>
      <c r="F840" s="14">
        <v>9</v>
      </c>
      <c r="G840" s="14">
        <v>15605</v>
      </c>
      <c r="H840" s="14">
        <v>0.525143529452216</v>
      </c>
      <c r="I840" s="14">
        <v>0.869559795581944</v>
      </c>
      <c r="J840" s="14">
        <v>1.39942606044301</v>
      </c>
      <c r="K840" s="14" t="s">
        <v>13066</v>
      </c>
    </row>
    <row r="841" spans="1:11">
      <c r="A841" s="14" t="s">
        <v>20896</v>
      </c>
      <c r="B841" s="14" t="s">
        <v>20897</v>
      </c>
      <c r="C841" s="14" t="s">
        <v>16090</v>
      </c>
      <c r="D841" s="14">
        <v>1</v>
      </c>
      <c r="E841" s="14">
        <v>1239</v>
      </c>
      <c r="F841" s="14">
        <v>9</v>
      </c>
      <c r="G841" s="14">
        <v>15605</v>
      </c>
      <c r="H841" s="14">
        <v>0.525143529452216</v>
      </c>
      <c r="I841" s="14">
        <v>0.869559795581944</v>
      </c>
      <c r="J841" s="14">
        <v>1.39942606044301</v>
      </c>
      <c r="K841" s="14" t="s">
        <v>13802</v>
      </c>
    </row>
    <row r="842" spans="1:11">
      <c r="A842" s="14" t="s">
        <v>20898</v>
      </c>
      <c r="B842" s="14" t="s">
        <v>20899</v>
      </c>
      <c r="C842" s="14" t="s">
        <v>16086</v>
      </c>
      <c r="D842" s="14">
        <v>1</v>
      </c>
      <c r="E842" s="14">
        <v>1239</v>
      </c>
      <c r="F842" s="14">
        <v>9</v>
      </c>
      <c r="G842" s="14">
        <v>15605</v>
      </c>
      <c r="H842" s="14">
        <v>0.525143529452216</v>
      </c>
      <c r="I842" s="14">
        <v>0.869559795581944</v>
      </c>
      <c r="J842" s="14">
        <v>1.39942606044301</v>
      </c>
      <c r="K842" s="14" t="s">
        <v>5801</v>
      </c>
    </row>
    <row r="843" spans="1:11">
      <c r="A843" s="14" t="s">
        <v>18304</v>
      </c>
      <c r="B843" s="14" t="s">
        <v>18305</v>
      </c>
      <c r="C843" s="14" t="s">
        <v>16086</v>
      </c>
      <c r="D843" s="14">
        <v>1</v>
      </c>
      <c r="E843" s="14">
        <v>1239</v>
      </c>
      <c r="F843" s="14">
        <v>9</v>
      </c>
      <c r="G843" s="14">
        <v>15605</v>
      </c>
      <c r="H843" s="14">
        <v>0.525143529452216</v>
      </c>
      <c r="I843" s="14">
        <v>0.869559795581944</v>
      </c>
      <c r="J843" s="14">
        <v>1.39942606044301</v>
      </c>
      <c r="K843" s="14" t="s">
        <v>5704</v>
      </c>
    </row>
    <row r="844" spans="1:11">
      <c r="A844" s="14" t="s">
        <v>17051</v>
      </c>
      <c r="B844" s="14" t="s">
        <v>17052</v>
      </c>
      <c r="C844" s="14" t="s">
        <v>16090</v>
      </c>
      <c r="D844" s="14">
        <v>1</v>
      </c>
      <c r="E844" s="14">
        <v>1239</v>
      </c>
      <c r="F844" s="14">
        <v>9</v>
      </c>
      <c r="G844" s="14">
        <v>15605</v>
      </c>
      <c r="H844" s="14">
        <v>0.525143529452216</v>
      </c>
      <c r="I844" s="14">
        <v>0.869559795581944</v>
      </c>
      <c r="J844" s="14">
        <v>1.39942606044301</v>
      </c>
      <c r="K844" s="14" t="s">
        <v>15644</v>
      </c>
    </row>
    <row r="845" spans="1:11">
      <c r="A845" s="14" t="s">
        <v>20900</v>
      </c>
      <c r="B845" s="14" t="s">
        <v>20901</v>
      </c>
      <c r="C845" s="14" t="s">
        <v>16086</v>
      </c>
      <c r="D845" s="14">
        <v>1</v>
      </c>
      <c r="E845" s="14">
        <v>1239</v>
      </c>
      <c r="F845" s="14">
        <v>9</v>
      </c>
      <c r="G845" s="14">
        <v>15605</v>
      </c>
      <c r="H845" s="14">
        <v>0.525143529452216</v>
      </c>
      <c r="I845" s="14">
        <v>0.869559795581944</v>
      </c>
      <c r="J845" s="14">
        <v>1.39942606044301</v>
      </c>
      <c r="K845" s="14" t="s">
        <v>177</v>
      </c>
    </row>
    <row r="846" spans="1:11">
      <c r="A846" s="14" t="s">
        <v>17054</v>
      </c>
      <c r="B846" s="14" t="s">
        <v>17055</v>
      </c>
      <c r="C846" s="14" t="s">
        <v>16090</v>
      </c>
      <c r="D846" s="14">
        <v>1</v>
      </c>
      <c r="E846" s="14">
        <v>1239</v>
      </c>
      <c r="F846" s="14">
        <v>9</v>
      </c>
      <c r="G846" s="14">
        <v>15605</v>
      </c>
      <c r="H846" s="14">
        <v>0.525143529452216</v>
      </c>
      <c r="I846" s="14">
        <v>0.869559795581944</v>
      </c>
      <c r="J846" s="14">
        <v>1.39942606044301</v>
      </c>
      <c r="K846" s="14" t="s">
        <v>15823</v>
      </c>
    </row>
    <row r="847" spans="1:11">
      <c r="A847" s="14" t="s">
        <v>20902</v>
      </c>
      <c r="B847" s="14" t="s">
        <v>20903</v>
      </c>
      <c r="C847" s="14" t="s">
        <v>16096</v>
      </c>
      <c r="D847" s="14">
        <v>1</v>
      </c>
      <c r="E847" s="14">
        <v>1239</v>
      </c>
      <c r="F847" s="14">
        <v>9</v>
      </c>
      <c r="G847" s="14">
        <v>15605</v>
      </c>
      <c r="H847" s="14">
        <v>0.525143529452216</v>
      </c>
      <c r="I847" s="14">
        <v>0.869559795581944</v>
      </c>
      <c r="J847" s="14">
        <v>1.39942606044301</v>
      </c>
      <c r="K847" s="14" t="s">
        <v>8771</v>
      </c>
    </row>
    <row r="848" spans="1:11">
      <c r="A848" s="14" t="s">
        <v>17057</v>
      </c>
      <c r="B848" s="14" t="s">
        <v>17058</v>
      </c>
      <c r="C848" s="14" t="s">
        <v>16096</v>
      </c>
      <c r="D848" s="14">
        <v>1</v>
      </c>
      <c r="E848" s="14">
        <v>1239</v>
      </c>
      <c r="F848" s="14">
        <v>9</v>
      </c>
      <c r="G848" s="14">
        <v>15605</v>
      </c>
      <c r="H848" s="14">
        <v>0.525143529452216</v>
      </c>
      <c r="I848" s="14">
        <v>0.869559795581944</v>
      </c>
      <c r="J848" s="14">
        <v>1.39942606044301</v>
      </c>
      <c r="K848" s="14" t="s">
        <v>14538</v>
      </c>
    </row>
    <row r="849" spans="1:11">
      <c r="A849" s="14" t="s">
        <v>18308</v>
      </c>
      <c r="B849" s="14" t="s">
        <v>18309</v>
      </c>
      <c r="C849" s="14" t="s">
        <v>16090</v>
      </c>
      <c r="D849" s="14">
        <v>1</v>
      </c>
      <c r="E849" s="14">
        <v>1239</v>
      </c>
      <c r="F849" s="14">
        <v>9</v>
      </c>
      <c r="G849" s="14">
        <v>15605</v>
      </c>
      <c r="H849" s="14">
        <v>0.525143529452216</v>
      </c>
      <c r="I849" s="14">
        <v>0.869559795581944</v>
      </c>
      <c r="J849" s="14">
        <v>1.39942606044301</v>
      </c>
      <c r="K849" s="14" t="s">
        <v>11735</v>
      </c>
    </row>
    <row r="850" spans="1:11">
      <c r="A850" s="14" t="s">
        <v>18310</v>
      </c>
      <c r="B850" s="14" t="s">
        <v>18311</v>
      </c>
      <c r="C850" s="14" t="s">
        <v>16090</v>
      </c>
      <c r="D850" s="14">
        <v>1</v>
      </c>
      <c r="E850" s="14">
        <v>1239</v>
      </c>
      <c r="F850" s="14">
        <v>9</v>
      </c>
      <c r="G850" s="14">
        <v>15605</v>
      </c>
      <c r="H850" s="14">
        <v>0.525143529452216</v>
      </c>
      <c r="I850" s="14">
        <v>0.869559795581944</v>
      </c>
      <c r="J850" s="14">
        <v>1.39942606044301</v>
      </c>
      <c r="K850" s="14" t="s">
        <v>230</v>
      </c>
    </row>
    <row r="851" spans="1:11">
      <c r="A851" s="14" t="s">
        <v>20904</v>
      </c>
      <c r="B851" s="14" t="s">
        <v>20905</v>
      </c>
      <c r="C851" s="14" t="s">
        <v>16090</v>
      </c>
      <c r="D851" s="14">
        <v>1</v>
      </c>
      <c r="E851" s="14">
        <v>1239</v>
      </c>
      <c r="F851" s="14">
        <v>9</v>
      </c>
      <c r="G851" s="14">
        <v>15605</v>
      </c>
      <c r="H851" s="14">
        <v>0.525143529452216</v>
      </c>
      <c r="I851" s="14">
        <v>0.869559795581944</v>
      </c>
      <c r="J851" s="14">
        <v>1.39942606044301</v>
      </c>
      <c r="K851" s="14" t="s">
        <v>672</v>
      </c>
    </row>
    <row r="852" spans="1:11">
      <c r="A852" s="14" t="s">
        <v>16162</v>
      </c>
      <c r="B852" s="14" t="s">
        <v>16163</v>
      </c>
      <c r="C852" s="14" t="s">
        <v>16090</v>
      </c>
      <c r="D852" s="14">
        <v>1</v>
      </c>
      <c r="E852" s="14">
        <v>1239</v>
      </c>
      <c r="F852" s="14">
        <v>9</v>
      </c>
      <c r="G852" s="14">
        <v>15605</v>
      </c>
      <c r="H852" s="14">
        <v>0.525143529452216</v>
      </c>
      <c r="I852" s="14">
        <v>0.869559795581944</v>
      </c>
      <c r="J852" s="14">
        <v>1.39942606044301</v>
      </c>
      <c r="K852" s="14" t="s">
        <v>6593</v>
      </c>
    </row>
    <row r="853" spans="1:11">
      <c r="A853" s="14" t="s">
        <v>20906</v>
      </c>
      <c r="B853" s="14" t="s">
        <v>20907</v>
      </c>
      <c r="C853" s="14" t="s">
        <v>16090</v>
      </c>
      <c r="D853" s="14">
        <v>1</v>
      </c>
      <c r="E853" s="14">
        <v>1239</v>
      </c>
      <c r="F853" s="14">
        <v>9</v>
      </c>
      <c r="G853" s="14">
        <v>15605</v>
      </c>
      <c r="H853" s="14">
        <v>0.525143529452216</v>
      </c>
      <c r="I853" s="14">
        <v>0.869559795581944</v>
      </c>
      <c r="J853" s="14">
        <v>1.39942606044301</v>
      </c>
      <c r="K853" s="14" t="s">
        <v>8863</v>
      </c>
    </row>
    <row r="854" spans="1:11">
      <c r="A854" s="14" t="s">
        <v>20908</v>
      </c>
      <c r="B854" s="14" t="s">
        <v>20909</v>
      </c>
      <c r="C854" s="14" t="s">
        <v>16096</v>
      </c>
      <c r="D854" s="14">
        <v>1</v>
      </c>
      <c r="E854" s="14">
        <v>1239</v>
      </c>
      <c r="F854" s="14">
        <v>9</v>
      </c>
      <c r="G854" s="14">
        <v>15605</v>
      </c>
      <c r="H854" s="14">
        <v>0.525143529452216</v>
      </c>
      <c r="I854" s="14">
        <v>0.869559795581944</v>
      </c>
      <c r="J854" s="14">
        <v>1.39942606044301</v>
      </c>
      <c r="K854" s="14" t="s">
        <v>11395</v>
      </c>
    </row>
    <row r="855" spans="1:11">
      <c r="A855" s="14" t="s">
        <v>18326</v>
      </c>
      <c r="B855" s="14" t="s">
        <v>18327</v>
      </c>
      <c r="C855" s="14" t="s">
        <v>16090</v>
      </c>
      <c r="D855" s="14">
        <v>1</v>
      </c>
      <c r="E855" s="14">
        <v>1239</v>
      </c>
      <c r="F855" s="14">
        <v>9</v>
      </c>
      <c r="G855" s="14">
        <v>15605</v>
      </c>
      <c r="H855" s="14">
        <v>0.525143529452216</v>
      </c>
      <c r="I855" s="14">
        <v>0.869559795581944</v>
      </c>
      <c r="J855" s="14">
        <v>1.39942606044301</v>
      </c>
      <c r="K855" s="14" t="s">
        <v>9673</v>
      </c>
    </row>
    <row r="856" spans="1:11">
      <c r="A856" s="14" t="s">
        <v>20910</v>
      </c>
      <c r="B856" s="14" t="s">
        <v>20911</v>
      </c>
      <c r="C856" s="14" t="s">
        <v>16090</v>
      </c>
      <c r="D856" s="14">
        <v>1</v>
      </c>
      <c r="E856" s="14">
        <v>1239</v>
      </c>
      <c r="F856" s="14">
        <v>9</v>
      </c>
      <c r="G856" s="14">
        <v>15605</v>
      </c>
      <c r="H856" s="14">
        <v>0.525143529452216</v>
      </c>
      <c r="I856" s="14">
        <v>0.869559795581944</v>
      </c>
      <c r="J856" s="14">
        <v>1.39942606044301</v>
      </c>
      <c r="K856" s="14" t="s">
        <v>15702</v>
      </c>
    </row>
    <row r="857" spans="1:11">
      <c r="A857" s="14" t="s">
        <v>18336</v>
      </c>
      <c r="B857" s="14" t="s">
        <v>18337</v>
      </c>
      <c r="C857" s="14" t="s">
        <v>16090</v>
      </c>
      <c r="D857" s="14">
        <v>1</v>
      </c>
      <c r="E857" s="14">
        <v>1239</v>
      </c>
      <c r="F857" s="14">
        <v>9</v>
      </c>
      <c r="G857" s="14">
        <v>15605</v>
      </c>
      <c r="H857" s="14">
        <v>0.525143529452216</v>
      </c>
      <c r="I857" s="14">
        <v>0.869559795581944</v>
      </c>
      <c r="J857" s="14">
        <v>1.39942606044301</v>
      </c>
      <c r="K857" s="14" t="s">
        <v>4797</v>
      </c>
    </row>
    <row r="858" spans="1:11">
      <c r="A858" s="14" t="s">
        <v>18356</v>
      </c>
      <c r="B858" s="14" t="s">
        <v>18357</v>
      </c>
      <c r="C858" s="14" t="s">
        <v>16090</v>
      </c>
      <c r="D858" s="14">
        <v>1</v>
      </c>
      <c r="E858" s="14">
        <v>1239</v>
      </c>
      <c r="F858" s="14">
        <v>9</v>
      </c>
      <c r="G858" s="14">
        <v>15605</v>
      </c>
      <c r="H858" s="14">
        <v>0.525143529452216</v>
      </c>
      <c r="I858" s="14">
        <v>0.869559795581944</v>
      </c>
      <c r="J858" s="14">
        <v>1.39942606044301</v>
      </c>
      <c r="K858" s="14" t="s">
        <v>15763</v>
      </c>
    </row>
    <row r="859" spans="1:11">
      <c r="A859" s="14" t="s">
        <v>20912</v>
      </c>
      <c r="B859" s="14" t="s">
        <v>20913</v>
      </c>
      <c r="C859" s="14" t="s">
        <v>16090</v>
      </c>
      <c r="D859" s="14">
        <v>1</v>
      </c>
      <c r="E859" s="14">
        <v>1239</v>
      </c>
      <c r="F859" s="14">
        <v>9</v>
      </c>
      <c r="G859" s="14">
        <v>15605</v>
      </c>
      <c r="H859" s="14">
        <v>0.525143529452216</v>
      </c>
      <c r="I859" s="14">
        <v>0.869559795581944</v>
      </c>
      <c r="J859" s="14">
        <v>1.39942606044301</v>
      </c>
      <c r="K859" s="14" t="s">
        <v>10078</v>
      </c>
    </row>
    <row r="860" spans="1:11">
      <c r="A860" s="14" t="s">
        <v>18360</v>
      </c>
      <c r="B860" s="14" t="s">
        <v>18361</v>
      </c>
      <c r="C860" s="14" t="s">
        <v>16090</v>
      </c>
      <c r="D860" s="14">
        <v>1</v>
      </c>
      <c r="E860" s="14">
        <v>1239</v>
      </c>
      <c r="F860" s="14">
        <v>9</v>
      </c>
      <c r="G860" s="14">
        <v>15605</v>
      </c>
      <c r="H860" s="14">
        <v>0.525143529452216</v>
      </c>
      <c r="I860" s="14">
        <v>0.869559795581944</v>
      </c>
      <c r="J860" s="14">
        <v>1.39942606044301</v>
      </c>
      <c r="K860" s="14" t="s">
        <v>14882</v>
      </c>
    </row>
    <row r="861" spans="1:11">
      <c r="A861" s="14" t="s">
        <v>16260</v>
      </c>
      <c r="B861" s="14" t="s">
        <v>16261</v>
      </c>
      <c r="C861" s="14" t="s">
        <v>16090</v>
      </c>
      <c r="D861" s="14">
        <v>1</v>
      </c>
      <c r="E861" s="14">
        <v>1239</v>
      </c>
      <c r="F861" s="14">
        <v>9</v>
      </c>
      <c r="G861" s="14">
        <v>15605</v>
      </c>
      <c r="H861" s="14">
        <v>0.525143529452216</v>
      </c>
      <c r="I861" s="14">
        <v>0.869559795581944</v>
      </c>
      <c r="J861" s="14">
        <v>1.39942606044301</v>
      </c>
      <c r="K861" s="14" t="s">
        <v>1617</v>
      </c>
    </row>
    <row r="862" spans="1:11">
      <c r="A862" s="14" t="s">
        <v>17079</v>
      </c>
      <c r="B862" s="14" t="s">
        <v>17080</v>
      </c>
      <c r="C862" s="14" t="s">
        <v>16090</v>
      </c>
      <c r="D862" s="14">
        <v>1</v>
      </c>
      <c r="E862" s="14">
        <v>1239</v>
      </c>
      <c r="F862" s="14">
        <v>9</v>
      </c>
      <c r="G862" s="14">
        <v>15605</v>
      </c>
      <c r="H862" s="14">
        <v>0.525143529452216</v>
      </c>
      <c r="I862" s="14">
        <v>0.869559795581944</v>
      </c>
      <c r="J862" s="14">
        <v>1.39942606044301</v>
      </c>
      <c r="K862" s="14" t="s">
        <v>15935</v>
      </c>
    </row>
    <row r="863" spans="1:11">
      <c r="A863" s="14" t="s">
        <v>20914</v>
      </c>
      <c r="B863" s="14" t="s">
        <v>20915</v>
      </c>
      <c r="C863" s="14" t="s">
        <v>16086</v>
      </c>
      <c r="D863" s="14">
        <v>1</v>
      </c>
      <c r="E863" s="14">
        <v>1239</v>
      </c>
      <c r="F863" s="14">
        <v>9</v>
      </c>
      <c r="G863" s="14">
        <v>15605</v>
      </c>
      <c r="H863" s="14">
        <v>0.525143529452216</v>
      </c>
      <c r="I863" s="14">
        <v>0.869559795581944</v>
      </c>
      <c r="J863" s="14">
        <v>1.39942606044301</v>
      </c>
      <c r="K863" s="14" t="s">
        <v>4176</v>
      </c>
    </row>
    <row r="864" spans="1:11">
      <c r="A864" s="14" t="s">
        <v>20916</v>
      </c>
      <c r="B864" s="14" t="s">
        <v>20917</v>
      </c>
      <c r="C864" s="14" t="s">
        <v>16090</v>
      </c>
      <c r="D864" s="14">
        <v>1</v>
      </c>
      <c r="E864" s="14">
        <v>1239</v>
      </c>
      <c r="F864" s="14">
        <v>9</v>
      </c>
      <c r="G864" s="14">
        <v>15605</v>
      </c>
      <c r="H864" s="14">
        <v>0.525143529452216</v>
      </c>
      <c r="I864" s="14">
        <v>0.869559795581944</v>
      </c>
      <c r="J864" s="14">
        <v>1.39942606044301</v>
      </c>
      <c r="K864" s="14" t="s">
        <v>177</v>
      </c>
    </row>
    <row r="865" spans="1:11">
      <c r="A865" s="14" t="s">
        <v>16503</v>
      </c>
      <c r="B865" s="14" t="s">
        <v>16504</v>
      </c>
      <c r="C865" s="14" t="s">
        <v>16090</v>
      </c>
      <c r="D865" s="14">
        <v>1</v>
      </c>
      <c r="E865" s="14">
        <v>1239</v>
      </c>
      <c r="F865" s="14">
        <v>9</v>
      </c>
      <c r="G865" s="14">
        <v>15605</v>
      </c>
      <c r="H865" s="14">
        <v>0.525143529452216</v>
      </c>
      <c r="I865" s="14">
        <v>0.869559795581944</v>
      </c>
      <c r="J865" s="14">
        <v>1.39942606044301</v>
      </c>
      <c r="K865" s="14" t="s">
        <v>7081</v>
      </c>
    </row>
    <row r="866" spans="1:11">
      <c r="A866" s="14" t="s">
        <v>19208</v>
      </c>
      <c r="B866" s="14" t="s">
        <v>19209</v>
      </c>
      <c r="C866" s="14" t="s">
        <v>16086</v>
      </c>
      <c r="D866" s="14">
        <v>2</v>
      </c>
      <c r="E866" s="14">
        <v>1239</v>
      </c>
      <c r="F866" s="14">
        <v>22</v>
      </c>
      <c r="G866" s="14">
        <v>15605</v>
      </c>
      <c r="H866" s="14">
        <v>0.530695122994655</v>
      </c>
      <c r="I866" s="14">
        <v>0.869682718760737</v>
      </c>
      <c r="J866" s="14">
        <v>1.14498495854428</v>
      </c>
      <c r="K866" s="14" t="s">
        <v>20918</v>
      </c>
    </row>
    <row r="867" spans="1:11">
      <c r="A867" s="14" t="s">
        <v>16896</v>
      </c>
      <c r="B867" s="14" t="s">
        <v>16897</v>
      </c>
      <c r="C867" s="14" t="s">
        <v>16086</v>
      </c>
      <c r="D867" s="14">
        <v>2</v>
      </c>
      <c r="E867" s="14">
        <v>1239</v>
      </c>
      <c r="F867" s="14">
        <v>22</v>
      </c>
      <c r="G867" s="14">
        <v>15605</v>
      </c>
      <c r="H867" s="14">
        <v>0.530695122994655</v>
      </c>
      <c r="I867" s="14">
        <v>0.869682718760737</v>
      </c>
      <c r="J867" s="14">
        <v>1.14498495854428</v>
      </c>
      <c r="K867" s="14" t="s">
        <v>20722</v>
      </c>
    </row>
    <row r="868" spans="1:11">
      <c r="A868" s="14" t="s">
        <v>18401</v>
      </c>
      <c r="B868" s="14" t="s">
        <v>18402</v>
      </c>
      <c r="C868" s="14" t="s">
        <v>16090</v>
      </c>
      <c r="D868" s="14">
        <v>2</v>
      </c>
      <c r="E868" s="14">
        <v>1239</v>
      </c>
      <c r="F868" s="14">
        <v>22</v>
      </c>
      <c r="G868" s="14">
        <v>15605</v>
      </c>
      <c r="H868" s="14">
        <v>0.530695122994655</v>
      </c>
      <c r="I868" s="14">
        <v>0.869682718760737</v>
      </c>
      <c r="J868" s="14">
        <v>1.14498495854428</v>
      </c>
      <c r="K868" s="14" t="s">
        <v>20919</v>
      </c>
    </row>
    <row r="869" spans="1:11">
      <c r="A869" s="14" t="s">
        <v>16321</v>
      </c>
      <c r="B869" s="14" t="s">
        <v>16322</v>
      </c>
      <c r="C869" s="14" t="s">
        <v>16086</v>
      </c>
      <c r="D869" s="14">
        <v>2</v>
      </c>
      <c r="E869" s="14">
        <v>1239</v>
      </c>
      <c r="F869" s="14">
        <v>22</v>
      </c>
      <c r="G869" s="14">
        <v>15605</v>
      </c>
      <c r="H869" s="14">
        <v>0.530695122994655</v>
      </c>
      <c r="I869" s="14">
        <v>0.869682718760737</v>
      </c>
      <c r="J869" s="14">
        <v>1.14498495854428</v>
      </c>
      <c r="K869" s="14" t="s">
        <v>20920</v>
      </c>
    </row>
    <row r="870" spans="1:11">
      <c r="A870" s="14" t="s">
        <v>19218</v>
      </c>
      <c r="B870" s="14" t="s">
        <v>19219</v>
      </c>
      <c r="C870" s="14" t="s">
        <v>16090</v>
      </c>
      <c r="D870" s="14">
        <v>2</v>
      </c>
      <c r="E870" s="14">
        <v>1239</v>
      </c>
      <c r="F870" s="14">
        <v>22</v>
      </c>
      <c r="G870" s="14">
        <v>15605</v>
      </c>
      <c r="H870" s="14">
        <v>0.530695122994655</v>
      </c>
      <c r="I870" s="14">
        <v>0.869682718760737</v>
      </c>
      <c r="J870" s="14">
        <v>1.14498495854428</v>
      </c>
      <c r="K870" s="14" t="s">
        <v>20921</v>
      </c>
    </row>
    <row r="871" spans="1:11">
      <c r="A871" s="14" t="s">
        <v>19222</v>
      </c>
      <c r="B871" s="14" t="s">
        <v>19223</v>
      </c>
      <c r="C871" s="14" t="s">
        <v>16090</v>
      </c>
      <c r="D871" s="14">
        <v>2</v>
      </c>
      <c r="E871" s="14">
        <v>1239</v>
      </c>
      <c r="F871" s="14">
        <v>22</v>
      </c>
      <c r="G871" s="14">
        <v>15605</v>
      </c>
      <c r="H871" s="14">
        <v>0.530695122994655</v>
      </c>
      <c r="I871" s="14">
        <v>0.869682718760737</v>
      </c>
      <c r="J871" s="14">
        <v>1.14498495854428</v>
      </c>
      <c r="K871" s="14" t="s">
        <v>20922</v>
      </c>
    </row>
    <row r="872" spans="1:11">
      <c r="A872" s="14" t="s">
        <v>18410</v>
      </c>
      <c r="B872" s="14" t="s">
        <v>18411</v>
      </c>
      <c r="C872" s="14" t="s">
        <v>16090</v>
      </c>
      <c r="D872" s="14">
        <v>2</v>
      </c>
      <c r="E872" s="14">
        <v>1239</v>
      </c>
      <c r="F872" s="14">
        <v>22</v>
      </c>
      <c r="G872" s="14">
        <v>15605</v>
      </c>
      <c r="H872" s="14">
        <v>0.530695122994655</v>
      </c>
      <c r="I872" s="14">
        <v>0.869682718760737</v>
      </c>
      <c r="J872" s="14">
        <v>1.14498495854428</v>
      </c>
      <c r="K872" s="14" t="s">
        <v>20923</v>
      </c>
    </row>
    <row r="873" spans="1:11">
      <c r="A873" s="14" t="s">
        <v>18418</v>
      </c>
      <c r="B873" s="14" t="s">
        <v>18419</v>
      </c>
      <c r="C873" s="14" t="s">
        <v>16090</v>
      </c>
      <c r="D873" s="14">
        <v>2</v>
      </c>
      <c r="E873" s="14">
        <v>1239</v>
      </c>
      <c r="F873" s="14">
        <v>22</v>
      </c>
      <c r="G873" s="14">
        <v>15605</v>
      </c>
      <c r="H873" s="14">
        <v>0.530695122994655</v>
      </c>
      <c r="I873" s="14">
        <v>0.869682718760737</v>
      </c>
      <c r="J873" s="14">
        <v>1.14498495854428</v>
      </c>
      <c r="K873" s="14" t="s">
        <v>20869</v>
      </c>
    </row>
    <row r="874" spans="1:11">
      <c r="A874" s="14" t="s">
        <v>17345</v>
      </c>
      <c r="B874" s="14" t="s">
        <v>17346</v>
      </c>
      <c r="C874" s="14" t="s">
        <v>16090</v>
      </c>
      <c r="D874" s="14">
        <v>2</v>
      </c>
      <c r="E874" s="14">
        <v>1239</v>
      </c>
      <c r="F874" s="14">
        <v>22</v>
      </c>
      <c r="G874" s="14">
        <v>15605</v>
      </c>
      <c r="H874" s="14">
        <v>0.530695122994655</v>
      </c>
      <c r="I874" s="14">
        <v>0.869682718760737</v>
      </c>
      <c r="J874" s="14">
        <v>1.14498495854428</v>
      </c>
      <c r="K874" s="14" t="s">
        <v>20924</v>
      </c>
    </row>
    <row r="875" spans="1:11">
      <c r="A875" s="14" t="s">
        <v>19427</v>
      </c>
      <c r="B875" s="14" t="s">
        <v>19428</v>
      </c>
      <c r="C875" s="14" t="s">
        <v>16086</v>
      </c>
      <c r="D875" s="14">
        <v>3</v>
      </c>
      <c r="E875" s="14">
        <v>1239</v>
      </c>
      <c r="F875" s="14">
        <v>35</v>
      </c>
      <c r="G875" s="14">
        <v>15605</v>
      </c>
      <c r="H875" s="14">
        <v>0.533441632934469</v>
      </c>
      <c r="I875" s="14">
        <v>0.870191887515247</v>
      </c>
      <c r="J875" s="14">
        <v>1.07955724662746</v>
      </c>
      <c r="K875" s="14" t="s">
        <v>20925</v>
      </c>
    </row>
    <row r="876" spans="1:11">
      <c r="A876" s="14" t="s">
        <v>19429</v>
      </c>
      <c r="B876" s="14" t="s">
        <v>19430</v>
      </c>
      <c r="C876" s="14" t="s">
        <v>16086</v>
      </c>
      <c r="D876" s="14">
        <v>3</v>
      </c>
      <c r="E876" s="14">
        <v>1239</v>
      </c>
      <c r="F876" s="14">
        <v>35</v>
      </c>
      <c r="G876" s="14">
        <v>15605</v>
      </c>
      <c r="H876" s="14">
        <v>0.533441632934469</v>
      </c>
      <c r="I876" s="14">
        <v>0.870191887515247</v>
      </c>
      <c r="J876" s="14">
        <v>1.07955724662746</v>
      </c>
      <c r="K876" s="14" t="s">
        <v>20926</v>
      </c>
    </row>
    <row r="877" spans="1:11">
      <c r="A877" s="14" t="s">
        <v>20927</v>
      </c>
      <c r="B877" s="14" t="s">
        <v>20928</v>
      </c>
      <c r="C877" s="14" t="s">
        <v>16090</v>
      </c>
      <c r="D877" s="14">
        <v>3</v>
      </c>
      <c r="E877" s="14">
        <v>1239</v>
      </c>
      <c r="F877" s="14">
        <v>35</v>
      </c>
      <c r="G877" s="14">
        <v>15605</v>
      </c>
      <c r="H877" s="14">
        <v>0.533441632934469</v>
      </c>
      <c r="I877" s="14">
        <v>0.870191887515247</v>
      </c>
      <c r="J877" s="14">
        <v>1.07955724662746</v>
      </c>
      <c r="K877" s="14" t="s">
        <v>20929</v>
      </c>
    </row>
    <row r="878" spans="1:11">
      <c r="A878" s="14" t="s">
        <v>20930</v>
      </c>
      <c r="B878" s="14" t="s">
        <v>20931</v>
      </c>
      <c r="C878" s="14" t="s">
        <v>16090</v>
      </c>
      <c r="D878" s="14">
        <v>3</v>
      </c>
      <c r="E878" s="14">
        <v>1239</v>
      </c>
      <c r="F878" s="14">
        <v>35</v>
      </c>
      <c r="G878" s="14">
        <v>15605</v>
      </c>
      <c r="H878" s="14">
        <v>0.533441632934469</v>
      </c>
      <c r="I878" s="14">
        <v>0.870191887515247</v>
      </c>
      <c r="J878" s="14">
        <v>1.07955724662746</v>
      </c>
      <c r="K878" s="14" t="s">
        <v>20932</v>
      </c>
    </row>
    <row r="879" spans="1:11">
      <c r="A879" s="14" t="s">
        <v>18531</v>
      </c>
      <c r="B879" s="14" t="s">
        <v>18532</v>
      </c>
      <c r="C879" s="14" t="s">
        <v>16090</v>
      </c>
      <c r="D879" s="14">
        <v>4</v>
      </c>
      <c r="E879" s="14">
        <v>1239</v>
      </c>
      <c r="F879" s="14">
        <v>48</v>
      </c>
      <c r="G879" s="14">
        <v>15605</v>
      </c>
      <c r="H879" s="14">
        <v>0.535885499802578</v>
      </c>
      <c r="I879" s="14">
        <v>0.873181732289492</v>
      </c>
      <c r="J879" s="14">
        <v>1.04956954533226</v>
      </c>
      <c r="K879" s="14" t="s">
        <v>20933</v>
      </c>
    </row>
    <row r="880" spans="1:11">
      <c r="A880" s="14" t="s">
        <v>17176</v>
      </c>
      <c r="B880" s="14" t="s">
        <v>17177</v>
      </c>
      <c r="C880" s="14" t="s">
        <v>16086</v>
      </c>
      <c r="D880" s="14">
        <v>7</v>
      </c>
      <c r="E880" s="14">
        <v>1239</v>
      </c>
      <c r="F880" s="14">
        <v>87</v>
      </c>
      <c r="G880" s="14">
        <v>15605</v>
      </c>
      <c r="H880" s="14">
        <v>0.542485404485603</v>
      </c>
      <c r="I880" s="14">
        <v>0.88001973218191</v>
      </c>
      <c r="J880" s="14">
        <v>1.01337749204494</v>
      </c>
      <c r="K880" s="14" t="s">
        <v>20934</v>
      </c>
    </row>
    <row r="881" spans="1:11">
      <c r="A881" s="14" t="s">
        <v>17838</v>
      </c>
      <c r="B881" s="14" t="s">
        <v>17839</v>
      </c>
      <c r="C881" s="14" t="s">
        <v>16090</v>
      </c>
      <c r="D881" s="14">
        <v>4</v>
      </c>
      <c r="E881" s="14">
        <v>1239</v>
      </c>
      <c r="F881" s="14">
        <v>49</v>
      </c>
      <c r="G881" s="14">
        <v>15605</v>
      </c>
      <c r="H881" s="14">
        <v>0.552524144482483</v>
      </c>
      <c r="I881" s="14">
        <v>0.88001973218191</v>
      </c>
      <c r="J881" s="14">
        <v>1.02814975869282</v>
      </c>
      <c r="K881" s="14" t="s">
        <v>20935</v>
      </c>
    </row>
    <row r="882" spans="1:11">
      <c r="A882" s="14" t="s">
        <v>19096</v>
      </c>
      <c r="B882" s="14" t="s">
        <v>19097</v>
      </c>
      <c r="C882" s="14" t="s">
        <v>16086</v>
      </c>
      <c r="D882" s="14">
        <v>3</v>
      </c>
      <c r="E882" s="14">
        <v>1239</v>
      </c>
      <c r="F882" s="14">
        <v>36</v>
      </c>
      <c r="G882" s="14">
        <v>15605</v>
      </c>
      <c r="H882" s="14">
        <v>0.552888017735035</v>
      </c>
      <c r="I882" s="14">
        <v>0.88001973218191</v>
      </c>
      <c r="J882" s="14">
        <v>1.04956954533226</v>
      </c>
      <c r="K882" s="14" t="s">
        <v>20936</v>
      </c>
    </row>
    <row r="883" spans="1:11">
      <c r="A883" s="14" t="s">
        <v>19105</v>
      </c>
      <c r="B883" s="14" t="s">
        <v>19106</v>
      </c>
      <c r="C883" s="14" t="s">
        <v>16090</v>
      </c>
      <c r="D883" s="14">
        <v>3</v>
      </c>
      <c r="E883" s="14">
        <v>1239</v>
      </c>
      <c r="F883" s="14">
        <v>36</v>
      </c>
      <c r="G883" s="14">
        <v>15605</v>
      </c>
      <c r="H883" s="14">
        <v>0.552888017735035</v>
      </c>
      <c r="I883" s="14">
        <v>0.88001973218191</v>
      </c>
      <c r="J883" s="14">
        <v>1.04956954533226</v>
      </c>
      <c r="K883" s="14" t="s">
        <v>20937</v>
      </c>
    </row>
    <row r="884" spans="1:11">
      <c r="A884" s="14" t="s">
        <v>19108</v>
      </c>
      <c r="B884" s="14" t="s">
        <v>19109</v>
      </c>
      <c r="C884" s="14" t="s">
        <v>16086</v>
      </c>
      <c r="D884" s="14">
        <v>3</v>
      </c>
      <c r="E884" s="14">
        <v>1239</v>
      </c>
      <c r="F884" s="14">
        <v>36</v>
      </c>
      <c r="G884" s="14">
        <v>15605</v>
      </c>
      <c r="H884" s="14">
        <v>0.552888017735035</v>
      </c>
      <c r="I884" s="14">
        <v>0.88001973218191</v>
      </c>
      <c r="J884" s="14">
        <v>1.04956954533226</v>
      </c>
      <c r="K884" s="14" t="s">
        <v>20936</v>
      </c>
    </row>
    <row r="885" spans="1:11">
      <c r="A885" s="14" t="s">
        <v>17660</v>
      </c>
      <c r="B885" s="14" t="s">
        <v>17661</v>
      </c>
      <c r="C885" s="14" t="s">
        <v>16090</v>
      </c>
      <c r="D885" s="14">
        <v>3</v>
      </c>
      <c r="E885" s="14">
        <v>1239</v>
      </c>
      <c r="F885" s="14">
        <v>36</v>
      </c>
      <c r="G885" s="14">
        <v>15605</v>
      </c>
      <c r="H885" s="14">
        <v>0.552888017735035</v>
      </c>
      <c r="I885" s="14">
        <v>0.88001973218191</v>
      </c>
      <c r="J885" s="14">
        <v>1.04956954533226</v>
      </c>
      <c r="K885" s="14" t="s">
        <v>20938</v>
      </c>
    </row>
    <row r="886" spans="1:11">
      <c r="A886" s="14" t="s">
        <v>16755</v>
      </c>
      <c r="B886" s="14" t="s">
        <v>16756</v>
      </c>
      <c r="C886" s="14" t="s">
        <v>16086</v>
      </c>
      <c r="D886" s="14">
        <v>5</v>
      </c>
      <c r="E886" s="14">
        <v>1239</v>
      </c>
      <c r="F886" s="14">
        <v>62</v>
      </c>
      <c r="G886" s="14">
        <v>15605</v>
      </c>
      <c r="H886" s="14">
        <v>0.552967320002289</v>
      </c>
      <c r="I886" s="14">
        <v>0.88001973218191</v>
      </c>
      <c r="J886" s="14">
        <v>1.01571246322476</v>
      </c>
      <c r="K886" s="14" t="s">
        <v>20939</v>
      </c>
    </row>
    <row r="887" spans="1:11">
      <c r="A887" s="14" t="s">
        <v>18516</v>
      </c>
      <c r="B887" s="14" t="s">
        <v>18517</v>
      </c>
      <c r="C887" s="14" t="s">
        <v>16090</v>
      </c>
      <c r="D887" s="14">
        <v>2</v>
      </c>
      <c r="E887" s="14">
        <v>1239</v>
      </c>
      <c r="F887" s="14">
        <v>23</v>
      </c>
      <c r="G887" s="14">
        <v>15605</v>
      </c>
      <c r="H887" s="14">
        <v>0.555123464334926</v>
      </c>
      <c r="I887" s="14">
        <v>0.88001973218191</v>
      </c>
      <c r="J887" s="14">
        <v>1.09520300382496</v>
      </c>
      <c r="K887" s="14" t="s">
        <v>20874</v>
      </c>
    </row>
    <row r="888" spans="1:11">
      <c r="A888" s="14" t="s">
        <v>16919</v>
      </c>
      <c r="B888" s="14" t="s">
        <v>16920</v>
      </c>
      <c r="C888" s="14" t="s">
        <v>16090</v>
      </c>
      <c r="D888" s="14">
        <v>2</v>
      </c>
      <c r="E888" s="14">
        <v>1239</v>
      </c>
      <c r="F888" s="14">
        <v>23</v>
      </c>
      <c r="G888" s="14">
        <v>15605</v>
      </c>
      <c r="H888" s="14">
        <v>0.555123464334926</v>
      </c>
      <c r="I888" s="14">
        <v>0.88001973218191</v>
      </c>
      <c r="J888" s="14">
        <v>1.09520300382496</v>
      </c>
      <c r="K888" s="14" t="s">
        <v>20875</v>
      </c>
    </row>
    <row r="889" spans="1:11">
      <c r="A889" s="14" t="s">
        <v>19244</v>
      </c>
      <c r="B889" s="14" t="s">
        <v>19245</v>
      </c>
      <c r="C889" s="14" t="s">
        <v>16086</v>
      </c>
      <c r="D889" s="14">
        <v>2</v>
      </c>
      <c r="E889" s="14">
        <v>1239</v>
      </c>
      <c r="F889" s="14">
        <v>23</v>
      </c>
      <c r="G889" s="14">
        <v>15605</v>
      </c>
      <c r="H889" s="14">
        <v>0.555123464334926</v>
      </c>
      <c r="I889" s="14">
        <v>0.88001973218191</v>
      </c>
      <c r="J889" s="14">
        <v>1.09520300382496</v>
      </c>
      <c r="K889" s="14" t="s">
        <v>20940</v>
      </c>
    </row>
    <row r="890" spans="1:11">
      <c r="A890" s="14" t="s">
        <v>14240</v>
      </c>
      <c r="B890" s="14" t="s">
        <v>14241</v>
      </c>
      <c r="C890" s="14" t="s">
        <v>16096</v>
      </c>
      <c r="D890" s="14">
        <v>9</v>
      </c>
      <c r="E890" s="14">
        <v>1239</v>
      </c>
      <c r="F890" s="14">
        <v>114</v>
      </c>
      <c r="G890" s="14">
        <v>15605</v>
      </c>
      <c r="H890" s="14">
        <v>0.55730774182984</v>
      </c>
      <c r="I890" s="14">
        <v>0.88001973218191</v>
      </c>
      <c r="J890" s="14">
        <v>0.994329042946349</v>
      </c>
      <c r="K890" s="14" t="s">
        <v>20941</v>
      </c>
    </row>
    <row r="891" spans="1:11">
      <c r="A891" s="14" t="s">
        <v>20942</v>
      </c>
      <c r="B891" s="14" t="s">
        <v>20943</v>
      </c>
      <c r="C891" s="14" t="s">
        <v>16086</v>
      </c>
      <c r="D891" s="14">
        <v>1</v>
      </c>
      <c r="E891" s="14">
        <v>1239</v>
      </c>
      <c r="F891" s="14">
        <v>10</v>
      </c>
      <c r="G891" s="14">
        <v>15605</v>
      </c>
      <c r="H891" s="14">
        <v>0.56286776432069</v>
      </c>
      <c r="I891" s="14">
        <v>0.88001973218191</v>
      </c>
      <c r="J891" s="14">
        <v>1.25948345439871</v>
      </c>
      <c r="K891" s="14" t="s">
        <v>15635</v>
      </c>
    </row>
    <row r="892" spans="1:11">
      <c r="A892" s="14" t="s">
        <v>20944</v>
      </c>
      <c r="B892" s="14" t="s">
        <v>20945</v>
      </c>
      <c r="C892" s="14" t="s">
        <v>16086</v>
      </c>
      <c r="D892" s="14">
        <v>1</v>
      </c>
      <c r="E892" s="14">
        <v>1239</v>
      </c>
      <c r="F892" s="14">
        <v>10</v>
      </c>
      <c r="G892" s="14">
        <v>15605</v>
      </c>
      <c r="H892" s="14">
        <v>0.56286776432069</v>
      </c>
      <c r="I892" s="14">
        <v>0.88001973218191</v>
      </c>
      <c r="J892" s="14">
        <v>1.25948345439871</v>
      </c>
      <c r="K892" s="14" t="s">
        <v>15209</v>
      </c>
    </row>
    <row r="893" spans="1:11">
      <c r="A893" s="14" t="s">
        <v>20946</v>
      </c>
      <c r="B893" s="14" t="s">
        <v>20947</v>
      </c>
      <c r="C893" s="14" t="s">
        <v>16096</v>
      </c>
      <c r="D893" s="14">
        <v>1</v>
      </c>
      <c r="E893" s="14">
        <v>1239</v>
      </c>
      <c r="F893" s="14">
        <v>10</v>
      </c>
      <c r="G893" s="14">
        <v>15605</v>
      </c>
      <c r="H893" s="14">
        <v>0.56286776432069</v>
      </c>
      <c r="I893" s="14">
        <v>0.88001973218191</v>
      </c>
      <c r="J893" s="14">
        <v>1.25948345439871</v>
      </c>
      <c r="K893" s="14" t="s">
        <v>7512</v>
      </c>
    </row>
    <row r="894" spans="1:11">
      <c r="A894" s="14" t="s">
        <v>20948</v>
      </c>
      <c r="B894" s="14" t="s">
        <v>20949</v>
      </c>
      <c r="C894" s="14" t="s">
        <v>16090</v>
      </c>
      <c r="D894" s="14">
        <v>1</v>
      </c>
      <c r="E894" s="14">
        <v>1239</v>
      </c>
      <c r="F894" s="14">
        <v>10</v>
      </c>
      <c r="G894" s="14">
        <v>15605</v>
      </c>
      <c r="H894" s="14">
        <v>0.56286776432069</v>
      </c>
      <c r="I894" s="14">
        <v>0.88001973218191</v>
      </c>
      <c r="J894" s="14">
        <v>1.25948345439871</v>
      </c>
      <c r="K894" s="14" t="s">
        <v>12042</v>
      </c>
    </row>
    <row r="895" spans="1:11">
      <c r="A895" s="14" t="s">
        <v>18436</v>
      </c>
      <c r="B895" s="14" t="s">
        <v>18437</v>
      </c>
      <c r="C895" s="14" t="s">
        <v>16090</v>
      </c>
      <c r="D895" s="14">
        <v>1</v>
      </c>
      <c r="E895" s="14">
        <v>1239</v>
      </c>
      <c r="F895" s="14">
        <v>10</v>
      </c>
      <c r="G895" s="14">
        <v>15605</v>
      </c>
      <c r="H895" s="14">
        <v>0.56286776432069</v>
      </c>
      <c r="I895" s="14">
        <v>0.88001973218191</v>
      </c>
      <c r="J895" s="14">
        <v>1.25948345439871</v>
      </c>
      <c r="K895" s="14" t="s">
        <v>4259</v>
      </c>
    </row>
    <row r="896" spans="1:11">
      <c r="A896" s="14" t="s">
        <v>16551</v>
      </c>
      <c r="B896" s="14" t="s">
        <v>16552</v>
      </c>
      <c r="C896" s="14" t="s">
        <v>16090</v>
      </c>
      <c r="D896" s="14">
        <v>1</v>
      </c>
      <c r="E896" s="14">
        <v>1239</v>
      </c>
      <c r="F896" s="14">
        <v>10</v>
      </c>
      <c r="G896" s="14">
        <v>15605</v>
      </c>
      <c r="H896" s="14">
        <v>0.56286776432069</v>
      </c>
      <c r="I896" s="14">
        <v>0.88001973218191</v>
      </c>
      <c r="J896" s="14">
        <v>1.25948345439871</v>
      </c>
      <c r="K896" s="14" t="s">
        <v>8826</v>
      </c>
    </row>
    <row r="897" spans="1:11">
      <c r="A897" s="14" t="s">
        <v>20950</v>
      </c>
      <c r="B897" s="14" t="s">
        <v>20951</v>
      </c>
      <c r="C897" s="14" t="s">
        <v>16086</v>
      </c>
      <c r="D897" s="14">
        <v>1</v>
      </c>
      <c r="E897" s="14">
        <v>1239</v>
      </c>
      <c r="F897" s="14">
        <v>10</v>
      </c>
      <c r="G897" s="14">
        <v>15605</v>
      </c>
      <c r="H897" s="14">
        <v>0.56286776432069</v>
      </c>
      <c r="I897" s="14">
        <v>0.88001973218191</v>
      </c>
      <c r="J897" s="14">
        <v>1.25948345439871</v>
      </c>
      <c r="K897" s="14" t="s">
        <v>7396</v>
      </c>
    </row>
    <row r="898" spans="1:11">
      <c r="A898" s="14" t="s">
        <v>18438</v>
      </c>
      <c r="B898" s="14" t="s">
        <v>18439</v>
      </c>
      <c r="C898" s="14" t="s">
        <v>16086</v>
      </c>
      <c r="D898" s="14">
        <v>1</v>
      </c>
      <c r="E898" s="14">
        <v>1239</v>
      </c>
      <c r="F898" s="14">
        <v>10</v>
      </c>
      <c r="G898" s="14">
        <v>15605</v>
      </c>
      <c r="H898" s="14">
        <v>0.56286776432069</v>
      </c>
      <c r="I898" s="14">
        <v>0.88001973218191</v>
      </c>
      <c r="J898" s="14">
        <v>1.25948345439871</v>
      </c>
      <c r="K898" s="14" t="s">
        <v>4322</v>
      </c>
    </row>
    <row r="899" spans="1:11">
      <c r="A899" s="14" t="s">
        <v>18440</v>
      </c>
      <c r="B899" s="14" t="s">
        <v>18441</v>
      </c>
      <c r="C899" s="14" t="s">
        <v>16086</v>
      </c>
      <c r="D899" s="14">
        <v>1</v>
      </c>
      <c r="E899" s="14">
        <v>1239</v>
      </c>
      <c r="F899" s="14">
        <v>10</v>
      </c>
      <c r="G899" s="14">
        <v>15605</v>
      </c>
      <c r="H899" s="14">
        <v>0.56286776432069</v>
      </c>
      <c r="I899" s="14">
        <v>0.88001973218191</v>
      </c>
      <c r="J899" s="14">
        <v>1.25948345439871</v>
      </c>
      <c r="K899" s="14" t="s">
        <v>4689</v>
      </c>
    </row>
    <row r="900" spans="1:11">
      <c r="A900" s="14" t="s">
        <v>18442</v>
      </c>
      <c r="B900" s="14" t="s">
        <v>18443</v>
      </c>
      <c r="C900" s="14" t="s">
        <v>16090</v>
      </c>
      <c r="D900" s="14">
        <v>1</v>
      </c>
      <c r="E900" s="14">
        <v>1239</v>
      </c>
      <c r="F900" s="14">
        <v>10</v>
      </c>
      <c r="G900" s="14">
        <v>15605</v>
      </c>
      <c r="H900" s="14">
        <v>0.56286776432069</v>
      </c>
      <c r="I900" s="14">
        <v>0.88001973218191</v>
      </c>
      <c r="J900" s="14">
        <v>1.25948345439871</v>
      </c>
      <c r="K900" s="14" t="s">
        <v>5678</v>
      </c>
    </row>
    <row r="901" spans="1:11">
      <c r="A901" s="14" t="s">
        <v>18444</v>
      </c>
      <c r="B901" s="14" t="s">
        <v>18445</v>
      </c>
      <c r="C901" s="14" t="s">
        <v>16090</v>
      </c>
      <c r="D901" s="14">
        <v>1</v>
      </c>
      <c r="E901" s="14">
        <v>1239</v>
      </c>
      <c r="F901" s="14">
        <v>10</v>
      </c>
      <c r="G901" s="14">
        <v>15605</v>
      </c>
      <c r="H901" s="14">
        <v>0.56286776432069</v>
      </c>
      <c r="I901" s="14">
        <v>0.88001973218191</v>
      </c>
      <c r="J901" s="14">
        <v>1.25948345439871</v>
      </c>
      <c r="K901" s="14" t="s">
        <v>5375</v>
      </c>
    </row>
    <row r="902" spans="1:11">
      <c r="A902" s="14" t="s">
        <v>18454</v>
      </c>
      <c r="B902" s="14" t="s">
        <v>18455</v>
      </c>
      <c r="C902" s="14" t="s">
        <v>16090</v>
      </c>
      <c r="D902" s="14">
        <v>1</v>
      </c>
      <c r="E902" s="14">
        <v>1239</v>
      </c>
      <c r="F902" s="14">
        <v>10</v>
      </c>
      <c r="G902" s="14">
        <v>15605</v>
      </c>
      <c r="H902" s="14">
        <v>0.56286776432069</v>
      </c>
      <c r="I902" s="14">
        <v>0.88001973218191</v>
      </c>
      <c r="J902" s="14">
        <v>1.25948345439871</v>
      </c>
      <c r="K902" s="14" t="s">
        <v>10350</v>
      </c>
    </row>
    <row r="903" spans="1:11">
      <c r="A903" s="14" t="s">
        <v>18456</v>
      </c>
      <c r="B903" s="14" t="s">
        <v>18457</v>
      </c>
      <c r="C903" s="14" t="s">
        <v>16090</v>
      </c>
      <c r="D903" s="14">
        <v>1</v>
      </c>
      <c r="E903" s="14">
        <v>1239</v>
      </c>
      <c r="F903" s="14">
        <v>10</v>
      </c>
      <c r="G903" s="14">
        <v>15605</v>
      </c>
      <c r="H903" s="14">
        <v>0.56286776432069</v>
      </c>
      <c r="I903" s="14">
        <v>0.88001973218191</v>
      </c>
      <c r="J903" s="14">
        <v>1.25948345439871</v>
      </c>
      <c r="K903" s="14" t="s">
        <v>2874</v>
      </c>
    </row>
    <row r="904" spans="1:11">
      <c r="A904" s="14" t="s">
        <v>20952</v>
      </c>
      <c r="B904" s="14" t="s">
        <v>20953</v>
      </c>
      <c r="C904" s="14" t="s">
        <v>16090</v>
      </c>
      <c r="D904" s="14">
        <v>1</v>
      </c>
      <c r="E904" s="14">
        <v>1239</v>
      </c>
      <c r="F904" s="14">
        <v>10</v>
      </c>
      <c r="G904" s="14">
        <v>15605</v>
      </c>
      <c r="H904" s="14">
        <v>0.56286776432069</v>
      </c>
      <c r="I904" s="14">
        <v>0.88001973218191</v>
      </c>
      <c r="J904" s="14">
        <v>1.25948345439871</v>
      </c>
      <c r="K904" s="14" t="s">
        <v>2807</v>
      </c>
    </row>
    <row r="905" spans="1:11">
      <c r="A905" s="14" t="s">
        <v>20954</v>
      </c>
      <c r="B905" s="14" t="s">
        <v>20955</v>
      </c>
      <c r="C905" s="14" t="s">
        <v>16086</v>
      </c>
      <c r="D905" s="14">
        <v>1</v>
      </c>
      <c r="E905" s="14">
        <v>1239</v>
      </c>
      <c r="F905" s="14">
        <v>10</v>
      </c>
      <c r="G905" s="14">
        <v>15605</v>
      </c>
      <c r="H905" s="14">
        <v>0.56286776432069</v>
      </c>
      <c r="I905" s="14">
        <v>0.88001973218191</v>
      </c>
      <c r="J905" s="14">
        <v>1.25948345439871</v>
      </c>
      <c r="K905" s="14" t="s">
        <v>5859</v>
      </c>
    </row>
    <row r="906" spans="1:11">
      <c r="A906" s="14" t="s">
        <v>5811</v>
      </c>
      <c r="B906" s="14" t="s">
        <v>5812</v>
      </c>
      <c r="C906" s="14" t="s">
        <v>16086</v>
      </c>
      <c r="D906" s="14">
        <v>1</v>
      </c>
      <c r="E906" s="14">
        <v>1239</v>
      </c>
      <c r="F906" s="14">
        <v>10</v>
      </c>
      <c r="G906" s="14">
        <v>15605</v>
      </c>
      <c r="H906" s="14">
        <v>0.56286776432069</v>
      </c>
      <c r="I906" s="14">
        <v>0.88001973218191</v>
      </c>
      <c r="J906" s="14">
        <v>1.25948345439871</v>
      </c>
      <c r="K906" s="14" t="s">
        <v>5806</v>
      </c>
    </row>
    <row r="907" spans="1:11">
      <c r="A907" s="14" t="s">
        <v>18462</v>
      </c>
      <c r="B907" s="14" t="s">
        <v>18463</v>
      </c>
      <c r="C907" s="14" t="s">
        <v>16086</v>
      </c>
      <c r="D907" s="14">
        <v>1</v>
      </c>
      <c r="E907" s="14">
        <v>1239</v>
      </c>
      <c r="F907" s="14">
        <v>10</v>
      </c>
      <c r="G907" s="14">
        <v>15605</v>
      </c>
      <c r="H907" s="14">
        <v>0.56286776432069</v>
      </c>
      <c r="I907" s="14">
        <v>0.88001973218191</v>
      </c>
      <c r="J907" s="14">
        <v>1.25948345439871</v>
      </c>
      <c r="K907" s="14" t="s">
        <v>10084</v>
      </c>
    </row>
    <row r="908" spans="1:11">
      <c r="A908" s="14" t="s">
        <v>20956</v>
      </c>
      <c r="B908" s="14" t="s">
        <v>20957</v>
      </c>
      <c r="C908" s="14" t="s">
        <v>16090</v>
      </c>
      <c r="D908" s="14">
        <v>1</v>
      </c>
      <c r="E908" s="14">
        <v>1239</v>
      </c>
      <c r="F908" s="14">
        <v>10</v>
      </c>
      <c r="G908" s="14">
        <v>15605</v>
      </c>
      <c r="H908" s="14">
        <v>0.56286776432069</v>
      </c>
      <c r="I908" s="14">
        <v>0.88001973218191</v>
      </c>
      <c r="J908" s="14">
        <v>1.25948345439871</v>
      </c>
      <c r="K908" s="14" t="s">
        <v>15635</v>
      </c>
    </row>
    <row r="909" spans="1:11">
      <c r="A909" s="14" t="s">
        <v>18466</v>
      </c>
      <c r="B909" s="14" t="s">
        <v>18467</v>
      </c>
      <c r="C909" s="14" t="s">
        <v>16090</v>
      </c>
      <c r="D909" s="14">
        <v>1</v>
      </c>
      <c r="E909" s="14">
        <v>1239</v>
      </c>
      <c r="F909" s="14">
        <v>10</v>
      </c>
      <c r="G909" s="14">
        <v>15605</v>
      </c>
      <c r="H909" s="14">
        <v>0.56286776432069</v>
      </c>
      <c r="I909" s="14">
        <v>0.88001973218191</v>
      </c>
      <c r="J909" s="14">
        <v>1.25948345439871</v>
      </c>
      <c r="K909" s="14" t="s">
        <v>15109</v>
      </c>
    </row>
    <row r="910" spans="1:11">
      <c r="A910" s="14" t="s">
        <v>20958</v>
      </c>
      <c r="B910" s="14" t="s">
        <v>20959</v>
      </c>
      <c r="C910" s="14" t="s">
        <v>16090</v>
      </c>
      <c r="D910" s="14">
        <v>1</v>
      </c>
      <c r="E910" s="14">
        <v>1239</v>
      </c>
      <c r="F910" s="14">
        <v>10</v>
      </c>
      <c r="G910" s="14">
        <v>15605</v>
      </c>
      <c r="H910" s="14">
        <v>0.56286776432069</v>
      </c>
      <c r="I910" s="14">
        <v>0.88001973218191</v>
      </c>
      <c r="J910" s="14">
        <v>1.25948345439871</v>
      </c>
      <c r="K910" s="14" t="s">
        <v>5717</v>
      </c>
    </row>
    <row r="911" spans="1:11">
      <c r="A911" s="14" t="s">
        <v>20960</v>
      </c>
      <c r="B911" s="14" t="s">
        <v>20961</v>
      </c>
      <c r="C911" s="14" t="s">
        <v>16090</v>
      </c>
      <c r="D911" s="14">
        <v>1</v>
      </c>
      <c r="E911" s="14">
        <v>1239</v>
      </c>
      <c r="F911" s="14">
        <v>10</v>
      </c>
      <c r="G911" s="14">
        <v>15605</v>
      </c>
      <c r="H911" s="14">
        <v>0.56286776432069</v>
      </c>
      <c r="I911" s="14">
        <v>0.88001973218191</v>
      </c>
      <c r="J911" s="14">
        <v>1.25948345439871</v>
      </c>
      <c r="K911" s="14" t="s">
        <v>1979</v>
      </c>
    </row>
    <row r="912" spans="1:11">
      <c r="A912" s="14" t="s">
        <v>18482</v>
      </c>
      <c r="B912" s="14" t="s">
        <v>18483</v>
      </c>
      <c r="C912" s="14" t="s">
        <v>16090</v>
      </c>
      <c r="D912" s="14">
        <v>1</v>
      </c>
      <c r="E912" s="14">
        <v>1239</v>
      </c>
      <c r="F912" s="14">
        <v>10</v>
      </c>
      <c r="G912" s="14">
        <v>15605</v>
      </c>
      <c r="H912" s="14">
        <v>0.56286776432069</v>
      </c>
      <c r="I912" s="14">
        <v>0.88001973218191</v>
      </c>
      <c r="J912" s="14">
        <v>1.25948345439871</v>
      </c>
      <c r="K912" s="14" t="s">
        <v>5774</v>
      </c>
    </row>
    <row r="913" spans="1:11">
      <c r="A913" s="14" t="s">
        <v>18486</v>
      </c>
      <c r="B913" s="14" t="s">
        <v>18487</v>
      </c>
      <c r="C913" s="14" t="s">
        <v>16086</v>
      </c>
      <c r="D913" s="14">
        <v>1</v>
      </c>
      <c r="E913" s="14">
        <v>1239</v>
      </c>
      <c r="F913" s="14">
        <v>10</v>
      </c>
      <c r="G913" s="14">
        <v>15605</v>
      </c>
      <c r="H913" s="14">
        <v>0.56286776432069</v>
      </c>
      <c r="I913" s="14">
        <v>0.88001973218191</v>
      </c>
      <c r="J913" s="14">
        <v>1.25948345439871</v>
      </c>
      <c r="K913" s="14" t="s">
        <v>11805</v>
      </c>
    </row>
    <row r="914" spans="1:11">
      <c r="A914" s="14" t="s">
        <v>20962</v>
      </c>
      <c r="B914" s="14" t="s">
        <v>20963</v>
      </c>
      <c r="C914" s="14" t="s">
        <v>16090</v>
      </c>
      <c r="D914" s="14">
        <v>1</v>
      </c>
      <c r="E914" s="14">
        <v>1239</v>
      </c>
      <c r="F914" s="14">
        <v>10</v>
      </c>
      <c r="G914" s="14">
        <v>15605</v>
      </c>
      <c r="H914" s="14">
        <v>0.56286776432069</v>
      </c>
      <c r="I914" s="14">
        <v>0.88001973218191</v>
      </c>
      <c r="J914" s="14">
        <v>1.25948345439871</v>
      </c>
      <c r="K914" s="14" t="s">
        <v>12192</v>
      </c>
    </row>
    <row r="915" spans="1:11">
      <c r="A915" s="14" t="s">
        <v>18492</v>
      </c>
      <c r="B915" s="14" t="s">
        <v>18493</v>
      </c>
      <c r="C915" s="14" t="s">
        <v>16090</v>
      </c>
      <c r="D915" s="14">
        <v>1</v>
      </c>
      <c r="E915" s="14">
        <v>1239</v>
      </c>
      <c r="F915" s="14">
        <v>10</v>
      </c>
      <c r="G915" s="14">
        <v>15605</v>
      </c>
      <c r="H915" s="14">
        <v>0.56286776432069</v>
      </c>
      <c r="I915" s="14">
        <v>0.88001973218191</v>
      </c>
      <c r="J915" s="14">
        <v>1.25948345439871</v>
      </c>
      <c r="K915" s="14" t="s">
        <v>10350</v>
      </c>
    </row>
    <row r="916" spans="1:11">
      <c r="A916" s="14" t="s">
        <v>18494</v>
      </c>
      <c r="B916" s="14" t="s">
        <v>18495</v>
      </c>
      <c r="C916" s="14" t="s">
        <v>16090</v>
      </c>
      <c r="D916" s="14">
        <v>1</v>
      </c>
      <c r="E916" s="14">
        <v>1239</v>
      </c>
      <c r="F916" s="14">
        <v>10</v>
      </c>
      <c r="G916" s="14">
        <v>15605</v>
      </c>
      <c r="H916" s="14">
        <v>0.56286776432069</v>
      </c>
      <c r="I916" s="14">
        <v>0.88001973218191</v>
      </c>
      <c r="J916" s="14">
        <v>1.25948345439871</v>
      </c>
      <c r="K916" s="14" t="s">
        <v>12279</v>
      </c>
    </row>
    <row r="917" spans="1:11">
      <c r="A917" s="14" t="s">
        <v>12750</v>
      </c>
      <c r="B917" s="14" t="s">
        <v>12751</v>
      </c>
      <c r="C917" s="14" t="s">
        <v>16086</v>
      </c>
      <c r="D917" s="14">
        <v>4</v>
      </c>
      <c r="E917" s="14">
        <v>1239</v>
      </c>
      <c r="F917" s="14">
        <v>50</v>
      </c>
      <c r="G917" s="14">
        <v>15605</v>
      </c>
      <c r="H917" s="14">
        <v>0.568840817334263</v>
      </c>
      <c r="I917" s="14">
        <v>0.886629646187244</v>
      </c>
      <c r="J917" s="14">
        <v>1.00758676351897</v>
      </c>
      <c r="K917" s="14" t="s">
        <v>20964</v>
      </c>
    </row>
    <row r="918" spans="1:11">
      <c r="A918" s="14" t="s">
        <v>19506</v>
      </c>
      <c r="B918" s="14" t="s">
        <v>19507</v>
      </c>
      <c r="C918" s="14" t="s">
        <v>16090</v>
      </c>
      <c r="D918" s="14">
        <v>4</v>
      </c>
      <c r="E918" s="14">
        <v>1239</v>
      </c>
      <c r="F918" s="14">
        <v>50</v>
      </c>
      <c r="G918" s="14">
        <v>15605</v>
      </c>
      <c r="H918" s="14">
        <v>0.568840817334263</v>
      </c>
      <c r="I918" s="14">
        <v>0.886629646187244</v>
      </c>
      <c r="J918" s="14">
        <v>1.00758676351897</v>
      </c>
      <c r="K918" s="14" t="s">
        <v>20965</v>
      </c>
    </row>
    <row r="919" spans="1:11">
      <c r="A919" s="14" t="s">
        <v>18643</v>
      </c>
      <c r="B919" s="14" t="s">
        <v>18644</v>
      </c>
      <c r="C919" s="14" t="s">
        <v>16086</v>
      </c>
      <c r="D919" s="14">
        <v>3</v>
      </c>
      <c r="E919" s="14">
        <v>1239</v>
      </c>
      <c r="F919" s="14">
        <v>37</v>
      </c>
      <c r="G919" s="14">
        <v>15605</v>
      </c>
      <c r="H919" s="14">
        <v>0.571843674716432</v>
      </c>
      <c r="I919" s="14">
        <v>0.886629646187244</v>
      </c>
      <c r="J919" s="14">
        <v>1.02120280086382</v>
      </c>
      <c r="K919" s="14" t="s">
        <v>20700</v>
      </c>
    </row>
    <row r="920" spans="1:11">
      <c r="A920" s="14" t="s">
        <v>16791</v>
      </c>
      <c r="B920" s="14" t="s">
        <v>16792</v>
      </c>
      <c r="C920" s="14" t="s">
        <v>16090</v>
      </c>
      <c r="D920" s="14">
        <v>3</v>
      </c>
      <c r="E920" s="14">
        <v>1239</v>
      </c>
      <c r="F920" s="14">
        <v>37</v>
      </c>
      <c r="G920" s="14">
        <v>15605</v>
      </c>
      <c r="H920" s="14">
        <v>0.571843674716432</v>
      </c>
      <c r="I920" s="14">
        <v>0.886629646187244</v>
      </c>
      <c r="J920" s="14">
        <v>1.02120280086382</v>
      </c>
      <c r="K920" s="14" t="s">
        <v>20966</v>
      </c>
    </row>
    <row r="921" spans="1:11">
      <c r="A921" s="14" t="s">
        <v>3291</v>
      </c>
      <c r="B921" s="14" t="s">
        <v>3292</v>
      </c>
      <c r="C921" s="14" t="s">
        <v>16086</v>
      </c>
      <c r="D921" s="14">
        <v>14</v>
      </c>
      <c r="E921" s="14">
        <v>1239</v>
      </c>
      <c r="F921" s="14">
        <v>180</v>
      </c>
      <c r="G921" s="14">
        <v>15605</v>
      </c>
      <c r="H921" s="14">
        <v>0.572442082067848</v>
      </c>
      <c r="I921" s="14">
        <v>0.886629646187244</v>
      </c>
      <c r="J921" s="14">
        <v>0.979598242310107</v>
      </c>
      <c r="K921" s="14" t="s">
        <v>20967</v>
      </c>
    </row>
    <row r="922" spans="1:11">
      <c r="A922" s="14" t="s">
        <v>20968</v>
      </c>
      <c r="B922" s="14" t="s">
        <v>20969</v>
      </c>
      <c r="C922" s="14" t="s">
        <v>16096</v>
      </c>
      <c r="D922" s="14">
        <v>2</v>
      </c>
      <c r="E922" s="14">
        <v>1239</v>
      </c>
      <c r="F922" s="14">
        <v>24</v>
      </c>
      <c r="G922" s="14">
        <v>15605</v>
      </c>
      <c r="H922" s="14">
        <v>0.578634755918753</v>
      </c>
      <c r="I922" s="14">
        <v>0.886629646187244</v>
      </c>
      <c r="J922" s="14">
        <v>1.04956954533226</v>
      </c>
      <c r="K922" s="14" t="s">
        <v>20794</v>
      </c>
    </row>
    <row r="923" spans="1:11">
      <c r="A923" s="14" t="s">
        <v>18611</v>
      </c>
      <c r="B923" s="14" t="s">
        <v>18612</v>
      </c>
      <c r="C923" s="14" t="s">
        <v>16090</v>
      </c>
      <c r="D923" s="14">
        <v>2</v>
      </c>
      <c r="E923" s="14">
        <v>1239</v>
      </c>
      <c r="F923" s="14">
        <v>24</v>
      </c>
      <c r="G923" s="14">
        <v>15605</v>
      </c>
      <c r="H923" s="14">
        <v>0.578634755918753</v>
      </c>
      <c r="I923" s="14">
        <v>0.886629646187244</v>
      </c>
      <c r="J923" s="14">
        <v>1.04956954533226</v>
      </c>
      <c r="K923" s="14" t="s">
        <v>20970</v>
      </c>
    </row>
    <row r="924" spans="1:11">
      <c r="A924" s="14" t="s">
        <v>20971</v>
      </c>
      <c r="B924" s="14" t="s">
        <v>20972</v>
      </c>
      <c r="C924" s="14" t="s">
        <v>16086</v>
      </c>
      <c r="D924" s="14">
        <v>2</v>
      </c>
      <c r="E924" s="14">
        <v>1239</v>
      </c>
      <c r="F924" s="14">
        <v>24</v>
      </c>
      <c r="G924" s="14">
        <v>15605</v>
      </c>
      <c r="H924" s="14">
        <v>0.578634755918753</v>
      </c>
      <c r="I924" s="14">
        <v>0.886629646187244</v>
      </c>
      <c r="J924" s="14">
        <v>1.04956954533226</v>
      </c>
      <c r="K924" s="14" t="s">
        <v>20973</v>
      </c>
    </row>
    <row r="925" spans="1:11">
      <c r="A925" s="14" t="s">
        <v>18620</v>
      </c>
      <c r="B925" s="14" t="s">
        <v>18621</v>
      </c>
      <c r="C925" s="14" t="s">
        <v>16086</v>
      </c>
      <c r="D925" s="14">
        <v>2</v>
      </c>
      <c r="E925" s="14">
        <v>1239</v>
      </c>
      <c r="F925" s="14">
        <v>24</v>
      </c>
      <c r="G925" s="14">
        <v>15605</v>
      </c>
      <c r="H925" s="14">
        <v>0.578634755918753</v>
      </c>
      <c r="I925" s="14">
        <v>0.886629646187244</v>
      </c>
      <c r="J925" s="14">
        <v>1.04956954533226</v>
      </c>
      <c r="K925" s="14" t="s">
        <v>20974</v>
      </c>
    </row>
    <row r="926" spans="1:11">
      <c r="A926" s="14" t="s">
        <v>16574</v>
      </c>
      <c r="B926" s="14" t="s">
        <v>16575</v>
      </c>
      <c r="C926" s="14" t="s">
        <v>16086</v>
      </c>
      <c r="D926" s="14">
        <v>2</v>
      </c>
      <c r="E926" s="14">
        <v>1239</v>
      </c>
      <c r="F926" s="14">
        <v>24</v>
      </c>
      <c r="G926" s="14">
        <v>15605</v>
      </c>
      <c r="H926" s="14">
        <v>0.578634755918753</v>
      </c>
      <c r="I926" s="14">
        <v>0.886629646187244</v>
      </c>
      <c r="J926" s="14">
        <v>1.04956954533226</v>
      </c>
      <c r="K926" s="14" t="s">
        <v>20975</v>
      </c>
    </row>
    <row r="927" spans="1:11">
      <c r="A927" s="14" t="s">
        <v>18629</v>
      </c>
      <c r="B927" s="14" t="s">
        <v>18630</v>
      </c>
      <c r="C927" s="14" t="s">
        <v>16090</v>
      </c>
      <c r="D927" s="14">
        <v>2</v>
      </c>
      <c r="E927" s="14">
        <v>1239</v>
      </c>
      <c r="F927" s="14">
        <v>24</v>
      </c>
      <c r="G927" s="14">
        <v>15605</v>
      </c>
      <c r="H927" s="14">
        <v>0.578634755918753</v>
      </c>
      <c r="I927" s="14">
        <v>0.886629646187244</v>
      </c>
      <c r="J927" s="14">
        <v>1.04956954533226</v>
      </c>
      <c r="K927" s="14" t="s">
        <v>20976</v>
      </c>
    </row>
    <row r="928" spans="1:11">
      <c r="A928" s="14" t="s">
        <v>20977</v>
      </c>
      <c r="B928" s="14" t="s">
        <v>20978</v>
      </c>
      <c r="C928" s="14" t="s">
        <v>16086</v>
      </c>
      <c r="D928" s="14">
        <v>2</v>
      </c>
      <c r="E928" s="14">
        <v>1239</v>
      </c>
      <c r="F928" s="14">
        <v>24</v>
      </c>
      <c r="G928" s="14">
        <v>15605</v>
      </c>
      <c r="H928" s="14">
        <v>0.578634755918753</v>
      </c>
      <c r="I928" s="14">
        <v>0.886629646187244</v>
      </c>
      <c r="J928" s="14">
        <v>1.04956954533226</v>
      </c>
      <c r="K928" s="14" t="s">
        <v>20979</v>
      </c>
    </row>
    <row r="929" spans="1:11">
      <c r="A929" s="14" t="s">
        <v>18635</v>
      </c>
      <c r="B929" s="14" t="s">
        <v>18636</v>
      </c>
      <c r="C929" s="14" t="s">
        <v>16086</v>
      </c>
      <c r="D929" s="14">
        <v>2</v>
      </c>
      <c r="E929" s="14">
        <v>1239</v>
      </c>
      <c r="F929" s="14">
        <v>24</v>
      </c>
      <c r="G929" s="14">
        <v>15605</v>
      </c>
      <c r="H929" s="14">
        <v>0.578634755918753</v>
      </c>
      <c r="I929" s="14">
        <v>0.886629646187244</v>
      </c>
      <c r="J929" s="14">
        <v>1.04956954533226</v>
      </c>
      <c r="K929" s="14" t="s">
        <v>20976</v>
      </c>
    </row>
    <row r="930" spans="1:11">
      <c r="A930" s="14" t="s">
        <v>19273</v>
      </c>
      <c r="B930" s="14" t="s">
        <v>19274</v>
      </c>
      <c r="C930" s="14" t="s">
        <v>16090</v>
      </c>
      <c r="D930" s="14">
        <v>2</v>
      </c>
      <c r="E930" s="14">
        <v>1239</v>
      </c>
      <c r="F930" s="14">
        <v>24</v>
      </c>
      <c r="G930" s="14">
        <v>15605</v>
      </c>
      <c r="H930" s="14">
        <v>0.578634755918753</v>
      </c>
      <c r="I930" s="14">
        <v>0.886629646187244</v>
      </c>
      <c r="J930" s="14">
        <v>1.04956954533226</v>
      </c>
      <c r="K930" s="14" t="s">
        <v>20980</v>
      </c>
    </row>
    <row r="931" spans="1:11">
      <c r="A931" s="14" t="s">
        <v>19329</v>
      </c>
      <c r="B931" s="14" t="s">
        <v>19330</v>
      </c>
      <c r="C931" s="14" t="s">
        <v>16086</v>
      </c>
      <c r="D931" s="14">
        <v>6</v>
      </c>
      <c r="E931" s="14">
        <v>1239</v>
      </c>
      <c r="F931" s="14">
        <v>77</v>
      </c>
      <c r="G931" s="14">
        <v>15605</v>
      </c>
      <c r="H931" s="14">
        <v>0.580104181068539</v>
      </c>
      <c r="I931" s="14">
        <v>0.886629646187244</v>
      </c>
      <c r="J931" s="14">
        <v>0.981415678752241</v>
      </c>
      <c r="K931" s="14" t="s">
        <v>20981</v>
      </c>
    </row>
    <row r="932" spans="1:11">
      <c r="A932" s="14" t="s">
        <v>18049</v>
      </c>
      <c r="B932" s="14" t="s">
        <v>18050</v>
      </c>
      <c r="C932" s="14" t="s">
        <v>16090</v>
      </c>
      <c r="D932" s="14">
        <v>5</v>
      </c>
      <c r="E932" s="14">
        <v>1239</v>
      </c>
      <c r="F932" s="14">
        <v>64</v>
      </c>
      <c r="G932" s="14">
        <v>15605</v>
      </c>
      <c r="H932" s="14">
        <v>0.581803423205858</v>
      </c>
      <c r="I932" s="14">
        <v>0.886629646187244</v>
      </c>
      <c r="J932" s="14">
        <v>0.983971448748991</v>
      </c>
      <c r="K932" s="14" t="s">
        <v>20982</v>
      </c>
    </row>
    <row r="933" spans="1:11">
      <c r="A933" s="14" t="s">
        <v>18649</v>
      </c>
      <c r="B933" s="14" t="s">
        <v>18650</v>
      </c>
      <c r="C933" s="14" t="s">
        <v>16090</v>
      </c>
      <c r="D933" s="14">
        <v>15</v>
      </c>
      <c r="E933" s="14">
        <v>1239</v>
      </c>
      <c r="F933" s="14">
        <v>195</v>
      </c>
      <c r="G933" s="14">
        <v>15605</v>
      </c>
      <c r="H933" s="14">
        <v>0.589872742610772</v>
      </c>
      <c r="I933" s="14">
        <v>0.886629646187244</v>
      </c>
      <c r="J933" s="14">
        <v>0.968833426460545</v>
      </c>
      <c r="K933" s="14" t="s">
        <v>20983</v>
      </c>
    </row>
    <row r="934" spans="1:11">
      <c r="A934" s="14" t="s">
        <v>19185</v>
      </c>
      <c r="B934" s="14" t="s">
        <v>19186</v>
      </c>
      <c r="C934" s="14" t="s">
        <v>16090</v>
      </c>
      <c r="D934" s="14">
        <v>3</v>
      </c>
      <c r="E934" s="14">
        <v>1239</v>
      </c>
      <c r="F934" s="14">
        <v>38</v>
      </c>
      <c r="G934" s="14">
        <v>15605</v>
      </c>
      <c r="H934" s="14">
        <v>0.590291556097145</v>
      </c>
      <c r="I934" s="14">
        <v>0.886629646187244</v>
      </c>
      <c r="J934" s="14">
        <v>0.994329042946349</v>
      </c>
      <c r="K934" s="14" t="s">
        <v>20984</v>
      </c>
    </row>
    <row r="935" spans="1:11">
      <c r="A935" s="14" t="s">
        <v>18552</v>
      </c>
      <c r="B935" s="14" t="s">
        <v>18553</v>
      </c>
      <c r="C935" s="14" t="s">
        <v>16096</v>
      </c>
      <c r="D935" s="14">
        <v>1</v>
      </c>
      <c r="E935" s="14">
        <v>1239</v>
      </c>
      <c r="F935" s="14">
        <v>11</v>
      </c>
      <c r="G935" s="14">
        <v>15605</v>
      </c>
      <c r="H935" s="14">
        <v>0.597597282756513</v>
      </c>
      <c r="I935" s="14">
        <v>0.886629646187244</v>
      </c>
      <c r="J935" s="14">
        <v>1.14498495854428</v>
      </c>
      <c r="K935" s="14" t="s">
        <v>10529</v>
      </c>
    </row>
    <row r="936" spans="1:11">
      <c r="A936" s="14" t="s">
        <v>20985</v>
      </c>
      <c r="B936" s="14" t="s">
        <v>20986</v>
      </c>
      <c r="C936" s="14" t="s">
        <v>16096</v>
      </c>
      <c r="D936" s="14">
        <v>1</v>
      </c>
      <c r="E936" s="14">
        <v>1239</v>
      </c>
      <c r="F936" s="14">
        <v>11</v>
      </c>
      <c r="G936" s="14">
        <v>15605</v>
      </c>
      <c r="H936" s="14">
        <v>0.597597282756513</v>
      </c>
      <c r="I936" s="14">
        <v>0.886629646187244</v>
      </c>
      <c r="J936" s="14">
        <v>1.14498495854428</v>
      </c>
      <c r="K936" s="14" t="s">
        <v>3585</v>
      </c>
    </row>
    <row r="937" spans="1:11">
      <c r="A937" s="14" t="s">
        <v>18554</v>
      </c>
      <c r="B937" s="14" t="s">
        <v>18555</v>
      </c>
      <c r="C937" s="14" t="s">
        <v>16086</v>
      </c>
      <c r="D937" s="14">
        <v>1</v>
      </c>
      <c r="E937" s="14">
        <v>1239</v>
      </c>
      <c r="F937" s="14">
        <v>11</v>
      </c>
      <c r="G937" s="14">
        <v>15605</v>
      </c>
      <c r="H937" s="14">
        <v>0.597597282756513</v>
      </c>
      <c r="I937" s="14">
        <v>0.886629646187244</v>
      </c>
      <c r="J937" s="14">
        <v>1.14498495854428</v>
      </c>
      <c r="K937" s="14" t="s">
        <v>12425</v>
      </c>
    </row>
    <row r="938" spans="1:11">
      <c r="A938" s="14" t="s">
        <v>20987</v>
      </c>
      <c r="B938" s="14" t="s">
        <v>20988</v>
      </c>
      <c r="C938" s="14" t="s">
        <v>16086</v>
      </c>
      <c r="D938" s="14">
        <v>1</v>
      </c>
      <c r="E938" s="14">
        <v>1239</v>
      </c>
      <c r="F938" s="14">
        <v>11</v>
      </c>
      <c r="G938" s="14">
        <v>15605</v>
      </c>
      <c r="H938" s="14">
        <v>0.597597282756513</v>
      </c>
      <c r="I938" s="14">
        <v>0.886629646187244</v>
      </c>
      <c r="J938" s="14">
        <v>1.14498495854428</v>
      </c>
      <c r="K938" s="14" t="s">
        <v>6893</v>
      </c>
    </row>
    <row r="939" spans="1:11">
      <c r="A939" s="14" t="s">
        <v>18560</v>
      </c>
      <c r="B939" s="14" t="s">
        <v>18561</v>
      </c>
      <c r="C939" s="14" t="s">
        <v>16086</v>
      </c>
      <c r="D939" s="14">
        <v>1</v>
      </c>
      <c r="E939" s="14">
        <v>1239</v>
      </c>
      <c r="F939" s="14">
        <v>11</v>
      </c>
      <c r="G939" s="14">
        <v>15605</v>
      </c>
      <c r="H939" s="14">
        <v>0.597597282756513</v>
      </c>
      <c r="I939" s="14">
        <v>0.886629646187244</v>
      </c>
      <c r="J939" s="14">
        <v>1.14498495854428</v>
      </c>
      <c r="K939" s="14" t="s">
        <v>11556</v>
      </c>
    </row>
    <row r="940" spans="1:11">
      <c r="A940" s="14" t="s">
        <v>18562</v>
      </c>
      <c r="B940" s="14" t="s">
        <v>18563</v>
      </c>
      <c r="C940" s="14" t="s">
        <v>16086</v>
      </c>
      <c r="D940" s="14">
        <v>1</v>
      </c>
      <c r="E940" s="14">
        <v>1239</v>
      </c>
      <c r="F940" s="14">
        <v>11</v>
      </c>
      <c r="G940" s="14">
        <v>15605</v>
      </c>
      <c r="H940" s="14">
        <v>0.597597282756513</v>
      </c>
      <c r="I940" s="14">
        <v>0.886629646187244</v>
      </c>
      <c r="J940" s="14">
        <v>1.14498495854428</v>
      </c>
      <c r="K940" s="14" t="s">
        <v>12425</v>
      </c>
    </row>
    <row r="941" spans="1:11">
      <c r="A941" s="14" t="s">
        <v>20989</v>
      </c>
      <c r="B941" s="14" t="s">
        <v>20990</v>
      </c>
      <c r="C941" s="14" t="s">
        <v>16096</v>
      </c>
      <c r="D941" s="14">
        <v>1</v>
      </c>
      <c r="E941" s="14">
        <v>1239</v>
      </c>
      <c r="F941" s="14">
        <v>11</v>
      </c>
      <c r="G941" s="14">
        <v>15605</v>
      </c>
      <c r="H941" s="14">
        <v>0.597597282756513</v>
      </c>
      <c r="I941" s="14">
        <v>0.886629646187244</v>
      </c>
      <c r="J941" s="14">
        <v>1.14498495854428</v>
      </c>
      <c r="K941" s="14" t="s">
        <v>9054</v>
      </c>
    </row>
    <row r="942" spans="1:11">
      <c r="A942" s="14" t="s">
        <v>20991</v>
      </c>
      <c r="B942" s="14" t="s">
        <v>20992</v>
      </c>
      <c r="C942" s="14" t="s">
        <v>16096</v>
      </c>
      <c r="D942" s="14">
        <v>1</v>
      </c>
      <c r="E942" s="14">
        <v>1239</v>
      </c>
      <c r="F942" s="14">
        <v>11</v>
      </c>
      <c r="G942" s="14">
        <v>15605</v>
      </c>
      <c r="H942" s="14">
        <v>0.597597282756513</v>
      </c>
      <c r="I942" s="14">
        <v>0.886629646187244</v>
      </c>
      <c r="J942" s="14">
        <v>1.14498495854428</v>
      </c>
      <c r="K942" s="14" t="s">
        <v>237</v>
      </c>
    </row>
    <row r="943" spans="1:11">
      <c r="A943" s="14" t="s">
        <v>17191</v>
      </c>
      <c r="B943" s="14" t="s">
        <v>17192</v>
      </c>
      <c r="C943" s="14" t="s">
        <v>16090</v>
      </c>
      <c r="D943" s="14">
        <v>1</v>
      </c>
      <c r="E943" s="14">
        <v>1239</v>
      </c>
      <c r="F943" s="14">
        <v>11</v>
      </c>
      <c r="G943" s="14">
        <v>15605</v>
      </c>
      <c r="H943" s="14">
        <v>0.597597282756513</v>
      </c>
      <c r="I943" s="14">
        <v>0.886629646187244</v>
      </c>
      <c r="J943" s="14">
        <v>1.14498495854428</v>
      </c>
      <c r="K943" s="14" t="s">
        <v>12129</v>
      </c>
    </row>
    <row r="944" spans="1:11">
      <c r="A944" s="14" t="s">
        <v>20993</v>
      </c>
      <c r="B944" s="14" t="s">
        <v>20994</v>
      </c>
      <c r="C944" s="14" t="s">
        <v>16090</v>
      </c>
      <c r="D944" s="14">
        <v>1</v>
      </c>
      <c r="E944" s="14">
        <v>1239</v>
      </c>
      <c r="F944" s="14">
        <v>11</v>
      </c>
      <c r="G944" s="14">
        <v>15605</v>
      </c>
      <c r="H944" s="14">
        <v>0.597597282756513</v>
      </c>
      <c r="I944" s="14">
        <v>0.886629646187244</v>
      </c>
      <c r="J944" s="14">
        <v>1.14498495854428</v>
      </c>
      <c r="K944" s="14" t="s">
        <v>15763</v>
      </c>
    </row>
    <row r="945" spans="1:11">
      <c r="A945" s="14" t="s">
        <v>16127</v>
      </c>
      <c r="B945" s="14" t="s">
        <v>16128</v>
      </c>
      <c r="C945" s="14" t="s">
        <v>16090</v>
      </c>
      <c r="D945" s="14">
        <v>1</v>
      </c>
      <c r="E945" s="14">
        <v>1239</v>
      </c>
      <c r="F945" s="14">
        <v>11</v>
      </c>
      <c r="G945" s="14">
        <v>15605</v>
      </c>
      <c r="H945" s="14">
        <v>0.597597282756513</v>
      </c>
      <c r="I945" s="14">
        <v>0.886629646187244</v>
      </c>
      <c r="J945" s="14">
        <v>1.14498495854428</v>
      </c>
      <c r="K945" s="14" t="s">
        <v>8481</v>
      </c>
    </row>
    <row r="946" spans="1:11">
      <c r="A946" s="14" t="s">
        <v>20995</v>
      </c>
      <c r="B946" s="14" t="s">
        <v>20996</v>
      </c>
      <c r="C946" s="14" t="s">
        <v>16096</v>
      </c>
      <c r="D946" s="14">
        <v>1</v>
      </c>
      <c r="E946" s="14">
        <v>1239</v>
      </c>
      <c r="F946" s="14">
        <v>11</v>
      </c>
      <c r="G946" s="14">
        <v>15605</v>
      </c>
      <c r="H946" s="14">
        <v>0.597597282756513</v>
      </c>
      <c r="I946" s="14">
        <v>0.886629646187244</v>
      </c>
      <c r="J946" s="14">
        <v>1.14498495854428</v>
      </c>
      <c r="K946" s="14" t="s">
        <v>8560</v>
      </c>
    </row>
    <row r="947" spans="1:11">
      <c r="A947" s="14" t="s">
        <v>20997</v>
      </c>
      <c r="B947" s="14" t="s">
        <v>20998</v>
      </c>
      <c r="C947" s="14" t="s">
        <v>16086</v>
      </c>
      <c r="D947" s="14">
        <v>1</v>
      </c>
      <c r="E947" s="14">
        <v>1239</v>
      </c>
      <c r="F947" s="14">
        <v>11</v>
      </c>
      <c r="G947" s="14">
        <v>15605</v>
      </c>
      <c r="H947" s="14">
        <v>0.597597282756513</v>
      </c>
      <c r="I947" s="14">
        <v>0.886629646187244</v>
      </c>
      <c r="J947" s="14">
        <v>1.14498495854428</v>
      </c>
      <c r="K947" s="14" t="s">
        <v>10997</v>
      </c>
    </row>
    <row r="948" spans="1:11">
      <c r="A948" s="14" t="s">
        <v>17194</v>
      </c>
      <c r="B948" s="14" t="s">
        <v>17195</v>
      </c>
      <c r="C948" s="14" t="s">
        <v>16086</v>
      </c>
      <c r="D948" s="14">
        <v>1</v>
      </c>
      <c r="E948" s="14">
        <v>1239</v>
      </c>
      <c r="F948" s="14">
        <v>11</v>
      </c>
      <c r="G948" s="14">
        <v>15605</v>
      </c>
      <c r="H948" s="14">
        <v>0.597597282756513</v>
      </c>
      <c r="I948" s="14">
        <v>0.886629646187244</v>
      </c>
      <c r="J948" s="14">
        <v>1.14498495854428</v>
      </c>
      <c r="K948" s="14" t="s">
        <v>2048</v>
      </c>
    </row>
    <row r="949" spans="1:11">
      <c r="A949" s="14" t="s">
        <v>16130</v>
      </c>
      <c r="B949" s="14" t="s">
        <v>16131</v>
      </c>
      <c r="C949" s="14" t="s">
        <v>16090</v>
      </c>
      <c r="D949" s="14">
        <v>1</v>
      </c>
      <c r="E949" s="14">
        <v>1239</v>
      </c>
      <c r="F949" s="14">
        <v>11</v>
      </c>
      <c r="G949" s="14">
        <v>15605</v>
      </c>
      <c r="H949" s="14">
        <v>0.597597282756513</v>
      </c>
      <c r="I949" s="14">
        <v>0.886629646187244</v>
      </c>
      <c r="J949" s="14">
        <v>1.14498495854428</v>
      </c>
      <c r="K949" s="14" t="s">
        <v>7748</v>
      </c>
    </row>
    <row r="950" spans="1:11">
      <c r="A950" s="14" t="s">
        <v>20999</v>
      </c>
      <c r="B950" s="14" t="s">
        <v>21000</v>
      </c>
      <c r="C950" s="14" t="s">
        <v>16090</v>
      </c>
      <c r="D950" s="14">
        <v>1</v>
      </c>
      <c r="E950" s="14">
        <v>1239</v>
      </c>
      <c r="F950" s="14">
        <v>11</v>
      </c>
      <c r="G950" s="14">
        <v>15605</v>
      </c>
      <c r="H950" s="14">
        <v>0.597597282756513</v>
      </c>
      <c r="I950" s="14">
        <v>0.886629646187244</v>
      </c>
      <c r="J950" s="14">
        <v>1.14498495854428</v>
      </c>
      <c r="K950" s="14" t="s">
        <v>12381</v>
      </c>
    </row>
    <row r="951" spans="1:11">
      <c r="A951" s="14" t="s">
        <v>18576</v>
      </c>
      <c r="B951" s="14" t="s">
        <v>18577</v>
      </c>
      <c r="C951" s="14" t="s">
        <v>16090</v>
      </c>
      <c r="D951" s="14">
        <v>1</v>
      </c>
      <c r="E951" s="14">
        <v>1239</v>
      </c>
      <c r="F951" s="14">
        <v>11</v>
      </c>
      <c r="G951" s="14">
        <v>15605</v>
      </c>
      <c r="H951" s="14">
        <v>0.597597282756513</v>
      </c>
      <c r="I951" s="14">
        <v>0.886629646187244</v>
      </c>
      <c r="J951" s="14">
        <v>1.14498495854428</v>
      </c>
      <c r="K951" s="14" t="s">
        <v>12129</v>
      </c>
    </row>
    <row r="952" spans="1:11">
      <c r="A952" s="14" t="s">
        <v>21001</v>
      </c>
      <c r="B952" s="14" t="s">
        <v>21002</v>
      </c>
      <c r="C952" s="14" t="s">
        <v>16090</v>
      </c>
      <c r="D952" s="14">
        <v>1</v>
      </c>
      <c r="E952" s="14">
        <v>1239</v>
      </c>
      <c r="F952" s="14">
        <v>11</v>
      </c>
      <c r="G952" s="14">
        <v>15605</v>
      </c>
      <c r="H952" s="14">
        <v>0.597597282756513</v>
      </c>
      <c r="I952" s="14">
        <v>0.886629646187244</v>
      </c>
      <c r="J952" s="14">
        <v>1.14498495854428</v>
      </c>
      <c r="K952" s="14" t="s">
        <v>8940</v>
      </c>
    </row>
    <row r="953" spans="1:11">
      <c r="A953" s="14" t="s">
        <v>21003</v>
      </c>
      <c r="B953" s="14" t="s">
        <v>21004</v>
      </c>
      <c r="C953" s="14" t="s">
        <v>16090</v>
      </c>
      <c r="D953" s="14">
        <v>1</v>
      </c>
      <c r="E953" s="14">
        <v>1239</v>
      </c>
      <c r="F953" s="14">
        <v>11</v>
      </c>
      <c r="G953" s="14">
        <v>15605</v>
      </c>
      <c r="H953" s="14">
        <v>0.597597282756513</v>
      </c>
      <c r="I953" s="14">
        <v>0.886629646187244</v>
      </c>
      <c r="J953" s="14">
        <v>1.14498495854428</v>
      </c>
      <c r="K953" s="14" t="s">
        <v>14007</v>
      </c>
    </row>
    <row r="954" spans="1:11">
      <c r="A954" s="14" t="s">
        <v>21005</v>
      </c>
      <c r="B954" s="14" t="s">
        <v>21006</v>
      </c>
      <c r="C954" s="14" t="s">
        <v>16086</v>
      </c>
      <c r="D954" s="14">
        <v>1</v>
      </c>
      <c r="E954" s="14">
        <v>1239</v>
      </c>
      <c r="F954" s="14">
        <v>11</v>
      </c>
      <c r="G954" s="14">
        <v>15605</v>
      </c>
      <c r="H954" s="14">
        <v>0.597597282756513</v>
      </c>
      <c r="I954" s="14">
        <v>0.886629646187244</v>
      </c>
      <c r="J954" s="14">
        <v>1.14498495854428</v>
      </c>
      <c r="K954" s="14" t="s">
        <v>177</v>
      </c>
    </row>
    <row r="955" spans="1:11">
      <c r="A955" s="14" t="s">
        <v>21007</v>
      </c>
      <c r="B955" s="14" t="s">
        <v>21008</v>
      </c>
      <c r="C955" s="14" t="s">
        <v>16086</v>
      </c>
      <c r="D955" s="14">
        <v>1</v>
      </c>
      <c r="E955" s="14">
        <v>1239</v>
      </c>
      <c r="F955" s="14">
        <v>11</v>
      </c>
      <c r="G955" s="14">
        <v>15605</v>
      </c>
      <c r="H955" s="14">
        <v>0.597597282756513</v>
      </c>
      <c r="I955" s="14">
        <v>0.886629646187244</v>
      </c>
      <c r="J955" s="14">
        <v>1.14498495854428</v>
      </c>
      <c r="K955" s="14" t="s">
        <v>8255</v>
      </c>
    </row>
    <row r="956" spans="1:11">
      <c r="A956" s="14" t="s">
        <v>18582</v>
      </c>
      <c r="B956" s="14" t="s">
        <v>18583</v>
      </c>
      <c r="C956" s="14" t="s">
        <v>16090</v>
      </c>
      <c r="D956" s="14">
        <v>1</v>
      </c>
      <c r="E956" s="14">
        <v>1239</v>
      </c>
      <c r="F956" s="14">
        <v>11</v>
      </c>
      <c r="G956" s="14">
        <v>15605</v>
      </c>
      <c r="H956" s="14">
        <v>0.597597282756513</v>
      </c>
      <c r="I956" s="14">
        <v>0.886629646187244</v>
      </c>
      <c r="J956" s="14">
        <v>1.14498495854428</v>
      </c>
      <c r="K956" s="14" t="s">
        <v>11359</v>
      </c>
    </row>
    <row r="957" spans="1:11">
      <c r="A957" s="14" t="s">
        <v>21009</v>
      </c>
      <c r="B957" s="14" t="s">
        <v>21010</v>
      </c>
      <c r="C957" s="14" t="s">
        <v>16090</v>
      </c>
      <c r="D957" s="14">
        <v>1</v>
      </c>
      <c r="E957" s="14">
        <v>1239</v>
      </c>
      <c r="F957" s="14">
        <v>11</v>
      </c>
      <c r="G957" s="14">
        <v>15605</v>
      </c>
      <c r="H957" s="14">
        <v>0.597597282756513</v>
      </c>
      <c r="I957" s="14">
        <v>0.886629646187244</v>
      </c>
      <c r="J957" s="14">
        <v>1.14498495854428</v>
      </c>
      <c r="K957" s="14" t="s">
        <v>177</v>
      </c>
    </row>
    <row r="958" spans="1:11">
      <c r="A958" s="14" t="s">
        <v>18588</v>
      </c>
      <c r="B958" s="14" t="s">
        <v>18589</v>
      </c>
      <c r="C958" s="14" t="s">
        <v>16090</v>
      </c>
      <c r="D958" s="14">
        <v>1</v>
      </c>
      <c r="E958" s="14">
        <v>1239</v>
      </c>
      <c r="F958" s="14">
        <v>11</v>
      </c>
      <c r="G958" s="14">
        <v>15605</v>
      </c>
      <c r="H958" s="14">
        <v>0.597597282756513</v>
      </c>
      <c r="I958" s="14">
        <v>0.886629646187244</v>
      </c>
      <c r="J958" s="14">
        <v>1.14498495854428</v>
      </c>
      <c r="K958" s="14" t="s">
        <v>12652</v>
      </c>
    </row>
    <row r="959" spans="1:11">
      <c r="A959" s="14" t="s">
        <v>21011</v>
      </c>
      <c r="B959" s="14" t="s">
        <v>21012</v>
      </c>
      <c r="C959" s="14" t="s">
        <v>16086</v>
      </c>
      <c r="D959" s="14">
        <v>1</v>
      </c>
      <c r="E959" s="14">
        <v>1239</v>
      </c>
      <c r="F959" s="14">
        <v>11</v>
      </c>
      <c r="G959" s="14">
        <v>15605</v>
      </c>
      <c r="H959" s="14">
        <v>0.597597282756513</v>
      </c>
      <c r="I959" s="14">
        <v>0.886629646187244</v>
      </c>
      <c r="J959" s="14">
        <v>1.14498495854428</v>
      </c>
      <c r="K959" s="14" t="s">
        <v>12155</v>
      </c>
    </row>
    <row r="960" spans="1:11">
      <c r="A960" s="14" t="s">
        <v>21013</v>
      </c>
      <c r="B960" s="14" t="s">
        <v>21014</v>
      </c>
      <c r="C960" s="14" t="s">
        <v>16090</v>
      </c>
      <c r="D960" s="14">
        <v>1</v>
      </c>
      <c r="E960" s="14">
        <v>1239</v>
      </c>
      <c r="F960" s="14">
        <v>11</v>
      </c>
      <c r="G960" s="14">
        <v>15605</v>
      </c>
      <c r="H960" s="14">
        <v>0.597597282756513</v>
      </c>
      <c r="I960" s="14">
        <v>0.886629646187244</v>
      </c>
      <c r="J960" s="14">
        <v>1.14498495854428</v>
      </c>
      <c r="K960" s="14" t="s">
        <v>1989</v>
      </c>
    </row>
    <row r="961" spans="1:11">
      <c r="A961" s="14" t="s">
        <v>21015</v>
      </c>
      <c r="B961" s="14" t="s">
        <v>21016</v>
      </c>
      <c r="C961" s="14" t="s">
        <v>16086</v>
      </c>
      <c r="D961" s="14">
        <v>1</v>
      </c>
      <c r="E961" s="14">
        <v>1239</v>
      </c>
      <c r="F961" s="14">
        <v>11</v>
      </c>
      <c r="G961" s="14">
        <v>15605</v>
      </c>
      <c r="H961" s="14">
        <v>0.597597282756513</v>
      </c>
      <c r="I961" s="14">
        <v>0.886629646187244</v>
      </c>
      <c r="J961" s="14">
        <v>1.14498495854428</v>
      </c>
      <c r="K961" s="14" t="s">
        <v>1110</v>
      </c>
    </row>
    <row r="962" spans="1:11">
      <c r="A962" s="14" t="s">
        <v>21017</v>
      </c>
      <c r="B962" s="14" t="s">
        <v>21018</v>
      </c>
      <c r="C962" s="14" t="s">
        <v>16090</v>
      </c>
      <c r="D962" s="14">
        <v>1</v>
      </c>
      <c r="E962" s="14">
        <v>1239</v>
      </c>
      <c r="F962" s="14">
        <v>11</v>
      </c>
      <c r="G962" s="14">
        <v>15605</v>
      </c>
      <c r="H962" s="14">
        <v>0.597597282756513</v>
      </c>
      <c r="I962" s="14">
        <v>0.886629646187244</v>
      </c>
      <c r="J962" s="14">
        <v>1.14498495854428</v>
      </c>
      <c r="K962" s="14" t="s">
        <v>15484</v>
      </c>
    </row>
    <row r="963" spans="1:11">
      <c r="A963" s="14" t="s">
        <v>17216</v>
      </c>
      <c r="B963" s="14" t="s">
        <v>17217</v>
      </c>
      <c r="C963" s="14" t="s">
        <v>16096</v>
      </c>
      <c r="D963" s="14">
        <v>1</v>
      </c>
      <c r="E963" s="14">
        <v>1239</v>
      </c>
      <c r="F963" s="14">
        <v>11</v>
      </c>
      <c r="G963" s="14">
        <v>15605</v>
      </c>
      <c r="H963" s="14">
        <v>0.597597282756513</v>
      </c>
      <c r="I963" s="14">
        <v>0.886629646187244</v>
      </c>
      <c r="J963" s="14">
        <v>1.14498495854428</v>
      </c>
      <c r="K963" s="14" t="s">
        <v>9048</v>
      </c>
    </row>
    <row r="964" spans="1:11">
      <c r="A964" s="14" t="s">
        <v>17219</v>
      </c>
      <c r="B964" s="14" t="s">
        <v>17220</v>
      </c>
      <c r="C964" s="14" t="s">
        <v>16090</v>
      </c>
      <c r="D964" s="14">
        <v>1</v>
      </c>
      <c r="E964" s="14">
        <v>1239</v>
      </c>
      <c r="F964" s="14">
        <v>11</v>
      </c>
      <c r="G964" s="14">
        <v>15605</v>
      </c>
      <c r="H964" s="14">
        <v>0.597597282756513</v>
      </c>
      <c r="I964" s="14">
        <v>0.886629646187244</v>
      </c>
      <c r="J964" s="14">
        <v>1.14498495854428</v>
      </c>
      <c r="K964" s="14" t="s">
        <v>2048</v>
      </c>
    </row>
    <row r="965" spans="1:11">
      <c r="A965" s="14" t="s">
        <v>18602</v>
      </c>
      <c r="B965" s="14" t="s">
        <v>18603</v>
      </c>
      <c r="C965" s="14" t="s">
        <v>16086</v>
      </c>
      <c r="D965" s="14">
        <v>1</v>
      </c>
      <c r="E965" s="14">
        <v>1239</v>
      </c>
      <c r="F965" s="14">
        <v>11</v>
      </c>
      <c r="G965" s="14">
        <v>15605</v>
      </c>
      <c r="H965" s="14">
        <v>0.597597282756513</v>
      </c>
      <c r="I965" s="14">
        <v>0.886629646187244</v>
      </c>
      <c r="J965" s="14">
        <v>1.14498495854428</v>
      </c>
      <c r="K965" s="14" t="s">
        <v>12425</v>
      </c>
    </row>
    <row r="966" spans="1:11">
      <c r="A966" s="14" t="s">
        <v>18652</v>
      </c>
      <c r="B966" s="14" t="s">
        <v>18653</v>
      </c>
      <c r="C966" s="14" t="s">
        <v>16090</v>
      </c>
      <c r="D966" s="14">
        <v>2</v>
      </c>
      <c r="E966" s="14">
        <v>1239</v>
      </c>
      <c r="F966" s="14">
        <v>25</v>
      </c>
      <c r="G966" s="14">
        <v>15605</v>
      </c>
      <c r="H966" s="14">
        <v>0.601220522851952</v>
      </c>
      <c r="I966" s="14">
        <v>0.886629646187244</v>
      </c>
      <c r="J966" s="14">
        <v>1.00758676351897</v>
      </c>
      <c r="K966" s="14" t="s">
        <v>21019</v>
      </c>
    </row>
    <row r="967" spans="1:11">
      <c r="A967" s="14" t="s">
        <v>19291</v>
      </c>
      <c r="B967" s="14" t="s">
        <v>19292</v>
      </c>
      <c r="C967" s="14" t="s">
        <v>16090</v>
      </c>
      <c r="D967" s="14">
        <v>2</v>
      </c>
      <c r="E967" s="14">
        <v>1239</v>
      </c>
      <c r="F967" s="14">
        <v>25</v>
      </c>
      <c r="G967" s="14">
        <v>15605</v>
      </c>
      <c r="H967" s="14">
        <v>0.601220522851952</v>
      </c>
      <c r="I967" s="14">
        <v>0.886629646187244</v>
      </c>
      <c r="J967" s="14">
        <v>1.00758676351897</v>
      </c>
      <c r="K967" s="14" t="s">
        <v>21020</v>
      </c>
    </row>
    <row r="968" spans="1:11">
      <c r="A968" s="14" t="s">
        <v>17622</v>
      </c>
      <c r="B968" s="14" t="s">
        <v>17623</v>
      </c>
      <c r="C968" s="14" t="s">
        <v>16090</v>
      </c>
      <c r="D968" s="14">
        <v>2</v>
      </c>
      <c r="E968" s="14">
        <v>1239</v>
      </c>
      <c r="F968" s="14">
        <v>25</v>
      </c>
      <c r="G968" s="14">
        <v>15605</v>
      </c>
      <c r="H968" s="14">
        <v>0.601220522851952</v>
      </c>
      <c r="I968" s="14">
        <v>0.886629646187244</v>
      </c>
      <c r="J968" s="14">
        <v>1.00758676351897</v>
      </c>
      <c r="K968" s="14" t="s">
        <v>21021</v>
      </c>
    </row>
    <row r="969" spans="1:11">
      <c r="A969" s="14" t="s">
        <v>18654</v>
      </c>
      <c r="B969" s="14" t="s">
        <v>18655</v>
      </c>
      <c r="C969" s="14" t="s">
        <v>16086</v>
      </c>
      <c r="D969" s="14">
        <v>2</v>
      </c>
      <c r="E969" s="14">
        <v>1239</v>
      </c>
      <c r="F969" s="14">
        <v>25</v>
      </c>
      <c r="G969" s="14">
        <v>15605</v>
      </c>
      <c r="H969" s="14">
        <v>0.601220522851952</v>
      </c>
      <c r="I969" s="14">
        <v>0.886629646187244</v>
      </c>
      <c r="J969" s="14">
        <v>1.00758676351897</v>
      </c>
      <c r="K969" s="14" t="s">
        <v>21022</v>
      </c>
    </row>
    <row r="970" spans="1:11">
      <c r="A970" s="14" t="s">
        <v>21023</v>
      </c>
      <c r="B970" s="14" t="s">
        <v>21024</v>
      </c>
      <c r="C970" s="14" t="s">
        <v>16096</v>
      </c>
      <c r="D970" s="14">
        <v>2</v>
      </c>
      <c r="E970" s="14">
        <v>1239</v>
      </c>
      <c r="F970" s="14">
        <v>25</v>
      </c>
      <c r="G970" s="14">
        <v>15605</v>
      </c>
      <c r="H970" s="14">
        <v>0.601220522851952</v>
      </c>
      <c r="I970" s="14">
        <v>0.886629646187244</v>
      </c>
      <c r="J970" s="14">
        <v>1.00758676351897</v>
      </c>
      <c r="K970" s="14" t="s">
        <v>20030</v>
      </c>
    </row>
    <row r="971" spans="1:11">
      <c r="A971" s="14" t="s">
        <v>18663</v>
      </c>
      <c r="B971" s="14" t="s">
        <v>18664</v>
      </c>
      <c r="C971" s="14" t="s">
        <v>16090</v>
      </c>
      <c r="D971" s="14">
        <v>2</v>
      </c>
      <c r="E971" s="14">
        <v>1239</v>
      </c>
      <c r="F971" s="14">
        <v>25</v>
      </c>
      <c r="G971" s="14">
        <v>15605</v>
      </c>
      <c r="H971" s="14">
        <v>0.601220522851952</v>
      </c>
      <c r="I971" s="14">
        <v>0.886629646187244</v>
      </c>
      <c r="J971" s="14">
        <v>1.00758676351897</v>
      </c>
      <c r="K971" s="14" t="s">
        <v>21025</v>
      </c>
    </row>
    <row r="972" spans="1:11">
      <c r="A972" s="14" t="s">
        <v>19093</v>
      </c>
      <c r="B972" s="14" t="s">
        <v>19094</v>
      </c>
      <c r="C972" s="14" t="s">
        <v>16086</v>
      </c>
      <c r="D972" s="14">
        <v>6</v>
      </c>
      <c r="E972" s="14">
        <v>1239</v>
      </c>
      <c r="F972" s="14">
        <v>79</v>
      </c>
      <c r="G972" s="14">
        <v>15605</v>
      </c>
      <c r="H972" s="14">
        <v>0.605589381233479</v>
      </c>
      <c r="I972" s="14">
        <v>0.892151779157363</v>
      </c>
      <c r="J972" s="14">
        <v>0.956569712201551</v>
      </c>
      <c r="K972" s="14" t="s">
        <v>21026</v>
      </c>
    </row>
    <row r="973" spans="1:11">
      <c r="A973" s="14" t="s">
        <v>17253</v>
      </c>
      <c r="B973" s="14" t="s">
        <v>17254</v>
      </c>
      <c r="C973" s="14" t="s">
        <v>16090</v>
      </c>
      <c r="D973" s="14">
        <v>3</v>
      </c>
      <c r="E973" s="14">
        <v>1239</v>
      </c>
      <c r="F973" s="14">
        <v>39</v>
      </c>
      <c r="G973" s="14">
        <v>15605</v>
      </c>
      <c r="H973" s="14">
        <v>0.608218207108448</v>
      </c>
      <c r="I973" s="14">
        <v>0.895101769266706</v>
      </c>
      <c r="J973" s="14">
        <v>0.968833426460545</v>
      </c>
      <c r="K973" s="14" t="s">
        <v>21027</v>
      </c>
    </row>
    <row r="974" spans="1:11">
      <c r="A974" s="14" t="s">
        <v>16291</v>
      </c>
      <c r="B974" s="14" t="s">
        <v>16292</v>
      </c>
      <c r="C974" s="14" t="s">
        <v>16090</v>
      </c>
      <c r="D974" s="14">
        <v>2</v>
      </c>
      <c r="E974" s="14">
        <v>1239</v>
      </c>
      <c r="F974" s="14">
        <v>26</v>
      </c>
      <c r="G974" s="14">
        <v>15605</v>
      </c>
      <c r="H974" s="14">
        <v>0.622879410790741</v>
      </c>
      <c r="I974" s="14">
        <v>0.90599699708804</v>
      </c>
      <c r="J974" s="14">
        <v>0.968833426460545</v>
      </c>
      <c r="K974" s="14" t="s">
        <v>21028</v>
      </c>
    </row>
    <row r="975" spans="1:11">
      <c r="A975" s="14" t="s">
        <v>17096</v>
      </c>
      <c r="B975" s="14" t="s">
        <v>17097</v>
      </c>
      <c r="C975" s="14" t="s">
        <v>16090</v>
      </c>
      <c r="D975" s="14">
        <v>2</v>
      </c>
      <c r="E975" s="14">
        <v>1239</v>
      </c>
      <c r="F975" s="14">
        <v>26</v>
      </c>
      <c r="G975" s="14">
        <v>15605</v>
      </c>
      <c r="H975" s="14">
        <v>0.622879410790741</v>
      </c>
      <c r="I975" s="14">
        <v>0.90599699708804</v>
      </c>
      <c r="J975" s="14">
        <v>0.968833426460545</v>
      </c>
      <c r="K975" s="14" t="s">
        <v>21029</v>
      </c>
    </row>
    <row r="976" spans="1:11">
      <c r="A976" s="14" t="s">
        <v>19319</v>
      </c>
      <c r="B976" s="14" t="s">
        <v>19320</v>
      </c>
      <c r="C976" s="14" t="s">
        <v>16090</v>
      </c>
      <c r="D976" s="14">
        <v>2</v>
      </c>
      <c r="E976" s="14">
        <v>1239</v>
      </c>
      <c r="F976" s="14">
        <v>26</v>
      </c>
      <c r="G976" s="14">
        <v>15605</v>
      </c>
      <c r="H976" s="14">
        <v>0.622879410790741</v>
      </c>
      <c r="I976" s="14">
        <v>0.90599699708804</v>
      </c>
      <c r="J976" s="14">
        <v>0.968833426460545</v>
      </c>
      <c r="K976" s="14" t="s">
        <v>20415</v>
      </c>
    </row>
    <row r="977" spans="1:11">
      <c r="A977" s="14" t="s">
        <v>21030</v>
      </c>
      <c r="B977" s="14" t="s">
        <v>21031</v>
      </c>
      <c r="C977" s="14" t="s">
        <v>16090</v>
      </c>
      <c r="D977" s="14">
        <v>2</v>
      </c>
      <c r="E977" s="14">
        <v>1239</v>
      </c>
      <c r="F977" s="14">
        <v>26</v>
      </c>
      <c r="G977" s="14">
        <v>15605</v>
      </c>
      <c r="H977" s="14">
        <v>0.622879410790741</v>
      </c>
      <c r="I977" s="14">
        <v>0.90599699708804</v>
      </c>
      <c r="J977" s="14">
        <v>0.968833426460545</v>
      </c>
      <c r="K977" s="14" t="s">
        <v>21032</v>
      </c>
    </row>
    <row r="978" spans="1:11">
      <c r="A978" s="14" t="s">
        <v>19321</v>
      </c>
      <c r="B978" s="14" t="s">
        <v>19322</v>
      </c>
      <c r="C978" s="14" t="s">
        <v>16090</v>
      </c>
      <c r="D978" s="14">
        <v>2</v>
      </c>
      <c r="E978" s="14">
        <v>1239</v>
      </c>
      <c r="F978" s="14">
        <v>26</v>
      </c>
      <c r="G978" s="14">
        <v>15605</v>
      </c>
      <c r="H978" s="14">
        <v>0.622879410790741</v>
      </c>
      <c r="I978" s="14">
        <v>0.90599699708804</v>
      </c>
      <c r="J978" s="14">
        <v>0.968833426460545</v>
      </c>
      <c r="K978" s="14" t="s">
        <v>21033</v>
      </c>
    </row>
    <row r="979" spans="1:11">
      <c r="A979" s="14" t="s">
        <v>18744</v>
      </c>
      <c r="B979" s="14" t="s">
        <v>18745</v>
      </c>
      <c r="C979" s="14" t="s">
        <v>16090</v>
      </c>
      <c r="D979" s="14">
        <v>2</v>
      </c>
      <c r="E979" s="14">
        <v>1239</v>
      </c>
      <c r="F979" s="14">
        <v>26</v>
      </c>
      <c r="G979" s="14">
        <v>15605</v>
      </c>
      <c r="H979" s="14">
        <v>0.622879410790741</v>
      </c>
      <c r="I979" s="14">
        <v>0.90599699708804</v>
      </c>
      <c r="J979" s="14">
        <v>0.968833426460545</v>
      </c>
      <c r="K979" s="14" t="s">
        <v>21034</v>
      </c>
    </row>
    <row r="980" spans="1:11">
      <c r="A980" s="14" t="s">
        <v>3145</v>
      </c>
      <c r="B980" s="14" t="s">
        <v>3146</v>
      </c>
      <c r="C980" s="14" t="s">
        <v>16086</v>
      </c>
      <c r="D980" s="14">
        <v>2</v>
      </c>
      <c r="E980" s="14">
        <v>1239</v>
      </c>
      <c r="F980" s="14">
        <v>26</v>
      </c>
      <c r="G980" s="14">
        <v>15605</v>
      </c>
      <c r="H980" s="14">
        <v>0.622879410790741</v>
      </c>
      <c r="I980" s="14">
        <v>0.90599699708804</v>
      </c>
      <c r="J980" s="14">
        <v>0.968833426460545</v>
      </c>
      <c r="K980" s="14" t="s">
        <v>21035</v>
      </c>
    </row>
    <row r="981" spans="1:11">
      <c r="A981" s="14" t="s">
        <v>16464</v>
      </c>
      <c r="B981" s="14" t="s">
        <v>16465</v>
      </c>
      <c r="C981" s="14" t="s">
        <v>16090</v>
      </c>
      <c r="D981" s="14">
        <v>5</v>
      </c>
      <c r="E981" s="14">
        <v>1239</v>
      </c>
      <c r="F981" s="14">
        <v>67</v>
      </c>
      <c r="G981" s="14">
        <v>15605</v>
      </c>
      <c r="H981" s="14">
        <v>0.623103704533574</v>
      </c>
      <c r="I981" s="14">
        <v>0.90599699708804</v>
      </c>
      <c r="J981" s="14">
        <v>0.939913025670678</v>
      </c>
      <c r="K981" s="14" t="s">
        <v>21036</v>
      </c>
    </row>
    <row r="982" spans="1:11">
      <c r="A982" s="14" t="s">
        <v>18678</v>
      </c>
      <c r="B982" s="14" t="s">
        <v>18679</v>
      </c>
      <c r="C982" s="14" t="s">
        <v>16096</v>
      </c>
      <c r="D982" s="14">
        <v>1</v>
      </c>
      <c r="E982" s="14">
        <v>1239</v>
      </c>
      <c r="F982" s="14">
        <v>12</v>
      </c>
      <c r="G982" s="14">
        <v>15605</v>
      </c>
      <c r="H982" s="14">
        <v>0.629569641783362</v>
      </c>
      <c r="I982" s="14">
        <v>0.90599699708804</v>
      </c>
      <c r="J982" s="14">
        <v>1.04956954533226</v>
      </c>
      <c r="K982" s="14" t="s">
        <v>8863</v>
      </c>
    </row>
    <row r="983" spans="1:11">
      <c r="A983" s="14" t="s">
        <v>16372</v>
      </c>
      <c r="B983" s="14" t="s">
        <v>16373</v>
      </c>
      <c r="C983" s="14" t="s">
        <v>16090</v>
      </c>
      <c r="D983" s="14">
        <v>1</v>
      </c>
      <c r="E983" s="14">
        <v>1239</v>
      </c>
      <c r="F983" s="14">
        <v>12</v>
      </c>
      <c r="G983" s="14">
        <v>15605</v>
      </c>
      <c r="H983" s="14">
        <v>0.629569641783362</v>
      </c>
      <c r="I983" s="14">
        <v>0.90599699708804</v>
      </c>
      <c r="J983" s="14">
        <v>1.04956954533226</v>
      </c>
      <c r="K983" s="14" t="s">
        <v>3547</v>
      </c>
    </row>
    <row r="984" spans="1:11">
      <c r="A984" s="14" t="s">
        <v>21037</v>
      </c>
      <c r="B984" s="14" t="s">
        <v>21038</v>
      </c>
      <c r="C984" s="14" t="s">
        <v>16086</v>
      </c>
      <c r="D984" s="14">
        <v>1</v>
      </c>
      <c r="E984" s="14">
        <v>1239</v>
      </c>
      <c r="F984" s="14">
        <v>12</v>
      </c>
      <c r="G984" s="14">
        <v>15605</v>
      </c>
      <c r="H984" s="14">
        <v>0.629569641783362</v>
      </c>
      <c r="I984" s="14">
        <v>0.90599699708804</v>
      </c>
      <c r="J984" s="14">
        <v>1.04956954533226</v>
      </c>
      <c r="K984" s="14" t="s">
        <v>13298</v>
      </c>
    </row>
    <row r="985" spans="1:11">
      <c r="A985" s="14" t="s">
        <v>21039</v>
      </c>
      <c r="B985" s="14" t="s">
        <v>21040</v>
      </c>
      <c r="C985" s="14" t="s">
        <v>16090</v>
      </c>
      <c r="D985" s="14">
        <v>1</v>
      </c>
      <c r="E985" s="14">
        <v>1239</v>
      </c>
      <c r="F985" s="14">
        <v>12</v>
      </c>
      <c r="G985" s="14">
        <v>15605</v>
      </c>
      <c r="H985" s="14">
        <v>0.629569641783362</v>
      </c>
      <c r="I985" s="14">
        <v>0.90599699708804</v>
      </c>
      <c r="J985" s="14">
        <v>1.04956954533226</v>
      </c>
      <c r="K985" s="14" t="s">
        <v>9502</v>
      </c>
    </row>
    <row r="986" spans="1:11">
      <c r="A986" s="14" t="s">
        <v>18686</v>
      </c>
      <c r="B986" s="14" t="s">
        <v>18687</v>
      </c>
      <c r="C986" s="14" t="s">
        <v>16090</v>
      </c>
      <c r="D986" s="14">
        <v>1</v>
      </c>
      <c r="E986" s="14">
        <v>1239</v>
      </c>
      <c r="F986" s="14">
        <v>12</v>
      </c>
      <c r="G986" s="14">
        <v>15605</v>
      </c>
      <c r="H986" s="14">
        <v>0.629569641783362</v>
      </c>
      <c r="I986" s="14">
        <v>0.90599699708804</v>
      </c>
      <c r="J986" s="14">
        <v>1.04956954533226</v>
      </c>
      <c r="K986" s="14" t="s">
        <v>3431</v>
      </c>
    </row>
    <row r="987" spans="1:11">
      <c r="A987" s="14" t="s">
        <v>18706</v>
      </c>
      <c r="B987" s="14" t="s">
        <v>18707</v>
      </c>
      <c r="C987" s="14" t="s">
        <v>16086</v>
      </c>
      <c r="D987" s="14">
        <v>1</v>
      </c>
      <c r="E987" s="14">
        <v>1239</v>
      </c>
      <c r="F987" s="14">
        <v>12</v>
      </c>
      <c r="G987" s="14">
        <v>15605</v>
      </c>
      <c r="H987" s="14">
        <v>0.629569641783362</v>
      </c>
      <c r="I987" s="14">
        <v>0.90599699708804</v>
      </c>
      <c r="J987" s="14">
        <v>1.04956954533226</v>
      </c>
      <c r="K987" s="14" t="s">
        <v>329</v>
      </c>
    </row>
    <row r="988" spans="1:11">
      <c r="A988" s="14" t="s">
        <v>18710</v>
      </c>
      <c r="B988" s="14" t="s">
        <v>18711</v>
      </c>
      <c r="C988" s="14" t="s">
        <v>16096</v>
      </c>
      <c r="D988" s="14">
        <v>1</v>
      </c>
      <c r="E988" s="14">
        <v>1239</v>
      </c>
      <c r="F988" s="14">
        <v>12</v>
      </c>
      <c r="G988" s="14">
        <v>15605</v>
      </c>
      <c r="H988" s="14">
        <v>0.629569641783362</v>
      </c>
      <c r="I988" s="14">
        <v>0.90599699708804</v>
      </c>
      <c r="J988" s="14">
        <v>1.04956954533226</v>
      </c>
      <c r="K988" s="14" t="s">
        <v>2977</v>
      </c>
    </row>
    <row r="989" spans="1:11">
      <c r="A989" s="14" t="s">
        <v>16700</v>
      </c>
      <c r="B989" s="14" t="s">
        <v>16701</v>
      </c>
      <c r="C989" s="14" t="s">
        <v>16090</v>
      </c>
      <c r="D989" s="14">
        <v>1</v>
      </c>
      <c r="E989" s="14">
        <v>1239</v>
      </c>
      <c r="F989" s="14">
        <v>12</v>
      </c>
      <c r="G989" s="14">
        <v>15605</v>
      </c>
      <c r="H989" s="14">
        <v>0.629569641783362</v>
      </c>
      <c r="I989" s="14">
        <v>0.90599699708804</v>
      </c>
      <c r="J989" s="14">
        <v>1.04956954533226</v>
      </c>
      <c r="K989" s="14" t="s">
        <v>8826</v>
      </c>
    </row>
    <row r="990" spans="1:11">
      <c r="A990" s="14" t="s">
        <v>21041</v>
      </c>
      <c r="B990" s="14" t="s">
        <v>21042</v>
      </c>
      <c r="C990" s="14" t="s">
        <v>16096</v>
      </c>
      <c r="D990" s="14">
        <v>1</v>
      </c>
      <c r="E990" s="14">
        <v>1239</v>
      </c>
      <c r="F990" s="14">
        <v>12</v>
      </c>
      <c r="G990" s="14">
        <v>15605</v>
      </c>
      <c r="H990" s="14">
        <v>0.629569641783362</v>
      </c>
      <c r="I990" s="14">
        <v>0.90599699708804</v>
      </c>
      <c r="J990" s="14">
        <v>1.04956954533226</v>
      </c>
      <c r="K990" s="14" t="s">
        <v>15799</v>
      </c>
    </row>
    <row r="991" spans="1:11">
      <c r="A991" s="14" t="s">
        <v>21043</v>
      </c>
      <c r="B991" s="14" t="s">
        <v>21044</v>
      </c>
      <c r="C991" s="14" t="s">
        <v>16086</v>
      </c>
      <c r="D991" s="14">
        <v>1</v>
      </c>
      <c r="E991" s="14">
        <v>1239</v>
      </c>
      <c r="F991" s="14">
        <v>12</v>
      </c>
      <c r="G991" s="14">
        <v>15605</v>
      </c>
      <c r="H991" s="14">
        <v>0.629569641783362</v>
      </c>
      <c r="I991" s="14">
        <v>0.90599699708804</v>
      </c>
      <c r="J991" s="14">
        <v>1.04956954533226</v>
      </c>
      <c r="K991" s="14" t="s">
        <v>6893</v>
      </c>
    </row>
    <row r="992" spans="1:11">
      <c r="A992" s="14" t="s">
        <v>21045</v>
      </c>
      <c r="B992" s="14" t="s">
        <v>21046</v>
      </c>
      <c r="C992" s="14" t="s">
        <v>16090</v>
      </c>
      <c r="D992" s="14">
        <v>1</v>
      </c>
      <c r="E992" s="14">
        <v>1239</v>
      </c>
      <c r="F992" s="14">
        <v>12</v>
      </c>
      <c r="G992" s="14">
        <v>15605</v>
      </c>
      <c r="H992" s="14">
        <v>0.629569641783362</v>
      </c>
      <c r="I992" s="14">
        <v>0.90599699708804</v>
      </c>
      <c r="J992" s="14">
        <v>1.04956954533226</v>
      </c>
      <c r="K992" s="14" t="s">
        <v>705</v>
      </c>
    </row>
    <row r="993" spans="1:11">
      <c r="A993" s="14" t="s">
        <v>17311</v>
      </c>
      <c r="B993" s="14" t="s">
        <v>17312</v>
      </c>
      <c r="C993" s="14" t="s">
        <v>16086</v>
      </c>
      <c r="D993" s="14">
        <v>1</v>
      </c>
      <c r="E993" s="14">
        <v>1239</v>
      </c>
      <c r="F993" s="14">
        <v>12</v>
      </c>
      <c r="G993" s="14">
        <v>15605</v>
      </c>
      <c r="H993" s="14">
        <v>0.629569641783362</v>
      </c>
      <c r="I993" s="14">
        <v>0.90599699708804</v>
      </c>
      <c r="J993" s="14">
        <v>1.04956954533226</v>
      </c>
      <c r="K993" s="14" t="s">
        <v>8731</v>
      </c>
    </row>
    <row r="994" spans="1:11">
      <c r="A994" s="14" t="s">
        <v>18716</v>
      </c>
      <c r="B994" s="14" t="s">
        <v>18717</v>
      </c>
      <c r="C994" s="14" t="s">
        <v>16090</v>
      </c>
      <c r="D994" s="14">
        <v>1</v>
      </c>
      <c r="E994" s="14">
        <v>1239</v>
      </c>
      <c r="F994" s="14">
        <v>12</v>
      </c>
      <c r="G994" s="14">
        <v>15605</v>
      </c>
      <c r="H994" s="14">
        <v>0.629569641783362</v>
      </c>
      <c r="I994" s="14">
        <v>0.90599699708804</v>
      </c>
      <c r="J994" s="14">
        <v>1.04956954533226</v>
      </c>
      <c r="K994" s="14" t="s">
        <v>13342</v>
      </c>
    </row>
    <row r="995" spans="1:11">
      <c r="A995" s="14" t="s">
        <v>18722</v>
      </c>
      <c r="B995" s="14" t="s">
        <v>18723</v>
      </c>
      <c r="C995" s="14" t="s">
        <v>16090</v>
      </c>
      <c r="D995" s="14">
        <v>1</v>
      </c>
      <c r="E995" s="14">
        <v>1239</v>
      </c>
      <c r="F995" s="14">
        <v>12</v>
      </c>
      <c r="G995" s="14">
        <v>15605</v>
      </c>
      <c r="H995" s="14">
        <v>0.629569641783362</v>
      </c>
      <c r="I995" s="14">
        <v>0.90599699708804</v>
      </c>
      <c r="J995" s="14">
        <v>1.04956954533226</v>
      </c>
      <c r="K995" s="14" t="s">
        <v>14147</v>
      </c>
    </row>
    <row r="996" spans="1:11">
      <c r="A996" s="14" t="s">
        <v>16213</v>
      </c>
      <c r="B996" s="14" t="s">
        <v>16214</v>
      </c>
      <c r="C996" s="14" t="s">
        <v>16090</v>
      </c>
      <c r="D996" s="14">
        <v>4</v>
      </c>
      <c r="E996" s="14">
        <v>1239</v>
      </c>
      <c r="F996" s="14">
        <v>54</v>
      </c>
      <c r="G996" s="14">
        <v>15605</v>
      </c>
      <c r="H996" s="14">
        <v>0.630623159479869</v>
      </c>
      <c r="I996" s="14">
        <v>0.90660009546955</v>
      </c>
      <c r="J996" s="14">
        <v>0.932950706962006</v>
      </c>
      <c r="K996" s="14" t="s">
        <v>21047</v>
      </c>
    </row>
    <row r="997" spans="1:11">
      <c r="A997" s="14" t="s">
        <v>19574</v>
      </c>
      <c r="B997" s="14" t="s">
        <v>19575</v>
      </c>
      <c r="C997" s="14" t="s">
        <v>16086</v>
      </c>
      <c r="D997" s="14">
        <v>12</v>
      </c>
      <c r="E997" s="14">
        <v>1239</v>
      </c>
      <c r="F997" s="14">
        <v>161</v>
      </c>
      <c r="G997" s="14">
        <v>15605</v>
      </c>
      <c r="H997" s="14">
        <v>0.633204535647388</v>
      </c>
      <c r="I997" s="14">
        <v>0.909396262753886</v>
      </c>
      <c r="J997" s="14">
        <v>0.938745431849969</v>
      </c>
      <c r="K997" s="14" t="s">
        <v>21048</v>
      </c>
    </row>
    <row r="998" spans="1:11">
      <c r="A998" s="14" t="s">
        <v>19194</v>
      </c>
      <c r="B998" s="14" t="s">
        <v>19195</v>
      </c>
      <c r="C998" s="14" t="s">
        <v>16096</v>
      </c>
      <c r="D998" s="14">
        <v>5</v>
      </c>
      <c r="E998" s="14">
        <v>1239</v>
      </c>
      <c r="F998" s="14">
        <v>68</v>
      </c>
      <c r="G998" s="14">
        <v>15605</v>
      </c>
      <c r="H998" s="14">
        <v>0.636314643181473</v>
      </c>
      <c r="I998" s="14">
        <v>0.912945406733258</v>
      </c>
      <c r="J998" s="14">
        <v>0.926090775293168</v>
      </c>
      <c r="K998" s="14" t="s">
        <v>21049</v>
      </c>
    </row>
    <row r="999" spans="1:11">
      <c r="A999" s="14" t="s">
        <v>16568</v>
      </c>
      <c r="B999" s="14" t="s">
        <v>16569</v>
      </c>
      <c r="C999" s="14" t="s">
        <v>16086</v>
      </c>
      <c r="D999" s="14">
        <v>18</v>
      </c>
      <c r="E999" s="14">
        <v>1239</v>
      </c>
      <c r="F999" s="14">
        <v>241</v>
      </c>
      <c r="G999" s="14">
        <v>15605</v>
      </c>
      <c r="H999" s="14">
        <v>0.642189943949882</v>
      </c>
      <c r="I999" s="14">
        <v>0.915574617952243</v>
      </c>
      <c r="J999" s="14">
        <v>0.940693036480363</v>
      </c>
      <c r="K999" s="14" t="s">
        <v>21050</v>
      </c>
    </row>
    <row r="1000" spans="1:11">
      <c r="A1000" s="14" t="s">
        <v>16422</v>
      </c>
      <c r="B1000" s="14" t="s">
        <v>16423</v>
      </c>
      <c r="C1000" s="14" t="s">
        <v>16086</v>
      </c>
      <c r="D1000" s="14">
        <v>3</v>
      </c>
      <c r="E1000" s="14">
        <v>1239</v>
      </c>
      <c r="F1000" s="14">
        <v>41</v>
      </c>
      <c r="G1000" s="14">
        <v>15605</v>
      </c>
      <c r="H1000" s="14">
        <v>0.642470248685781</v>
      </c>
      <c r="I1000" s="14">
        <v>0.915574617952243</v>
      </c>
      <c r="J1000" s="14">
        <v>0.921573259316128</v>
      </c>
      <c r="K1000" s="14" t="s">
        <v>21051</v>
      </c>
    </row>
    <row r="1001" spans="1:11">
      <c r="A1001" s="14" t="s">
        <v>18926</v>
      </c>
      <c r="B1001" s="14" t="s">
        <v>18927</v>
      </c>
      <c r="C1001" s="14" t="s">
        <v>16090</v>
      </c>
      <c r="D1001" s="14">
        <v>8</v>
      </c>
      <c r="E1001" s="14">
        <v>1239</v>
      </c>
      <c r="F1001" s="14">
        <v>109</v>
      </c>
      <c r="G1001" s="14">
        <v>15605</v>
      </c>
      <c r="H1001" s="14">
        <v>0.643481709418307</v>
      </c>
      <c r="I1001" s="14">
        <v>0.915574617952243</v>
      </c>
      <c r="J1001" s="14">
        <v>0.92439152616419</v>
      </c>
      <c r="K1001" s="14" t="s">
        <v>21052</v>
      </c>
    </row>
    <row r="1002" spans="1:11">
      <c r="A1002" s="14" t="s">
        <v>17120</v>
      </c>
      <c r="B1002" s="14" t="s">
        <v>17121</v>
      </c>
      <c r="C1002" s="14" t="s">
        <v>16090</v>
      </c>
      <c r="D1002" s="14">
        <v>2</v>
      </c>
      <c r="E1002" s="14">
        <v>1239</v>
      </c>
      <c r="F1002" s="14">
        <v>27</v>
      </c>
      <c r="G1002" s="14">
        <v>15605</v>
      </c>
      <c r="H1002" s="14">
        <v>0.643616110299749</v>
      </c>
      <c r="I1002" s="14">
        <v>0.915574617952243</v>
      </c>
      <c r="J1002" s="14">
        <v>0.932950706962006</v>
      </c>
      <c r="K1002" s="14" t="s">
        <v>21053</v>
      </c>
    </row>
    <row r="1003" spans="1:11">
      <c r="A1003" s="14" t="s">
        <v>19334</v>
      </c>
      <c r="B1003" s="14" t="s">
        <v>19335</v>
      </c>
      <c r="C1003" s="14" t="s">
        <v>16086</v>
      </c>
      <c r="D1003" s="14">
        <v>2</v>
      </c>
      <c r="E1003" s="14">
        <v>1239</v>
      </c>
      <c r="F1003" s="14">
        <v>27</v>
      </c>
      <c r="G1003" s="14">
        <v>15605</v>
      </c>
      <c r="H1003" s="14">
        <v>0.643616110299749</v>
      </c>
      <c r="I1003" s="14">
        <v>0.915574617952243</v>
      </c>
      <c r="J1003" s="14">
        <v>0.932950706962006</v>
      </c>
      <c r="K1003" s="14" t="s">
        <v>21054</v>
      </c>
    </row>
    <row r="1004" spans="1:11">
      <c r="A1004" s="14" t="s">
        <v>21055</v>
      </c>
      <c r="B1004" s="14" t="s">
        <v>21056</v>
      </c>
      <c r="C1004" s="14" t="s">
        <v>16096</v>
      </c>
      <c r="D1004" s="14">
        <v>2</v>
      </c>
      <c r="E1004" s="14">
        <v>1239</v>
      </c>
      <c r="F1004" s="14">
        <v>27</v>
      </c>
      <c r="G1004" s="14">
        <v>15605</v>
      </c>
      <c r="H1004" s="14">
        <v>0.643616110299749</v>
      </c>
      <c r="I1004" s="14">
        <v>0.915574617952243</v>
      </c>
      <c r="J1004" s="14">
        <v>0.932950706962006</v>
      </c>
      <c r="K1004" s="14" t="s">
        <v>21057</v>
      </c>
    </row>
    <row r="1005" spans="1:11">
      <c r="A1005" s="14" t="s">
        <v>17123</v>
      </c>
      <c r="B1005" s="14" t="s">
        <v>17124</v>
      </c>
      <c r="C1005" s="14" t="s">
        <v>16090</v>
      </c>
      <c r="D1005" s="14">
        <v>2</v>
      </c>
      <c r="E1005" s="14">
        <v>1239</v>
      </c>
      <c r="F1005" s="14">
        <v>27</v>
      </c>
      <c r="G1005" s="14">
        <v>15605</v>
      </c>
      <c r="H1005" s="14">
        <v>0.643616110299749</v>
      </c>
      <c r="I1005" s="14">
        <v>0.915574617952243</v>
      </c>
      <c r="J1005" s="14">
        <v>0.932950706962006</v>
      </c>
      <c r="K1005" s="14" t="s">
        <v>21058</v>
      </c>
    </row>
    <row r="1006" spans="1:11">
      <c r="A1006" s="14" t="s">
        <v>18859</v>
      </c>
      <c r="B1006" s="14" t="s">
        <v>18860</v>
      </c>
      <c r="C1006" s="14" t="s">
        <v>16086</v>
      </c>
      <c r="D1006" s="14">
        <v>3</v>
      </c>
      <c r="E1006" s="14">
        <v>1239</v>
      </c>
      <c r="F1006" s="14">
        <v>42</v>
      </c>
      <c r="G1006" s="14">
        <v>15605</v>
      </c>
      <c r="H1006" s="14">
        <v>0.658784154998353</v>
      </c>
      <c r="I1006" s="14">
        <v>0.915574617952243</v>
      </c>
      <c r="J1006" s="14">
        <v>0.89963103885622</v>
      </c>
      <c r="K1006" s="14" t="s">
        <v>21059</v>
      </c>
    </row>
    <row r="1007" spans="1:11">
      <c r="A1007" s="14" t="s">
        <v>21060</v>
      </c>
      <c r="B1007" s="14" t="s">
        <v>21061</v>
      </c>
      <c r="C1007" s="14" t="s">
        <v>16090</v>
      </c>
      <c r="D1007" s="14">
        <v>1</v>
      </c>
      <c r="E1007" s="14">
        <v>1239</v>
      </c>
      <c r="F1007" s="14">
        <v>13</v>
      </c>
      <c r="G1007" s="14">
        <v>15605</v>
      </c>
      <c r="H1007" s="14">
        <v>0.659003568149707</v>
      </c>
      <c r="I1007" s="14">
        <v>0.915574617952243</v>
      </c>
      <c r="J1007" s="14">
        <v>0.968833426460545</v>
      </c>
      <c r="K1007" s="14" t="s">
        <v>4828</v>
      </c>
    </row>
    <row r="1008" spans="1:11">
      <c r="A1008" s="14" t="s">
        <v>21062</v>
      </c>
      <c r="B1008" s="14" t="s">
        <v>21063</v>
      </c>
      <c r="C1008" s="14" t="s">
        <v>16090</v>
      </c>
      <c r="D1008" s="14">
        <v>1</v>
      </c>
      <c r="E1008" s="14">
        <v>1239</v>
      </c>
      <c r="F1008" s="14">
        <v>13</v>
      </c>
      <c r="G1008" s="14">
        <v>15605</v>
      </c>
      <c r="H1008" s="14">
        <v>0.659003568149707</v>
      </c>
      <c r="I1008" s="14">
        <v>0.915574617952243</v>
      </c>
      <c r="J1008" s="14">
        <v>0.968833426460545</v>
      </c>
      <c r="K1008" s="14" t="s">
        <v>8560</v>
      </c>
    </row>
    <row r="1009" spans="1:11">
      <c r="A1009" s="14" t="s">
        <v>21064</v>
      </c>
      <c r="B1009" s="14" t="s">
        <v>21065</v>
      </c>
      <c r="C1009" s="14" t="s">
        <v>16096</v>
      </c>
      <c r="D1009" s="14">
        <v>1</v>
      </c>
      <c r="E1009" s="14">
        <v>1239</v>
      </c>
      <c r="F1009" s="14">
        <v>13</v>
      </c>
      <c r="G1009" s="14">
        <v>15605</v>
      </c>
      <c r="H1009" s="14">
        <v>0.659003568149707</v>
      </c>
      <c r="I1009" s="14">
        <v>0.915574617952243</v>
      </c>
      <c r="J1009" s="14">
        <v>0.968833426460545</v>
      </c>
      <c r="K1009" s="14" t="s">
        <v>15882</v>
      </c>
    </row>
    <row r="1010" spans="1:11">
      <c r="A1010" s="14" t="s">
        <v>21066</v>
      </c>
      <c r="B1010" s="14" t="s">
        <v>21067</v>
      </c>
      <c r="C1010" s="14" t="s">
        <v>16086</v>
      </c>
      <c r="D1010" s="14">
        <v>1</v>
      </c>
      <c r="E1010" s="14">
        <v>1239</v>
      </c>
      <c r="F1010" s="14">
        <v>13</v>
      </c>
      <c r="G1010" s="14">
        <v>15605</v>
      </c>
      <c r="H1010" s="14">
        <v>0.659003568149707</v>
      </c>
      <c r="I1010" s="14">
        <v>0.915574617952243</v>
      </c>
      <c r="J1010" s="14">
        <v>0.968833426460545</v>
      </c>
      <c r="K1010" s="14" t="s">
        <v>3706</v>
      </c>
    </row>
    <row r="1011" spans="1:11">
      <c r="A1011" s="14" t="s">
        <v>21068</v>
      </c>
      <c r="B1011" s="14" t="s">
        <v>21069</v>
      </c>
      <c r="C1011" s="14" t="s">
        <v>16090</v>
      </c>
      <c r="D1011" s="14">
        <v>1</v>
      </c>
      <c r="E1011" s="14">
        <v>1239</v>
      </c>
      <c r="F1011" s="14">
        <v>13</v>
      </c>
      <c r="G1011" s="14">
        <v>15605</v>
      </c>
      <c r="H1011" s="14">
        <v>0.659003568149707</v>
      </c>
      <c r="I1011" s="14">
        <v>0.915574617952243</v>
      </c>
      <c r="J1011" s="14">
        <v>0.968833426460545</v>
      </c>
      <c r="K1011" s="14" t="s">
        <v>8771</v>
      </c>
    </row>
    <row r="1012" spans="1:11">
      <c r="A1012" s="14" t="s">
        <v>21070</v>
      </c>
      <c r="B1012" s="14" t="s">
        <v>21071</v>
      </c>
      <c r="C1012" s="14" t="s">
        <v>16090</v>
      </c>
      <c r="D1012" s="14">
        <v>1</v>
      </c>
      <c r="E1012" s="14">
        <v>1239</v>
      </c>
      <c r="F1012" s="14">
        <v>13</v>
      </c>
      <c r="G1012" s="14">
        <v>15605</v>
      </c>
      <c r="H1012" s="14">
        <v>0.659003568149707</v>
      </c>
      <c r="I1012" s="14">
        <v>0.915574617952243</v>
      </c>
      <c r="J1012" s="14">
        <v>0.968833426460545</v>
      </c>
      <c r="K1012" s="14" t="s">
        <v>3604</v>
      </c>
    </row>
    <row r="1013" spans="1:11">
      <c r="A1013" s="14" t="s">
        <v>16247</v>
      </c>
      <c r="B1013" s="14" t="s">
        <v>16248</v>
      </c>
      <c r="C1013" s="14" t="s">
        <v>16090</v>
      </c>
      <c r="D1013" s="14">
        <v>1</v>
      </c>
      <c r="E1013" s="14">
        <v>1239</v>
      </c>
      <c r="F1013" s="14">
        <v>13</v>
      </c>
      <c r="G1013" s="14">
        <v>15605</v>
      </c>
      <c r="H1013" s="14">
        <v>0.659003568149707</v>
      </c>
      <c r="I1013" s="14">
        <v>0.915574617952243</v>
      </c>
      <c r="J1013" s="14">
        <v>0.968833426460545</v>
      </c>
      <c r="K1013" s="14" t="s">
        <v>10529</v>
      </c>
    </row>
    <row r="1014" spans="1:11">
      <c r="A1014" s="14" t="s">
        <v>18766</v>
      </c>
      <c r="B1014" s="14" t="s">
        <v>18767</v>
      </c>
      <c r="C1014" s="14" t="s">
        <v>16090</v>
      </c>
      <c r="D1014" s="14">
        <v>1</v>
      </c>
      <c r="E1014" s="14">
        <v>1239</v>
      </c>
      <c r="F1014" s="14">
        <v>13</v>
      </c>
      <c r="G1014" s="14">
        <v>15605</v>
      </c>
      <c r="H1014" s="14">
        <v>0.659003568149707</v>
      </c>
      <c r="I1014" s="14">
        <v>0.915574617952243</v>
      </c>
      <c r="J1014" s="14">
        <v>0.968833426460545</v>
      </c>
      <c r="K1014" s="14" t="s">
        <v>1574</v>
      </c>
    </row>
    <row r="1015" spans="1:11">
      <c r="A1015" s="14" t="s">
        <v>21072</v>
      </c>
      <c r="B1015" s="14" t="s">
        <v>21073</v>
      </c>
      <c r="C1015" s="14" t="s">
        <v>16086</v>
      </c>
      <c r="D1015" s="14">
        <v>1</v>
      </c>
      <c r="E1015" s="14">
        <v>1239</v>
      </c>
      <c r="F1015" s="14">
        <v>13</v>
      </c>
      <c r="G1015" s="14">
        <v>15605</v>
      </c>
      <c r="H1015" s="14">
        <v>0.659003568149707</v>
      </c>
      <c r="I1015" s="14">
        <v>0.915574617952243</v>
      </c>
      <c r="J1015" s="14">
        <v>0.968833426460545</v>
      </c>
      <c r="K1015" s="14" t="s">
        <v>6069</v>
      </c>
    </row>
    <row r="1016" spans="1:11">
      <c r="A1016" s="14" t="s">
        <v>21074</v>
      </c>
      <c r="B1016" s="14" t="s">
        <v>21075</v>
      </c>
      <c r="C1016" s="14" t="s">
        <v>16086</v>
      </c>
      <c r="D1016" s="14">
        <v>1</v>
      </c>
      <c r="E1016" s="14">
        <v>1239</v>
      </c>
      <c r="F1016" s="14">
        <v>13</v>
      </c>
      <c r="G1016" s="14">
        <v>15605</v>
      </c>
      <c r="H1016" s="14">
        <v>0.659003568149707</v>
      </c>
      <c r="I1016" s="14">
        <v>0.915574617952243</v>
      </c>
      <c r="J1016" s="14">
        <v>0.968833426460545</v>
      </c>
      <c r="K1016" s="14" t="s">
        <v>14545</v>
      </c>
    </row>
    <row r="1017" spans="1:11">
      <c r="A1017" s="14" t="s">
        <v>18768</v>
      </c>
      <c r="B1017" s="14" t="s">
        <v>18769</v>
      </c>
      <c r="C1017" s="14" t="s">
        <v>16086</v>
      </c>
      <c r="D1017" s="14">
        <v>1</v>
      </c>
      <c r="E1017" s="14">
        <v>1239</v>
      </c>
      <c r="F1017" s="14">
        <v>13</v>
      </c>
      <c r="G1017" s="14">
        <v>15605</v>
      </c>
      <c r="H1017" s="14">
        <v>0.659003568149707</v>
      </c>
      <c r="I1017" s="14">
        <v>0.915574617952243</v>
      </c>
      <c r="J1017" s="14">
        <v>0.968833426460545</v>
      </c>
      <c r="K1017" s="14" t="s">
        <v>13061</v>
      </c>
    </row>
    <row r="1018" spans="1:11">
      <c r="A1018" s="14" t="s">
        <v>21076</v>
      </c>
      <c r="B1018" s="14" t="s">
        <v>21077</v>
      </c>
      <c r="C1018" s="14" t="s">
        <v>16086</v>
      </c>
      <c r="D1018" s="14">
        <v>1</v>
      </c>
      <c r="E1018" s="14">
        <v>1239</v>
      </c>
      <c r="F1018" s="14">
        <v>13</v>
      </c>
      <c r="G1018" s="14">
        <v>15605</v>
      </c>
      <c r="H1018" s="14">
        <v>0.659003568149707</v>
      </c>
      <c r="I1018" s="14">
        <v>0.915574617952243</v>
      </c>
      <c r="J1018" s="14">
        <v>0.968833426460545</v>
      </c>
      <c r="K1018" s="14" t="s">
        <v>12525</v>
      </c>
    </row>
    <row r="1019" spans="1:11">
      <c r="A1019" s="14" t="s">
        <v>17372</v>
      </c>
      <c r="B1019" s="14" t="s">
        <v>17373</v>
      </c>
      <c r="C1019" s="14" t="s">
        <v>16090</v>
      </c>
      <c r="D1019" s="14">
        <v>1</v>
      </c>
      <c r="E1019" s="14">
        <v>1239</v>
      </c>
      <c r="F1019" s="14">
        <v>13</v>
      </c>
      <c r="G1019" s="14">
        <v>15605</v>
      </c>
      <c r="H1019" s="14">
        <v>0.659003568149707</v>
      </c>
      <c r="I1019" s="14">
        <v>0.915574617952243</v>
      </c>
      <c r="J1019" s="14">
        <v>0.968833426460545</v>
      </c>
      <c r="K1019" s="14" t="s">
        <v>13229</v>
      </c>
    </row>
    <row r="1020" spans="1:11">
      <c r="A1020" s="14" t="s">
        <v>18774</v>
      </c>
      <c r="B1020" s="14" t="s">
        <v>18775</v>
      </c>
      <c r="C1020" s="14" t="s">
        <v>16090</v>
      </c>
      <c r="D1020" s="14">
        <v>1</v>
      </c>
      <c r="E1020" s="14">
        <v>1239</v>
      </c>
      <c r="F1020" s="14">
        <v>13</v>
      </c>
      <c r="G1020" s="14">
        <v>15605</v>
      </c>
      <c r="H1020" s="14">
        <v>0.659003568149707</v>
      </c>
      <c r="I1020" s="14">
        <v>0.915574617952243</v>
      </c>
      <c r="J1020" s="14">
        <v>0.968833426460545</v>
      </c>
      <c r="K1020" s="14" t="s">
        <v>2800</v>
      </c>
    </row>
    <row r="1021" spans="1:11">
      <c r="A1021" s="14" t="s">
        <v>18776</v>
      </c>
      <c r="B1021" s="14" t="s">
        <v>18777</v>
      </c>
      <c r="C1021" s="14" t="s">
        <v>16090</v>
      </c>
      <c r="D1021" s="14">
        <v>1</v>
      </c>
      <c r="E1021" s="14">
        <v>1239</v>
      </c>
      <c r="F1021" s="14">
        <v>13</v>
      </c>
      <c r="G1021" s="14">
        <v>15605</v>
      </c>
      <c r="H1021" s="14">
        <v>0.659003568149707</v>
      </c>
      <c r="I1021" s="14">
        <v>0.915574617952243</v>
      </c>
      <c r="J1021" s="14">
        <v>0.968833426460545</v>
      </c>
      <c r="K1021" s="14" t="s">
        <v>3905</v>
      </c>
    </row>
    <row r="1022" spans="1:11">
      <c r="A1022" s="14" t="s">
        <v>21078</v>
      </c>
      <c r="B1022" s="14" t="s">
        <v>21079</v>
      </c>
      <c r="C1022" s="14" t="s">
        <v>16090</v>
      </c>
      <c r="D1022" s="14">
        <v>1</v>
      </c>
      <c r="E1022" s="14">
        <v>1239</v>
      </c>
      <c r="F1022" s="14">
        <v>13</v>
      </c>
      <c r="G1022" s="14">
        <v>15605</v>
      </c>
      <c r="H1022" s="14">
        <v>0.659003568149707</v>
      </c>
      <c r="I1022" s="14">
        <v>0.915574617952243</v>
      </c>
      <c r="J1022" s="14">
        <v>0.968833426460545</v>
      </c>
      <c r="K1022" s="14" t="s">
        <v>11147</v>
      </c>
    </row>
    <row r="1023" spans="1:11">
      <c r="A1023" s="14" t="s">
        <v>18784</v>
      </c>
      <c r="B1023" s="14" t="s">
        <v>18785</v>
      </c>
      <c r="C1023" s="14" t="s">
        <v>16090</v>
      </c>
      <c r="D1023" s="14">
        <v>1</v>
      </c>
      <c r="E1023" s="14">
        <v>1239</v>
      </c>
      <c r="F1023" s="14">
        <v>13</v>
      </c>
      <c r="G1023" s="14">
        <v>15605</v>
      </c>
      <c r="H1023" s="14">
        <v>0.659003568149707</v>
      </c>
      <c r="I1023" s="14">
        <v>0.915574617952243</v>
      </c>
      <c r="J1023" s="14">
        <v>0.968833426460545</v>
      </c>
      <c r="K1023" s="14" t="s">
        <v>7443</v>
      </c>
    </row>
    <row r="1024" spans="1:11">
      <c r="A1024" s="14" t="s">
        <v>16411</v>
      </c>
      <c r="B1024" s="14" t="s">
        <v>16412</v>
      </c>
      <c r="C1024" s="14" t="s">
        <v>16090</v>
      </c>
      <c r="D1024" s="14">
        <v>1</v>
      </c>
      <c r="E1024" s="14">
        <v>1239</v>
      </c>
      <c r="F1024" s="14">
        <v>13</v>
      </c>
      <c r="G1024" s="14">
        <v>15605</v>
      </c>
      <c r="H1024" s="14">
        <v>0.659003568149707</v>
      </c>
      <c r="I1024" s="14">
        <v>0.915574617952243</v>
      </c>
      <c r="J1024" s="14">
        <v>0.968833426460545</v>
      </c>
      <c r="K1024" s="14" t="s">
        <v>9339</v>
      </c>
    </row>
    <row r="1025" spans="1:11">
      <c r="A1025" s="14" t="s">
        <v>21080</v>
      </c>
      <c r="B1025" s="14" t="s">
        <v>21081</v>
      </c>
      <c r="C1025" s="14" t="s">
        <v>16090</v>
      </c>
      <c r="D1025" s="14">
        <v>1</v>
      </c>
      <c r="E1025" s="14">
        <v>1239</v>
      </c>
      <c r="F1025" s="14">
        <v>13</v>
      </c>
      <c r="G1025" s="14">
        <v>15605</v>
      </c>
      <c r="H1025" s="14">
        <v>0.659003568149707</v>
      </c>
      <c r="I1025" s="14">
        <v>0.915574617952243</v>
      </c>
      <c r="J1025" s="14">
        <v>0.968833426460545</v>
      </c>
      <c r="K1025" s="14" t="s">
        <v>14017</v>
      </c>
    </row>
    <row r="1026" spans="1:11">
      <c r="A1026" s="14" t="s">
        <v>18790</v>
      </c>
      <c r="B1026" s="14" t="s">
        <v>18791</v>
      </c>
      <c r="C1026" s="14" t="s">
        <v>16090</v>
      </c>
      <c r="D1026" s="14">
        <v>1</v>
      </c>
      <c r="E1026" s="14">
        <v>1239</v>
      </c>
      <c r="F1026" s="14">
        <v>13</v>
      </c>
      <c r="G1026" s="14">
        <v>15605</v>
      </c>
      <c r="H1026" s="14">
        <v>0.659003568149707</v>
      </c>
      <c r="I1026" s="14">
        <v>0.915574617952243</v>
      </c>
      <c r="J1026" s="14">
        <v>0.968833426460545</v>
      </c>
      <c r="K1026" s="14" t="s">
        <v>11127</v>
      </c>
    </row>
    <row r="1027" spans="1:11">
      <c r="A1027" s="14" t="s">
        <v>16413</v>
      </c>
      <c r="B1027" s="14" t="s">
        <v>16414</v>
      </c>
      <c r="C1027" s="14" t="s">
        <v>16090</v>
      </c>
      <c r="D1027" s="14">
        <v>1</v>
      </c>
      <c r="E1027" s="14">
        <v>1239</v>
      </c>
      <c r="F1027" s="14">
        <v>13</v>
      </c>
      <c r="G1027" s="14">
        <v>15605</v>
      </c>
      <c r="H1027" s="14">
        <v>0.659003568149707</v>
      </c>
      <c r="I1027" s="14">
        <v>0.915574617952243</v>
      </c>
      <c r="J1027" s="14">
        <v>0.968833426460545</v>
      </c>
      <c r="K1027" s="14" t="s">
        <v>11196</v>
      </c>
    </row>
    <row r="1028" spans="1:11">
      <c r="A1028" s="14" t="s">
        <v>18794</v>
      </c>
      <c r="B1028" s="14" t="s">
        <v>18795</v>
      </c>
      <c r="C1028" s="14" t="s">
        <v>16090</v>
      </c>
      <c r="D1028" s="14">
        <v>1</v>
      </c>
      <c r="E1028" s="14">
        <v>1239</v>
      </c>
      <c r="F1028" s="14">
        <v>13</v>
      </c>
      <c r="G1028" s="14">
        <v>15605</v>
      </c>
      <c r="H1028" s="14">
        <v>0.659003568149707</v>
      </c>
      <c r="I1028" s="14">
        <v>0.915574617952243</v>
      </c>
      <c r="J1028" s="14">
        <v>0.968833426460545</v>
      </c>
      <c r="K1028" s="14" t="s">
        <v>13712</v>
      </c>
    </row>
    <row r="1029" spans="1:11">
      <c r="A1029" s="14" t="s">
        <v>18796</v>
      </c>
      <c r="B1029" s="14" t="s">
        <v>18797</v>
      </c>
      <c r="C1029" s="14" t="s">
        <v>16090</v>
      </c>
      <c r="D1029" s="14">
        <v>1</v>
      </c>
      <c r="E1029" s="14">
        <v>1239</v>
      </c>
      <c r="F1029" s="14">
        <v>13</v>
      </c>
      <c r="G1029" s="14">
        <v>15605</v>
      </c>
      <c r="H1029" s="14">
        <v>0.659003568149707</v>
      </c>
      <c r="I1029" s="14">
        <v>0.915574617952243</v>
      </c>
      <c r="J1029" s="14">
        <v>0.968833426460545</v>
      </c>
      <c r="K1029" s="14" t="s">
        <v>10552</v>
      </c>
    </row>
    <row r="1030" spans="1:11">
      <c r="A1030" s="14" t="s">
        <v>17390</v>
      </c>
      <c r="B1030" s="14" t="s">
        <v>17391</v>
      </c>
      <c r="C1030" s="14" t="s">
        <v>16090</v>
      </c>
      <c r="D1030" s="14">
        <v>1</v>
      </c>
      <c r="E1030" s="14">
        <v>1239</v>
      </c>
      <c r="F1030" s="14">
        <v>13</v>
      </c>
      <c r="G1030" s="14">
        <v>15605</v>
      </c>
      <c r="H1030" s="14">
        <v>0.659003568149707</v>
      </c>
      <c r="I1030" s="14">
        <v>0.915574617952243</v>
      </c>
      <c r="J1030" s="14">
        <v>0.968833426460545</v>
      </c>
      <c r="K1030" s="14" t="s">
        <v>230</v>
      </c>
    </row>
    <row r="1031" spans="1:11">
      <c r="A1031" s="14" t="s">
        <v>18251</v>
      </c>
      <c r="B1031" s="14" t="s">
        <v>18252</v>
      </c>
      <c r="C1031" s="14" t="s">
        <v>16090</v>
      </c>
      <c r="D1031" s="14">
        <v>4</v>
      </c>
      <c r="E1031" s="14">
        <v>1239</v>
      </c>
      <c r="F1031" s="14">
        <v>56</v>
      </c>
      <c r="G1031" s="14">
        <v>15605</v>
      </c>
      <c r="H1031" s="14">
        <v>0.659290610127962</v>
      </c>
      <c r="I1031" s="14">
        <v>0.915574617952243</v>
      </c>
      <c r="J1031" s="14">
        <v>0.89963103885622</v>
      </c>
      <c r="K1031" s="14" t="s">
        <v>21082</v>
      </c>
    </row>
    <row r="1032" spans="1:11">
      <c r="A1032" s="14" t="s">
        <v>21083</v>
      </c>
      <c r="B1032" s="14" t="s">
        <v>21084</v>
      </c>
      <c r="C1032" s="14" t="s">
        <v>16090</v>
      </c>
      <c r="D1032" s="14">
        <v>2</v>
      </c>
      <c r="E1032" s="14">
        <v>1239</v>
      </c>
      <c r="F1032" s="14">
        <v>28</v>
      </c>
      <c r="G1032" s="14">
        <v>15605</v>
      </c>
      <c r="H1032" s="14">
        <v>0.663440406908339</v>
      </c>
      <c r="I1032" s="14">
        <v>0.917769933661197</v>
      </c>
      <c r="J1032" s="14">
        <v>0.89963103885622</v>
      </c>
      <c r="K1032" s="14" t="s">
        <v>21085</v>
      </c>
    </row>
    <row r="1033" spans="1:11">
      <c r="A1033" s="14" t="s">
        <v>17899</v>
      </c>
      <c r="B1033" s="14" t="s">
        <v>17900</v>
      </c>
      <c r="C1033" s="14" t="s">
        <v>16090</v>
      </c>
      <c r="D1033" s="14">
        <v>2</v>
      </c>
      <c r="E1033" s="14">
        <v>1239</v>
      </c>
      <c r="F1033" s="14">
        <v>28</v>
      </c>
      <c r="G1033" s="14">
        <v>15605</v>
      </c>
      <c r="H1033" s="14">
        <v>0.663440406908339</v>
      </c>
      <c r="I1033" s="14">
        <v>0.917769933661197</v>
      </c>
      <c r="J1033" s="14">
        <v>0.89963103885622</v>
      </c>
      <c r="K1033" s="14" t="s">
        <v>21086</v>
      </c>
    </row>
    <row r="1034" spans="1:11">
      <c r="A1034" s="14" t="s">
        <v>21087</v>
      </c>
      <c r="B1034" s="14" t="s">
        <v>21088</v>
      </c>
      <c r="C1034" s="14" t="s">
        <v>16090</v>
      </c>
      <c r="D1034" s="14">
        <v>2</v>
      </c>
      <c r="E1034" s="14">
        <v>1239</v>
      </c>
      <c r="F1034" s="14">
        <v>28</v>
      </c>
      <c r="G1034" s="14">
        <v>15605</v>
      </c>
      <c r="H1034" s="14">
        <v>0.663440406908339</v>
      </c>
      <c r="I1034" s="14">
        <v>0.917769933661197</v>
      </c>
      <c r="J1034" s="14">
        <v>0.89963103885622</v>
      </c>
      <c r="K1034" s="14" t="s">
        <v>21089</v>
      </c>
    </row>
    <row r="1035" spans="1:11">
      <c r="A1035" s="14" t="s">
        <v>17905</v>
      </c>
      <c r="B1035" s="14" t="s">
        <v>17906</v>
      </c>
      <c r="C1035" s="14" t="s">
        <v>16090</v>
      </c>
      <c r="D1035" s="14">
        <v>2</v>
      </c>
      <c r="E1035" s="14">
        <v>1239</v>
      </c>
      <c r="F1035" s="14">
        <v>28</v>
      </c>
      <c r="G1035" s="14">
        <v>15605</v>
      </c>
      <c r="H1035" s="14">
        <v>0.663440406908339</v>
      </c>
      <c r="I1035" s="14">
        <v>0.917769933661197</v>
      </c>
      <c r="J1035" s="14">
        <v>0.89963103885622</v>
      </c>
      <c r="K1035" s="14" t="s">
        <v>21090</v>
      </c>
    </row>
    <row r="1036" spans="1:11">
      <c r="A1036" s="14" t="s">
        <v>18423</v>
      </c>
      <c r="B1036" s="14" t="s">
        <v>18424</v>
      </c>
      <c r="C1036" s="14" t="s">
        <v>16086</v>
      </c>
      <c r="D1036" s="14">
        <v>12</v>
      </c>
      <c r="E1036" s="14">
        <v>1239</v>
      </c>
      <c r="F1036" s="14">
        <v>165</v>
      </c>
      <c r="G1036" s="14">
        <v>15605</v>
      </c>
      <c r="H1036" s="14">
        <v>0.666817369407501</v>
      </c>
      <c r="I1036" s="14">
        <v>0.921549343214042</v>
      </c>
      <c r="J1036" s="14">
        <v>0.915987966835424</v>
      </c>
      <c r="K1036" s="14" t="s">
        <v>21091</v>
      </c>
    </row>
    <row r="1037" spans="1:11">
      <c r="A1037" s="14" t="s">
        <v>18974</v>
      </c>
      <c r="B1037" s="14" t="s">
        <v>18975</v>
      </c>
      <c r="C1037" s="14" t="s">
        <v>16086</v>
      </c>
      <c r="D1037" s="14">
        <v>9</v>
      </c>
      <c r="E1037" s="14">
        <v>1239</v>
      </c>
      <c r="F1037" s="14">
        <v>125</v>
      </c>
      <c r="G1037" s="14">
        <v>15605</v>
      </c>
      <c r="H1037" s="14">
        <v>0.668667263345352</v>
      </c>
      <c r="I1037" s="14">
        <v>0.923213062145419</v>
      </c>
      <c r="J1037" s="14">
        <v>0.90682808716707</v>
      </c>
      <c r="K1037" s="14" t="s">
        <v>21092</v>
      </c>
    </row>
    <row r="1038" spans="1:11">
      <c r="A1038" s="14" t="s">
        <v>18809</v>
      </c>
      <c r="B1038" s="14" t="s">
        <v>18810</v>
      </c>
      <c r="C1038" s="14" t="s">
        <v>16090</v>
      </c>
      <c r="D1038" s="14">
        <v>11</v>
      </c>
      <c r="E1038" s="14">
        <v>1239</v>
      </c>
      <c r="F1038" s="14">
        <v>153</v>
      </c>
      <c r="G1038" s="14">
        <v>15605</v>
      </c>
      <c r="H1038" s="14">
        <v>0.678290592360931</v>
      </c>
      <c r="I1038" s="14">
        <v>0.927566265655832</v>
      </c>
      <c r="J1038" s="14">
        <v>0.905510980286653</v>
      </c>
      <c r="K1038" s="14" t="s">
        <v>21093</v>
      </c>
    </row>
    <row r="1039" spans="1:11">
      <c r="A1039" s="14" t="s">
        <v>15924</v>
      </c>
      <c r="B1039" s="14" t="s">
        <v>15925</v>
      </c>
      <c r="C1039" s="14" t="s">
        <v>16090</v>
      </c>
      <c r="D1039" s="14">
        <v>19</v>
      </c>
      <c r="E1039" s="14">
        <v>1239</v>
      </c>
      <c r="F1039" s="14">
        <v>260</v>
      </c>
      <c r="G1039" s="14">
        <v>15605</v>
      </c>
      <c r="H1039" s="14">
        <v>0.681400022576312</v>
      </c>
      <c r="I1039" s="14">
        <v>0.927566265655832</v>
      </c>
      <c r="J1039" s="14">
        <v>0.920391755137518</v>
      </c>
      <c r="K1039" s="14" t="s">
        <v>21094</v>
      </c>
    </row>
    <row r="1040" spans="1:11">
      <c r="A1040" s="14" t="s">
        <v>21095</v>
      </c>
      <c r="B1040" s="14" t="s">
        <v>21096</v>
      </c>
      <c r="C1040" s="14" t="s">
        <v>16096</v>
      </c>
      <c r="D1040" s="14">
        <v>2</v>
      </c>
      <c r="E1040" s="14">
        <v>1239</v>
      </c>
      <c r="F1040" s="14">
        <v>29</v>
      </c>
      <c r="G1040" s="14">
        <v>15605</v>
      </c>
      <c r="H1040" s="14">
        <v>0.682366343710418</v>
      </c>
      <c r="I1040" s="14">
        <v>0.927566265655832</v>
      </c>
      <c r="J1040" s="14">
        <v>0.868609278895661</v>
      </c>
      <c r="K1040" s="14" t="s">
        <v>21097</v>
      </c>
    </row>
    <row r="1041" spans="1:11">
      <c r="A1041" s="14" t="s">
        <v>18865</v>
      </c>
      <c r="B1041" s="14" t="s">
        <v>18866</v>
      </c>
      <c r="C1041" s="14" t="s">
        <v>16090</v>
      </c>
      <c r="D1041" s="14">
        <v>2</v>
      </c>
      <c r="E1041" s="14">
        <v>1239</v>
      </c>
      <c r="F1041" s="14">
        <v>29</v>
      </c>
      <c r="G1041" s="14">
        <v>15605</v>
      </c>
      <c r="H1041" s="14">
        <v>0.682366343710418</v>
      </c>
      <c r="I1041" s="14">
        <v>0.927566265655832</v>
      </c>
      <c r="J1041" s="14">
        <v>0.868609278895661</v>
      </c>
      <c r="K1041" s="14" t="s">
        <v>21098</v>
      </c>
    </row>
    <row r="1042" spans="1:11">
      <c r="A1042" s="14" t="s">
        <v>21099</v>
      </c>
      <c r="B1042" s="14" t="s">
        <v>21100</v>
      </c>
      <c r="C1042" s="14" t="s">
        <v>16086</v>
      </c>
      <c r="D1042" s="14">
        <v>2</v>
      </c>
      <c r="E1042" s="14">
        <v>1239</v>
      </c>
      <c r="F1042" s="14">
        <v>29</v>
      </c>
      <c r="G1042" s="14">
        <v>15605</v>
      </c>
      <c r="H1042" s="14">
        <v>0.682366343710418</v>
      </c>
      <c r="I1042" s="14">
        <v>0.927566265655832</v>
      </c>
      <c r="J1042" s="14">
        <v>0.868609278895661</v>
      </c>
      <c r="K1042" s="14" t="s">
        <v>21101</v>
      </c>
    </row>
    <row r="1043" spans="1:11">
      <c r="A1043" s="14" t="s">
        <v>21102</v>
      </c>
      <c r="B1043" s="14" t="s">
        <v>21103</v>
      </c>
      <c r="C1043" s="14" t="s">
        <v>16096</v>
      </c>
      <c r="D1043" s="14">
        <v>1</v>
      </c>
      <c r="E1043" s="14">
        <v>1239</v>
      </c>
      <c r="F1043" s="14">
        <v>14</v>
      </c>
      <c r="G1043" s="14">
        <v>15605</v>
      </c>
      <c r="H1043" s="14">
        <v>0.686100449823803</v>
      </c>
      <c r="I1043" s="14">
        <v>0.927566265655832</v>
      </c>
      <c r="J1043" s="14">
        <v>0.89963103885622</v>
      </c>
      <c r="K1043" s="14" t="s">
        <v>8640</v>
      </c>
    </row>
    <row r="1044" spans="1:11">
      <c r="A1044" s="14" t="s">
        <v>21104</v>
      </c>
      <c r="B1044" s="14" t="s">
        <v>21105</v>
      </c>
      <c r="C1044" s="14" t="s">
        <v>16090</v>
      </c>
      <c r="D1044" s="14">
        <v>1</v>
      </c>
      <c r="E1044" s="14">
        <v>1239</v>
      </c>
      <c r="F1044" s="14">
        <v>14</v>
      </c>
      <c r="G1044" s="14">
        <v>15605</v>
      </c>
      <c r="H1044" s="14">
        <v>0.686100449823803</v>
      </c>
      <c r="I1044" s="14">
        <v>0.927566265655832</v>
      </c>
      <c r="J1044" s="14">
        <v>0.89963103885622</v>
      </c>
      <c r="K1044" s="14" t="s">
        <v>4563</v>
      </c>
    </row>
    <row r="1045" spans="1:11">
      <c r="A1045" s="14" t="s">
        <v>21106</v>
      </c>
      <c r="B1045" s="14" t="s">
        <v>21107</v>
      </c>
      <c r="C1045" s="14" t="s">
        <v>16090</v>
      </c>
      <c r="D1045" s="14">
        <v>1</v>
      </c>
      <c r="E1045" s="14">
        <v>1239</v>
      </c>
      <c r="F1045" s="14">
        <v>14</v>
      </c>
      <c r="G1045" s="14">
        <v>15605</v>
      </c>
      <c r="H1045" s="14">
        <v>0.686100449823803</v>
      </c>
      <c r="I1045" s="14">
        <v>0.927566265655832</v>
      </c>
      <c r="J1045" s="14">
        <v>0.89963103885622</v>
      </c>
      <c r="K1045" s="14" t="s">
        <v>9105</v>
      </c>
    </row>
    <row r="1046" spans="1:11">
      <c r="A1046" s="14" t="s">
        <v>21108</v>
      </c>
      <c r="B1046" s="14" t="s">
        <v>21109</v>
      </c>
      <c r="C1046" s="14" t="s">
        <v>16090</v>
      </c>
      <c r="D1046" s="14">
        <v>1</v>
      </c>
      <c r="E1046" s="14">
        <v>1239</v>
      </c>
      <c r="F1046" s="14">
        <v>14</v>
      </c>
      <c r="G1046" s="14">
        <v>15605</v>
      </c>
      <c r="H1046" s="14">
        <v>0.686100449823803</v>
      </c>
      <c r="I1046" s="14">
        <v>0.927566265655832</v>
      </c>
      <c r="J1046" s="14">
        <v>0.89963103885622</v>
      </c>
      <c r="K1046" s="14" t="s">
        <v>2041</v>
      </c>
    </row>
    <row r="1047" spans="1:11">
      <c r="A1047" s="14" t="s">
        <v>18836</v>
      </c>
      <c r="B1047" s="14" t="s">
        <v>18837</v>
      </c>
      <c r="C1047" s="14" t="s">
        <v>16090</v>
      </c>
      <c r="D1047" s="14">
        <v>1</v>
      </c>
      <c r="E1047" s="14">
        <v>1239</v>
      </c>
      <c r="F1047" s="14">
        <v>14</v>
      </c>
      <c r="G1047" s="14">
        <v>15605</v>
      </c>
      <c r="H1047" s="14">
        <v>0.686100449823803</v>
      </c>
      <c r="I1047" s="14">
        <v>0.927566265655832</v>
      </c>
      <c r="J1047" s="14">
        <v>0.89963103885622</v>
      </c>
      <c r="K1047" s="14" t="s">
        <v>9581</v>
      </c>
    </row>
    <row r="1048" spans="1:11">
      <c r="A1048" s="14" t="s">
        <v>17439</v>
      </c>
      <c r="B1048" s="14" t="s">
        <v>17440</v>
      </c>
      <c r="C1048" s="14" t="s">
        <v>16090</v>
      </c>
      <c r="D1048" s="14">
        <v>1</v>
      </c>
      <c r="E1048" s="14">
        <v>1239</v>
      </c>
      <c r="F1048" s="14">
        <v>14</v>
      </c>
      <c r="G1048" s="14">
        <v>15605</v>
      </c>
      <c r="H1048" s="14">
        <v>0.686100449823803</v>
      </c>
      <c r="I1048" s="14">
        <v>0.927566265655832</v>
      </c>
      <c r="J1048" s="14">
        <v>0.89963103885622</v>
      </c>
      <c r="K1048" s="14" t="s">
        <v>1825</v>
      </c>
    </row>
    <row r="1049" spans="1:11">
      <c r="A1049" s="14" t="s">
        <v>18840</v>
      </c>
      <c r="B1049" s="14" t="s">
        <v>18841</v>
      </c>
      <c r="C1049" s="14" t="s">
        <v>16090</v>
      </c>
      <c r="D1049" s="14">
        <v>1</v>
      </c>
      <c r="E1049" s="14">
        <v>1239</v>
      </c>
      <c r="F1049" s="14">
        <v>14</v>
      </c>
      <c r="G1049" s="14">
        <v>15605</v>
      </c>
      <c r="H1049" s="14">
        <v>0.686100449823803</v>
      </c>
      <c r="I1049" s="14">
        <v>0.927566265655832</v>
      </c>
      <c r="J1049" s="14">
        <v>0.89963103885622</v>
      </c>
      <c r="K1049" s="14" t="s">
        <v>1610</v>
      </c>
    </row>
    <row r="1050" spans="1:11">
      <c r="A1050" s="14" t="s">
        <v>17441</v>
      </c>
      <c r="B1050" s="14" t="s">
        <v>17442</v>
      </c>
      <c r="C1050" s="14" t="s">
        <v>16096</v>
      </c>
      <c r="D1050" s="14">
        <v>1</v>
      </c>
      <c r="E1050" s="14">
        <v>1239</v>
      </c>
      <c r="F1050" s="14">
        <v>14</v>
      </c>
      <c r="G1050" s="14">
        <v>15605</v>
      </c>
      <c r="H1050" s="14">
        <v>0.686100449823803</v>
      </c>
      <c r="I1050" s="14">
        <v>0.927566265655832</v>
      </c>
      <c r="J1050" s="14">
        <v>0.89963103885622</v>
      </c>
      <c r="K1050" s="14" t="s">
        <v>10707</v>
      </c>
    </row>
    <row r="1051" spans="1:11">
      <c r="A1051" s="14" t="s">
        <v>18842</v>
      </c>
      <c r="B1051" s="14" t="s">
        <v>18843</v>
      </c>
      <c r="C1051" s="14" t="s">
        <v>16090</v>
      </c>
      <c r="D1051" s="14">
        <v>1</v>
      </c>
      <c r="E1051" s="14">
        <v>1239</v>
      </c>
      <c r="F1051" s="14">
        <v>14</v>
      </c>
      <c r="G1051" s="14">
        <v>15605</v>
      </c>
      <c r="H1051" s="14">
        <v>0.686100449823803</v>
      </c>
      <c r="I1051" s="14">
        <v>0.927566265655832</v>
      </c>
      <c r="J1051" s="14">
        <v>0.89963103885622</v>
      </c>
      <c r="K1051" s="14" t="s">
        <v>9645</v>
      </c>
    </row>
    <row r="1052" spans="1:11">
      <c r="A1052" s="14" t="s">
        <v>21110</v>
      </c>
      <c r="B1052" s="14" t="s">
        <v>21111</v>
      </c>
      <c r="C1052" s="14" t="s">
        <v>16090</v>
      </c>
      <c r="D1052" s="14">
        <v>1</v>
      </c>
      <c r="E1052" s="14">
        <v>1239</v>
      </c>
      <c r="F1052" s="14">
        <v>14</v>
      </c>
      <c r="G1052" s="14">
        <v>15605</v>
      </c>
      <c r="H1052" s="14">
        <v>0.686100449823803</v>
      </c>
      <c r="I1052" s="14">
        <v>0.927566265655832</v>
      </c>
      <c r="J1052" s="14">
        <v>0.89963103885622</v>
      </c>
      <c r="K1052" s="14" t="s">
        <v>4322</v>
      </c>
    </row>
    <row r="1053" spans="1:11">
      <c r="A1053" s="14" t="s">
        <v>17446</v>
      </c>
      <c r="B1053" s="14" t="s">
        <v>17447</v>
      </c>
      <c r="C1053" s="14" t="s">
        <v>16086</v>
      </c>
      <c r="D1053" s="14">
        <v>1</v>
      </c>
      <c r="E1053" s="14">
        <v>1239</v>
      </c>
      <c r="F1053" s="14">
        <v>14</v>
      </c>
      <c r="G1053" s="14">
        <v>15605</v>
      </c>
      <c r="H1053" s="14">
        <v>0.686100449823803</v>
      </c>
      <c r="I1053" s="14">
        <v>0.927566265655832</v>
      </c>
      <c r="J1053" s="14">
        <v>0.89963103885622</v>
      </c>
      <c r="K1053" s="14" t="s">
        <v>11328</v>
      </c>
    </row>
    <row r="1054" spans="1:11">
      <c r="A1054" s="14" t="s">
        <v>21112</v>
      </c>
      <c r="B1054" s="14" t="s">
        <v>21113</v>
      </c>
      <c r="C1054" s="14" t="s">
        <v>16090</v>
      </c>
      <c r="D1054" s="14">
        <v>1</v>
      </c>
      <c r="E1054" s="14">
        <v>1239</v>
      </c>
      <c r="F1054" s="14">
        <v>14</v>
      </c>
      <c r="G1054" s="14">
        <v>15605</v>
      </c>
      <c r="H1054" s="14">
        <v>0.686100449823803</v>
      </c>
      <c r="I1054" s="14">
        <v>0.927566265655832</v>
      </c>
      <c r="J1054" s="14">
        <v>0.89963103885622</v>
      </c>
      <c r="K1054" s="14" t="s">
        <v>13522</v>
      </c>
    </row>
    <row r="1055" spans="1:11">
      <c r="A1055" s="14" t="s">
        <v>21114</v>
      </c>
      <c r="B1055" s="14" t="s">
        <v>21115</v>
      </c>
      <c r="C1055" s="14" t="s">
        <v>16090</v>
      </c>
      <c r="D1055" s="14">
        <v>1</v>
      </c>
      <c r="E1055" s="14">
        <v>1239</v>
      </c>
      <c r="F1055" s="14">
        <v>14</v>
      </c>
      <c r="G1055" s="14">
        <v>15605</v>
      </c>
      <c r="H1055" s="14">
        <v>0.686100449823803</v>
      </c>
      <c r="I1055" s="14">
        <v>0.927566265655832</v>
      </c>
      <c r="J1055" s="14">
        <v>0.89963103885622</v>
      </c>
      <c r="K1055" s="14" t="s">
        <v>1979</v>
      </c>
    </row>
    <row r="1056" spans="1:11">
      <c r="A1056" s="14" t="s">
        <v>21116</v>
      </c>
      <c r="B1056" s="14" t="s">
        <v>21117</v>
      </c>
      <c r="C1056" s="14" t="s">
        <v>16086</v>
      </c>
      <c r="D1056" s="14">
        <v>1</v>
      </c>
      <c r="E1056" s="14">
        <v>1239</v>
      </c>
      <c r="F1056" s="14">
        <v>14</v>
      </c>
      <c r="G1056" s="14">
        <v>15605</v>
      </c>
      <c r="H1056" s="14">
        <v>0.686100449823803</v>
      </c>
      <c r="I1056" s="14">
        <v>0.927566265655832</v>
      </c>
      <c r="J1056" s="14">
        <v>0.89963103885622</v>
      </c>
      <c r="K1056" s="14" t="s">
        <v>10088</v>
      </c>
    </row>
    <row r="1057" spans="1:11">
      <c r="A1057" s="14" t="s">
        <v>21118</v>
      </c>
      <c r="B1057" s="14" t="s">
        <v>21119</v>
      </c>
      <c r="C1057" s="14" t="s">
        <v>16090</v>
      </c>
      <c r="D1057" s="14">
        <v>1</v>
      </c>
      <c r="E1057" s="14">
        <v>1239</v>
      </c>
      <c r="F1057" s="14">
        <v>14</v>
      </c>
      <c r="G1057" s="14">
        <v>15605</v>
      </c>
      <c r="H1057" s="14">
        <v>0.686100449823803</v>
      </c>
      <c r="I1057" s="14">
        <v>0.927566265655832</v>
      </c>
      <c r="J1057" s="14">
        <v>0.89963103885622</v>
      </c>
      <c r="K1057" s="14" t="s">
        <v>911</v>
      </c>
    </row>
    <row r="1058" spans="1:11">
      <c r="A1058" s="14" t="s">
        <v>21120</v>
      </c>
      <c r="B1058" s="14" t="s">
        <v>21121</v>
      </c>
      <c r="C1058" s="14" t="s">
        <v>16090</v>
      </c>
      <c r="D1058" s="14">
        <v>1</v>
      </c>
      <c r="E1058" s="14">
        <v>1239</v>
      </c>
      <c r="F1058" s="14">
        <v>14</v>
      </c>
      <c r="G1058" s="14">
        <v>15605</v>
      </c>
      <c r="H1058" s="14">
        <v>0.686100449823803</v>
      </c>
      <c r="I1058" s="14">
        <v>0.927566265655832</v>
      </c>
      <c r="J1058" s="14">
        <v>0.89963103885622</v>
      </c>
      <c r="K1058" s="14" t="s">
        <v>14454</v>
      </c>
    </row>
    <row r="1059" spans="1:11">
      <c r="A1059" s="14" t="s">
        <v>17452</v>
      </c>
      <c r="B1059" s="14" t="s">
        <v>17453</v>
      </c>
      <c r="C1059" s="14" t="s">
        <v>16090</v>
      </c>
      <c r="D1059" s="14">
        <v>1</v>
      </c>
      <c r="E1059" s="14">
        <v>1239</v>
      </c>
      <c r="F1059" s="14">
        <v>14</v>
      </c>
      <c r="G1059" s="14">
        <v>15605</v>
      </c>
      <c r="H1059" s="14">
        <v>0.686100449823803</v>
      </c>
      <c r="I1059" s="14">
        <v>0.927566265655832</v>
      </c>
      <c r="J1059" s="14">
        <v>0.89963103885622</v>
      </c>
      <c r="K1059" s="14" t="s">
        <v>5989</v>
      </c>
    </row>
    <row r="1060" spans="1:11">
      <c r="A1060" s="14" t="s">
        <v>18965</v>
      </c>
      <c r="B1060" s="14" t="s">
        <v>18966</v>
      </c>
      <c r="C1060" s="14" t="s">
        <v>16090</v>
      </c>
      <c r="D1060" s="14">
        <v>6</v>
      </c>
      <c r="E1060" s="14">
        <v>1239</v>
      </c>
      <c r="F1060" s="14">
        <v>86</v>
      </c>
      <c r="G1060" s="14">
        <v>15605</v>
      </c>
      <c r="H1060" s="14">
        <v>0.687641625600363</v>
      </c>
      <c r="I1060" s="14">
        <v>0.927894129351198</v>
      </c>
      <c r="J1060" s="14">
        <v>0.878709386789797</v>
      </c>
      <c r="K1060" s="14" t="s">
        <v>21122</v>
      </c>
    </row>
    <row r="1061" spans="1:11">
      <c r="A1061" s="14" t="s">
        <v>19249</v>
      </c>
      <c r="B1061" s="14" t="s">
        <v>19250</v>
      </c>
      <c r="C1061" s="14" t="s">
        <v>16090</v>
      </c>
      <c r="D1061" s="14">
        <v>6</v>
      </c>
      <c r="E1061" s="14">
        <v>1239</v>
      </c>
      <c r="F1061" s="14">
        <v>86</v>
      </c>
      <c r="G1061" s="14">
        <v>15605</v>
      </c>
      <c r="H1061" s="14">
        <v>0.687641625600363</v>
      </c>
      <c r="I1061" s="14">
        <v>0.927894129351198</v>
      </c>
      <c r="J1061" s="14">
        <v>0.878709386789797</v>
      </c>
      <c r="K1061" s="14" t="s">
        <v>21123</v>
      </c>
    </row>
    <row r="1062" spans="1:11">
      <c r="A1062" s="14" t="s">
        <v>19637</v>
      </c>
      <c r="B1062" s="14" t="s">
        <v>19638</v>
      </c>
      <c r="C1062" s="14" t="s">
        <v>16086</v>
      </c>
      <c r="D1062" s="14">
        <v>15</v>
      </c>
      <c r="E1062" s="14">
        <v>1239</v>
      </c>
      <c r="F1062" s="14">
        <v>208</v>
      </c>
      <c r="G1062" s="14">
        <v>15605</v>
      </c>
      <c r="H1062" s="14">
        <v>0.689266377423605</v>
      </c>
      <c r="I1062" s="14">
        <v>0.929209106922954</v>
      </c>
      <c r="J1062" s="14">
        <v>0.908281337306761</v>
      </c>
      <c r="K1062" s="14" t="s">
        <v>21124</v>
      </c>
    </row>
    <row r="1063" spans="1:11">
      <c r="A1063" s="14" t="s">
        <v>16467</v>
      </c>
      <c r="B1063" s="14" t="s">
        <v>16468</v>
      </c>
      <c r="C1063" s="14" t="s">
        <v>16090</v>
      </c>
      <c r="D1063" s="14">
        <v>9</v>
      </c>
      <c r="E1063" s="14">
        <v>1239</v>
      </c>
      <c r="F1063" s="14">
        <v>128</v>
      </c>
      <c r="G1063" s="14">
        <v>15605</v>
      </c>
      <c r="H1063" s="14">
        <v>0.695969363003334</v>
      </c>
      <c r="I1063" s="14">
        <v>0.937361187306093</v>
      </c>
      <c r="J1063" s="14">
        <v>0.885574303874092</v>
      </c>
      <c r="K1063" s="14" t="s">
        <v>21125</v>
      </c>
    </row>
    <row r="1064" spans="1:11">
      <c r="A1064" s="14" t="s">
        <v>21126</v>
      </c>
      <c r="B1064" s="14" t="s">
        <v>21127</v>
      </c>
      <c r="C1064" s="14" t="s">
        <v>16090</v>
      </c>
      <c r="D1064" s="14">
        <v>2</v>
      </c>
      <c r="E1064" s="14">
        <v>1239</v>
      </c>
      <c r="F1064" s="14">
        <v>30</v>
      </c>
      <c r="G1064" s="14">
        <v>15605</v>
      </c>
      <c r="H1064" s="14">
        <v>0.700411484646898</v>
      </c>
      <c r="I1064" s="14">
        <v>0.940684221391369</v>
      </c>
      <c r="J1064" s="14">
        <v>0.839655636265806</v>
      </c>
      <c r="K1064" s="14" t="s">
        <v>21128</v>
      </c>
    </row>
    <row r="1065" spans="1:11">
      <c r="A1065" s="14" t="s">
        <v>19364</v>
      </c>
      <c r="B1065" s="14" t="s">
        <v>19365</v>
      </c>
      <c r="C1065" s="14" t="s">
        <v>16090</v>
      </c>
      <c r="D1065" s="14">
        <v>2</v>
      </c>
      <c r="E1065" s="14">
        <v>1239</v>
      </c>
      <c r="F1065" s="14">
        <v>30</v>
      </c>
      <c r="G1065" s="14">
        <v>15605</v>
      </c>
      <c r="H1065" s="14">
        <v>0.700411484646898</v>
      </c>
      <c r="I1065" s="14">
        <v>0.940684221391369</v>
      </c>
      <c r="J1065" s="14">
        <v>0.839655636265806</v>
      </c>
      <c r="K1065" s="14" t="s">
        <v>21129</v>
      </c>
    </row>
    <row r="1066" spans="1:11">
      <c r="A1066" s="14" t="s">
        <v>19366</v>
      </c>
      <c r="B1066" s="14" t="s">
        <v>19367</v>
      </c>
      <c r="C1066" s="14" t="s">
        <v>16086</v>
      </c>
      <c r="D1066" s="14">
        <v>2</v>
      </c>
      <c r="E1066" s="14">
        <v>1239</v>
      </c>
      <c r="F1066" s="14">
        <v>30</v>
      </c>
      <c r="G1066" s="14">
        <v>15605</v>
      </c>
      <c r="H1066" s="14">
        <v>0.700411484646898</v>
      </c>
      <c r="I1066" s="14">
        <v>0.940684221391369</v>
      </c>
      <c r="J1066" s="14">
        <v>0.839655636265806</v>
      </c>
      <c r="K1066" s="14" t="s">
        <v>21130</v>
      </c>
    </row>
    <row r="1067" spans="1:11">
      <c r="A1067" s="14" t="s">
        <v>18750</v>
      </c>
      <c r="B1067" s="14" t="s">
        <v>18751</v>
      </c>
      <c r="C1067" s="14" t="s">
        <v>16096</v>
      </c>
      <c r="D1067" s="14">
        <v>8</v>
      </c>
      <c r="E1067" s="14">
        <v>1239</v>
      </c>
      <c r="F1067" s="14">
        <v>115</v>
      </c>
      <c r="G1067" s="14">
        <v>15605</v>
      </c>
      <c r="H1067" s="14">
        <v>0.702134676073797</v>
      </c>
      <c r="I1067" s="14">
        <v>0.941178417033636</v>
      </c>
      <c r="J1067" s="14">
        <v>0.876162403059971</v>
      </c>
      <c r="K1067" s="14" t="s">
        <v>21131</v>
      </c>
    </row>
    <row r="1068" spans="1:11">
      <c r="A1068" s="14" t="s">
        <v>16228</v>
      </c>
      <c r="B1068" s="14" t="s">
        <v>16229</v>
      </c>
      <c r="C1068" s="14" t="s">
        <v>16090</v>
      </c>
      <c r="D1068" s="14">
        <v>21</v>
      </c>
      <c r="E1068" s="14">
        <v>1239</v>
      </c>
      <c r="F1068" s="14">
        <v>291</v>
      </c>
      <c r="G1068" s="14">
        <v>15605</v>
      </c>
      <c r="H1068" s="14">
        <v>0.708757551469947</v>
      </c>
      <c r="I1068" s="14">
        <v>0.941178417033636</v>
      </c>
      <c r="J1068" s="14">
        <v>0.908905585648553</v>
      </c>
      <c r="K1068" s="14" t="s">
        <v>21132</v>
      </c>
    </row>
    <row r="1069" spans="1:11">
      <c r="A1069" s="14" t="s">
        <v>17634</v>
      </c>
      <c r="B1069" s="14" t="s">
        <v>17635</v>
      </c>
      <c r="C1069" s="14" t="s">
        <v>16086</v>
      </c>
      <c r="D1069" s="14">
        <v>1</v>
      </c>
      <c r="E1069" s="14">
        <v>1239</v>
      </c>
      <c r="F1069" s="14">
        <v>15</v>
      </c>
      <c r="G1069" s="14">
        <v>15605</v>
      </c>
      <c r="H1069" s="14">
        <v>0.711045709439499</v>
      </c>
      <c r="I1069" s="14">
        <v>0.941178417033636</v>
      </c>
      <c r="J1069" s="14">
        <v>0.839655636265806</v>
      </c>
      <c r="K1069" s="14" t="s">
        <v>8940</v>
      </c>
    </row>
    <row r="1070" spans="1:11">
      <c r="A1070" s="14" t="s">
        <v>18876</v>
      </c>
      <c r="B1070" s="14" t="s">
        <v>18877</v>
      </c>
      <c r="C1070" s="14" t="s">
        <v>16086</v>
      </c>
      <c r="D1070" s="14">
        <v>1</v>
      </c>
      <c r="E1070" s="14">
        <v>1239</v>
      </c>
      <c r="F1070" s="14">
        <v>15</v>
      </c>
      <c r="G1070" s="14">
        <v>15605</v>
      </c>
      <c r="H1070" s="14">
        <v>0.711045709439499</v>
      </c>
      <c r="I1070" s="14">
        <v>0.941178417033636</v>
      </c>
      <c r="J1070" s="14">
        <v>0.839655636265806</v>
      </c>
      <c r="K1070" s="14" t="s">
        <v>4297</v>
      </c>
    </row>
    <row r="1071" spans="1:11">
      <c r="A1071" s="14" t="s">
        <v>18880</v>
      </c>
      <c r="B1071" s="14" t="s">
        <v>18881</v>
      </c>
      <c r="C1071" s="14" t="s">
        <v>16096</v>
      </c>
      <c r="D1071" s="14">
        <v>1</v>
      </c>
      <c r="E1071" s="14">
        <v>1239</v>
      </c>
      <c r="F1071" s="14">
        <v>15</v>
      </c>
      <c r="G1071" s="14">
        <v>15605</v>
      </c>
      <c r="H1071" s="14">
        <v>0.711045709439499</v>
      </c>
      <c r="I1071" s="14">
        <v>0.941178417033636</v>
      </c>
      <c r="J1071" s="14">
        <v>0.839655636265806</v>
      </c>
      <c r="K1071" s="14" t="s">
        <v>1574</v>
      </c>
    </row>
    <row r="1072" spans="1:11">
      <c r="A1072" s="14" t="s">
        <v>18890</v>
      </c>
      <c r="B1072" s="14" t="s">
        <v>18891</v>
      </c>
      <c r="C1072" s="14" t="s">
        <v>16090</v>
      </c>
      <c r="D1072" s="14">
        <v>1</v>
      </c>
      <c r="E1072" s="14">
        <v>1239</v>
      </c>
      <c r="F1072" s="14">
        <v>15</v>
      </c>
      <c r="G1072" s="14">
        <v>15605</v>
      </c>
      <c r="H1072" s="14">
        <v>0.711045709439499</v>
      </c>
      <c r="I1072" s="14">
        <v>0.941178417033636</v>
      </c>
      <c r="J1072" s="14">
        <v>0.839655636265806</v>
      </c>
      <c r="K1072" s="14" t="s">
        <v>4851</v>
      </c>
    </row>
    <row r="1073" spans="1:11">
      <c r="A1073" s="14" t="s">
        <v>17637</v>
      </c>
      <c r="B1073" s="14" t="s">
        <v>17638</v>
      </c>
      <c r="C1073" s="14" t="s">
        <v>16090</v>
      </c>
      <c r="D1073" s="14">
        <v>1</v>
      </c>
      <c r="E1073" s="14">
        <v>1239</v>
      </c>
      <c r="F1073" s="14">
        <v>15</v>
      </c>
      <c r="G1073" s="14">
        <v>15605</v>
      </c>
      <c r="H1073" s="14">
        <v>0.711045709439499</v>
      </c>
      <c r="I1073" s="14">
        <v>0.941178417033636</v>
      </c>
      <c r="J1073" s="14">
        <v>0.839655636265806</v>
      </c>
      <c r="K1073" s="14" t="s">
        <v>12069</v>
      </c>
    </row>
    <row r="1074" spans="1:11">
      <c r="A1074" s="14" t="s">
        <v>17640</v>
      </c>
      <c r="B1074" s="14" t="s">
        <v>17641</v>
      </c>
      <c r="C1074" s="14" t="s">
        <v>16086</v>
      </c>
      <c r="D1074" s="14">
        <v>1</v>
      </c>
      <c r="E1074" s="14">
        <v>1239</v>
      </c>
      <c r="F1074" s="14">
        <v>15</v>
      </c>
      <c r="G1074" s="14">
        <v>15605</v>
      </c>
      <c r="H1074" s="14">
        <v>0.711045709439499</v>
      </c>
      <c r="I1074" s="14">
        <v>0.941178417033636</v>
      </c>
      <c r="J1074" s="14">
        <v>0.839655636265806</v>
      </c>
      <c r="K1074" s="14" t="s">
        <v>11127</v>
      </c>
    </row>
    <row r="1075" spans="1:11">
      <c r="A1075" s="14" t="s">
        <v>16492</v>
      </c>
      <c r="B1075" s="14" t="s">
        <v>16493</v>
      </c>
      <c r="C1075" s="14" t="s">
        <v>16090</v>
      </c>
      <c r="D1075" s="14">
        <v>1</v>
      </c>
      <c r="E1075" s="14">
        <v>1239</v>
      </c>
      <c r="F1075" s="14">
        <v>15</v>
      </c>
      <c r="G1075" s="14">
        <v>15605</v>
      </c>
      <c r="H1075" s="14">
        <v>0.711045709439499</v>
      </c>
      <c r="I1075" s="14">
        <v>0.941178417033636</v>
      </c>
      <c r="J1075" s="14">
        <v>0.839655636265806</v>
      </c>
      <c r="K1075" s="14" t="s">
        <v>11127</v>
      </c>
    </row>
    <row r="1076" spans="1:11">
      <c r="A1076" s="14" t="s">
        <v>17649</v>
      </c>
      <c r="B1076" s="14" t="s">
        <v>17650</v>
      </c>
      <c r="C1076" s="14" t="s">
        <v>16090</v>
      </c>
      <c r="D1076" s="14">
        <v>1</v>
      </c>
      <c r="E1076" s="14">
        <v>1239</v>
      </c>
      <c r="F1076" s="14">
        <v>15</v>
      </c>
      <c r="G1076" s="14">
        <v>15605</v>
      </c>
      <c r="H1076" s="14">
        <v>0.711045709439499</v>
      </c>
      <c r="I1076" s="14">
        <v>0.941178417033636</v>
      </c>
      <c r="J1076" s="14">
        <v>0.839655636265806</v>
      </c>
      <c r="K1076" s="14" t="s">
        <v>4558</v>
      </c>
    </row>
    <row r="1077" spans="1:11">
      <c r="A1077" s="14" t="s">
        <v>21133</v>
      </c>
      <c r="B1077" s="14" t="s">
        <v>21134</v>
      </c>
      <c r="C1077" s="14" t="s">
        <v>16090</v>
      </c>
      <c r="D1077" s="14">
        <v>1</v>
      </c>
      <c r="E1077" s="14">
        <v>1239</v>
      </c>
      <c r="F1077" s="14">
        <v>15</v>
      </c>
      <c r="G1077" s="14">
        <v>15605</v>
      </c>
      <c r="H1077" s="14">
        <v>0.711045709439499</v>
      </c>
      <c r="I1077" s="14">
        <v>0.941178417033636</v>
      </c>
      <c r="J1077" s="14">
        <v>0.839655636265806</v>
      </c>
      <c r="K1077" s="14" t="s">
        <v>10505</v>
      </c>
    </row>
    <row r="1078" spans="1:11">
      <c r="A1078" s="14" t="s">
        <v>18902</v>
      </c>
      <c r="B1078" s="14" t="s">
        <v>18903</v>
      </c>
      <c r="C1078" s="14" t="s">
        <v>16090</v>
      </c>
      <c r="D1078" s="14">
        <v>1</v>
      </c>
      <c r="E1078" s="14">
        <v>1239</v>
      </c>
      <c r="F1078" s="14">
        <v>15</v>
      </c>
      <c r="G1078" s="14">
        <v>15605</v>
      </c>
      <c r="H1078" s="14">
        <v>0.711045709439499</v>
      </c>
      <c r="I1078" s="14">
        <v>0.941178417033636</v>
      </c>
      <c r="J1078" s="14">
        <v>0.839655636265806</v>
      </c>
      <c r="K1078" s="14" t="s">
        <v>14998</v>
      </c>
    </row>
    <row r="1079" spans="1:11">
      <c r="A1079" s="14" t="s">
        <v>18904</v>
      </c>
      <c r="B1079" s="14" t="s">
        <v>18905</v>
      </c>
      <c r="C1079" s="14" t="s">
        <v>16090</v>
      </c>
      <c r="D1079" s="14">
        <v>1</v>
      </c>
      <c r="E1079" s="14">
        <v>1239</v>
      </c>
      <c r="F1079" s="14">
        <v>15</v>
      </c>
      <c r="G1079" s="14">
        <v>15605</v>
      </c>
      <c r="H1079" s="14">
        <v>0.711045709439499</v>
      </c>
      <c r="I1079" s="14">
        <v>0.941178417033636</v>
      </c>
      <c r="J1079" s="14">
        <v>0.839655636265806</v>
      </c>
      <c r="K1079" s="14" t="s">
        <v>7081</v>
      </c>
    </row>
    <row r="1080" spans="1:11">
      <c r="A1080" s="14" t="s">
        <v>18908</v>
      </c>
      <c r="B1080" s="14" t="s">
        <v>18909</v>
      </c>
      <c r="C1080" s="14" t="s">
        <v>16096</v>
      </c>
      <c r="D1080" s="14">
        <v>1</v>
      </c>
      <c r="E1080" s="14">
        <v>1239</v>
      </c>
      <c r="F1080" s="14">
        <v>15</v>
      </c>
      <c r="G1080" s="14">
        <v>15605</v>
      </c>
      <c r="H1080" s="14">
        <v>0.711045709439499</v>
      </c>
      <c r="I1080" s="14">
        <v>0.941178417033636</v>
      </c>
      <c r="J1080" s="14">
        <v>0.839655636265806</v>
      </c>
      <c r="K1080" s="14" t="s">
        <v>8504</v>
      </c>
    </row>
    <row r="1081" spans="1:11">
      <c r="A1081" s="14" t="s">
        <v>16241</v>
      </c>
      <c r="B1081" s="14" t="s">
        <v>16242</v>
      </c>
      <c r="C1081" s="14" t="s">
        <v>16090</v>
      </c>
      <c r="D1081" s="14">
        <v>17</v>
      </c>
      <c r="E1081" s="14">
        <v>1239</v>
      </c>
      <c r="F1081" s="14">
        <v>238</v>
      </c>
      <c r="G1081" s="14">
        <v>15605</v>
      </c>
      <c r="H1081" s="14">
        <v>0.711132288090724</v>
      </c>
      <c r="I1081" s="14">
        <v>0.941178417033636</v>
      </c>
      <c r="J1081" s="14">
        <v>0.89963103885622</v>
      </c>
      <c r="K1081" s="14" t="s">
        <v>21135</v>
      </c>
    </row>
    <row r="1082" spans="1:11">
      <c r="A1082" s="14" t="s">
        <v>18528</v>
      </c>
      <c r="B1082" s="14" t="s">
        <v>18529</v>
      </c>
      <c r="C1082" s="14" t="s">
        <v>16090</v>
      </c>
      <c r="D1082" s="14">
        <v>4</v>
      </c>
      <c r="E1082" s="14">
        <v>1239</v>
      </c>
      <c r="F1082" s="14">
        <v>60</v>
      </c>
      <c r="G1082" s="14">
        <v>15605</v>
      </c>
      <c r="H1082" s="14">
        <v>0.711976115334752</v>
      </c>
      <c r="I1082" s="14">
        <v>0.941178417033636</v>
      </c>
      <c r="J1082" s="14">
        <v>0.839655636265806</v>
      </c>
      <c r="K1082" s="14" t="s">
        <v>21136</v>
      </c>
    </row>
    <row r="1083" spans="1:11">
      <c r="A1083" s="14" t="s">
        <v>17268</v>
      </c>
      <c r="B1083" s="14" t="s">
        <v>17269</v>
      </c>
      <c r="C1083" s="14" t="s">
        <v>16090</v>
      </c>
      <c r="D1083" s="14">
        <v>4</v>
      </c>
      <c r="E1083" s="14">
        <v>1239</v>
      </c>
      <c r="F1083" s="14">
        <v>60</v>
      </c>
      <c r="G1083" s="14">
        <v>15605</v>
      </c>
      <c r="H1083" s="14">
        <v>0.711976115334752</v>
      </c>
      <c r="I1083" s="14">
        <v>0.941178417033636</v>
      </c>
      <c r="J1083" s="14">
        <v>0.839655636265806</v>
      </c>
      <c r="K1083" s="14" t="s">
        <v>21137</v>
      </c>
    </row>
    <row r="1084" spans="1:11">
      <c r="A1084" s="14" t="s">
        <v>18953</v>
      </c>
      <c r="B1084" s="14" t="s">
        <v>18954</v>
      </c>
      <c r="C1084" s="14" t="s">
        <v>16090</v>
      </c>
      <c r="D1084" s="14">
        <v>2</v>
      </c>
      <c r="E1084" s="14">
        <v>1239</v>
      </c>
      <c r="F1084" s="14">
        <v>31</v>
      </c>
      <c r="G1084" s="14">
        <v>15605</v>
      </c>
      <c r="H1084" s="14">
        <v>0.717596267781713</v>
      </c>
      <c r="I1084" s="14">
        <v>0.943371726458204</v>
      </c>
      <c r="J1084" s="14">
        <v>0.812569970579812</v>
      </c>
      <c r="K1084" s="14" t="s">
        <v>21138</v>
      </c>
    </row>
    <row r="1085" spans="1:11">
      <c r="A1085" s="14" t="s">
        <v>19393</v>
      </c>
      <c r="B1085" s="14" t="s">
        <v>19394</v>
      </c>
      <c r="C1085" s="14" t="s">
        <v>16086</v>
      </c>
      <c r="D1085" s="14">
        <v>2</v>
      </c>
      <c r="E1085" s="14">
        <v>1239</v>
      </c>
      <c r="F1085" s="14">
        <v>31</v>
      </c>
      <c r="G1085" s="14">
        <v>15605</v>
      </c>
      <c r="H1085" s="14">
        <v>0.717596267781713</v>
      </c>
      <c r="I1085" s="14">
        <v>0.943371726458204</v>
      </c>
      <c r="J1085" s="14">
        <v>0.812569970579812</v>
      </c>
      <c r="K1085" s="14" t="s">
        <v>20795</v>
      </c>
    </row>
    <row r="1086" spans="1:11">
      <c r="A1086" s="14" t="s">
        <v>21139</v>
      </c>
      <c r="B1086" s="14" t="s">
        <v>21140</v>
      </c>
      <c r="C1086" s="14" t="s">
        <v>16090</v>
      </c>
      <c r="D1086" s="14">
        <v>2</v>
      </c>
      <c r="E1086" s="14">
        <v>1239</v>
      </c>
      <c r="F1086" s="14">
        <v>31</v>
      </c>
      <c r="G1086" s="14">
        <v>15605</v>
      </c>
      <c r="H1086" s="14">
        <v>0.717596267781713</v>
      </c>
      <c r="I1086" s="14">
        <v>0.943371726458204</v>
      </c>
      <c r="J1086" s="14">
        <v>0.812569970579812</v>
      </c>
      <c r="K1086" s="14" t="s">
        <v>21141</v>
      </c>
    </row>
    <row r="1087" spans="1:11">
      <c r="A1087" s="14" t="s">
        <v>18959</v>
      </c>
      <c r="B1087" s="14" t="s">
        <v>18960</v>
      </c>
      <c r="C1087" s="14" t="s">
        <v>16096</v>
      </c>
      <c r="D1087" s="14">
        <v>2</v>
      </c>
      <c r="E1087" s="14">
        <v>1239</v>
      </c>
      <c r="F1087" s="14">
        <v>31</v>
      </c>
      <c r="G1087" s="14">
        <v>15605</v>
      </c>
      <c r="H1087" s="14">
        <v>0.717596267781713</v>
      </c>
      <c r="I1087" s="14">
        <v>0.943371726458204</v>
      </c>
      <c r="J1087" s="14">
        <v>0.812569970579812</v>
      </c>
      <c r="K1087" s="14" t="s">
        <v>21142</v>
      </c>
    </row>
    <row r="1088" spans="1:11">
      <c r="A1088" s="14" t="s">
        <v>19397</v>
      </c>
      <c r="B1088" s="14" t="s">
        <v>19398</v>
      </c>
      <c r="C1088" s="14" t="s">
        <v>16090</v>
      </c>
      <c r="D1088" s="14">
        <v>2</v>
      </c>
      <c r="E1088" s="14">
        <v>1239</v>
      </c>
      <c r="F1088" s="14">
        <v>31</v>
      </c>
      <c r="G1088" s="14">
        <v>15605</v>
      </c>
      <c r="H1088" s="14">
        <v>0.717596267781713</v>
      </c>
      <c r="I1088" s="14">
        <v>0.943371726458204</v>
      </c>
      <c r="J1088" s="14">
        <v>0.812569970579812</v>
      </c>
      <c r="K1088" s="14" t="s">
        <v>21143</v>
      </c>
    </row>
    <row r="1089" spans="1:11">
      <c r="A1089" s="14" t="s">
        <v>18214</v>
      </c>
      <c r="B1089" s="14" t="s">
        <v>18215</v>
      </c>
      <c r="C1089" s="14" t="s">
        <v>16090</v>
      </c>
      <c r="D1089" s="14">
        <v>2</v>
      </c>
      <c r="E1089" s="14">
        <v>1239</v>
      </c>
      <c r="F1089" s="14">
        <v>31</v>
      </c>
      <c r="G1089" s="14">
        <v>15605</v>
      </c>
      <c r="H1089" s="14">
        <v>0.717596267781713</v>
      </c>
      <c r="I1089" s="14">
        <v>0.943371726458204</v>
      </c>
      <c r="J1089" s="14">
        <v>0.812569970579812</v>
      </c>
      <c r="K1089" s="14" t="s">
        <v>21144</v>
      </c>
    </row>
    <row r="1090" spans="1:11">
      <c r="A1090" s="14" t="s">
        <v>16797</v>
      </c>
      <c r="B1090" s="14" t="s">
        <v>16798</v>
      </c>
      <c r="C1090" s="14" t="s">
        <v>16090</v>
      </c>
      <c r="D1090" s="14">
        <v>3</v>
      </c>
      <c r="E1090" s="14">
        <v>1239</v>
      </c>
      <c r="F1090" s="14">
        <v>46</v>
      </c>
      <c r="G1090" s="14">
        <v>15605</v>
      </c>
      <c r="H1090" s="14">
        <v>0.718606483067309</v>
      </c>
      <c r="I1090" s="14">
        <v>0.943671248245005</v>
      </c>
      <c r="J1090" s="14">
        <v>0.821402252868723</v>
      </c>
      <c r="K1090" s="14" t="s">
        <v>21145</v>
      </c>
    </row>
    <row r="1091" spans="1:11">
      <c r="A1091" s="14" t="s">
        <v>16717</v>
      </c>
      <c r="B1091" s="14" t="s">
        <v>16718</v>
      </c>
      <c r="C1091" s="14" t="s">
        <v>16086</v>
      </c>
      <c r="D1091" s="14">
        <v>6</v>
      </c>
      <c r="E1091" s="14">
        <v>1239</v>
      </c>
      <c r="F1091" s="14">
        <v>89</v>
      </c>
      <c r="G1091" s="14">
        <v>15605</v>
      </c>
      <c r="H1091" s="14">
        <v>0.719144849082443</v>
      </c>
      <c r="I1091" s="14">
        <v>0.943671248245005</v>
      </c>
      <c r="J1091" s="14">
        <v>0.849089969257556</v>
      </c>
      <c r="K1091" s="14" t="s">
        <v>21146</v>
      </c>
    </row>
    <row r="1092" spans="1:11">
      <c r="A1092" s="14" t="s">
        <v>16399</v>
      </c>
      <c r="B1092" s="14" t="s">
        <v>16400</v>
      </c>
      <c r="C1092" s="14" t="s">
        <v>16090</v>
      </c>
      <c r="D1092" s="14">
        <v>3</v>
      </c>
      <c r="E1092" s="14">
        <v>1239</v>
      </c>
      <c r="F1092" s="14">
        <v>47</v>
      </c>
      <c r="G1092" s="14">
        <v>15605</v>
      </c>
      <c r="H1092" s="14">
        <v>0.732219992585711</v>
      </c>
      <c r="I1092" s="14">
        <v>0.944955305083622</v>
      </c>
      <c r="J1092" s="14">
        <v>0.803925609190665</v>
      </c>
      <c r="K1092" s="14" t="s">
        <v>21147</v>
      </c>
    </row>
    <row r="1093" spans="1:11">
      <c r="A1093" s="14" t="s">
        <v>19349</v>
      </c>
      <c r="B1093" s="14" t="s">
        <v>19350</v>
      </c>
      <c r="C1093" s="14" t="s">
        <v>16086</v>
      </c>
      <c r="D1093" s="14">
        <v>3</v>
      </c>
      <c r="E1093" s="14">
        <v>1239</v>
      </c>
      <c r="F1093" s="14">
        <v>47</v>
      </c>
      <c r="G1093" s="14">
        <v>15605</v>
      </c>
      <c r="H1093" s="14">
        <v>0.732219992585711</v>
      </c>
      <c r="I1093" s="14">
        <v>0.944955305083622</v>
      </c>
      <c r="J1093" s="14">
        <v>0.803925609190665</v>
      </c>
      <c r="K1093" s="14" t="s">
        <v>21148</v>
      </c>
    </row>
    <row r="1094" spans="1:11">
      <c r="A1094" s="14" t="s">
        <v>19401</v>
      </c>
      <c r="B1094" s="14" t="s">
        <v>19402</v>
      </c>
      <c r="C1094" s="14" t="s">
        <v>16086</v>
      </c>
      <c r="D1094" s="14">
        <v>2</v>
      </c>
      <c r="E1094" s="14">
        <v>1239</v>
      </c>
      <c r="F1094" s="14">
        <v>32</v>
      </c>
      <c r="G1094" s="14">
        <v>15605</v>
      </c>
      <c r="H1094" s="14">
        <v>0.733943438942876</v>
      </c>
      <c r="I1094" s="14">
        <v>0.944955305083622</v>
      </c>
      <c r="J1094" s="14">
        <v>0.787177158999193</v>
      </c>
      <c r="K1094" s="14" t="s">
        <v>21149</v>
      </c>
    </row>
    <row r="1095" spans="1:11">
      <c r="A1095" s="14" t="s">
        <v>18235</v>
      </c>
      <c r="B1095" s="14" t="s">
        <v>18236</v>
      </c>
      <c r="C1095" s="14" t="s">
        <v>16090</v>
      </c>
      <c r="D1095" s="14">
        <v>2</v>
      </c>
      <c r="E1095" s="14">
        <v>1239</v>
      </c>
      <c r="F1095" s="14">
        <v>32</v>
      </c>
      <c r="G1095" s="14">
        <v>15605</v>
      </c>
      <c r="H1095" s="14">
        <v>0.733943438942876</v>
      </c>
      <c r="I1095" s="14">
        <v>0.944955305083622</v>
      </c>
      <c r="J1095" s="14">
        <v>0.787177158999193</v>
      </c>
      <c r="K1095" s="14" t="s">
        <v>20877</v>
      </c>
    </row>
    <row r="1096" spans="1:11">
      <c r="A1096" s="14" t="s">
        <v>19405</v>
      </c>
      <c r="B1096" s="14" t="s">
        <v>19406</v>
      </c>
      <c r="C1096" s="14" t="s">
        <v>16090</v>
      </c>
      <c r="D1096" s="14">
        <v>2</v>
      </c>
      <c r="E1096" s="14">
        <v>1239</v>
      </c>
      <c r="F1096" s="14">
        <v>32</v>
      </c>
      <c r="G1096" s="14">
        <v>15605</v>
      </c>
      <c r="H1096" s="14">
        <v>0.733943438942876</v>
      </c>
      <c r="I1096" s="14">
        <v>0.944955305083622</v>
      </c>
      <c r="J1096" s="14">
        <v>0.787177158999193</v>
      </c>
      <c r="K1096" s="14" t="s">
        <v>21150</v>
      </c>
    </row>
    <row r="1097" spans="1:11">
      <c r="A1097" s="14" t="s">
        <v>16523</v>
      </c>
      <c r="B1097" s="14" t="s">
        <v>16524</v>
      </c>
      <c r="C1097" s="14" t="s">
        <v>16090</v>
      </c>
      <c r="D1097" s="14">
        <v>1</v>
      </c>
      <c r="E1097" s="14">
        <v>1239</v>
      </c>
      <c r="F1097" s="14">
        <v>16</v>
      </c>
      <c r="G1097" s="14">
        <v>15605</v>
      </c>
      <c r="H1097" s="14">
        <v>0.734010069029265</v>
      </c>
      <c r="I1097" s="14">
        <v>0.944955305083622</v>
      </c>
      <c r="J1097" s="14">
        <v>0.787177158999193</v>
      </c>
      <c r="K1097" s="14" t="s">
        <v>9829</v>
      </c>
    </row>
    <row r="1098" spans="1:11">
      <c r="A1098" s="14" t="s">
        <v>21151</v>
      </c>
      <c r="B1098" s="14" t="s">
        <v>21152</v>
      </c>
      <c r="C1098" s="14" t="s">
        <v>16086</v>
      </c>
      <c r="D1098" s="14">
        <v>1</v>
      </c>
      <c r="E1098" s="14">
        <v>1239</v>
      </c>
      <c r="F1098" s="14">
        <v>16</v>
      </c>
      <c r="G1098" s="14">
        <v>15605</v>
      </c>
      <c r="H1098" s="14">
        <v>0.734010069029265</v>
      </c>
      <c r="I1098" s="14">
        <v>0.944955305083622</v>
      </c>
      <c r="J1098" s="14">
        <v>0.787177158999193</v>
      </c>
      <c r="K1098" s="14" t="s">
        <v>6893</v>
      </c>
    </row>
    <row r="1099" spans="1:11">
      <c r="A1099" s="14" t="s">
        <v>21153</v>
      </c>
      <c r="B1099" s="14" t="s">
        <v>21154</v>
      </c>
      <c r="C1099" s="14" t="s">
        <v>16096</v>
      </c>
      <c r="D1099" s="14">
        <v>1</v>
      </c>
      <c r="E1099" s="14">
        <v>1239</v>
      </c>
      <c r="F1099" s="14">
        <v>16</v>
      </c>
      <c r="G1099" s="14">
        <v>15605</v>
      </c>
      <c r="H1099" s="14">
        <v>0.734010069029265</v>
      </c>
      <c r="I1099" s="14">
        <v>0.944955305083622</v>
      </c>
      <c r="J1099" s="14">
        <v>0.787177158999193</v>
      </c>
      <c r="K1099" s="14" t="s">
        <v>11519</v>
      </c>
    </row>
    <row r="1100" spans="1:11">
      <c r="A1100" s="14" t="s">
        <v>21155</v>
      </c>
      <c r="B1100" s="14" t="s">
        <v>21156</v>
      </c>
      <c r="C1100" s="14" t="s">
        <v>16086</v>
      </c>
      <c r="D1100" s="14">
        <v>1</v>
      </c>
      <c r="E1100" s="14">
        <v>1239</v>
      </c>
      <c r="F1100" s="14">
        <v>16</v>
      </c>
      <c r="G1100" s="14">
        <v>15605</v>
      </c>
      <c r="H1100" s="14">
        <v>0.734010069029265</v>
      </c>
      <c r="I1100" s="14">
        <v>0.944955305083622</v>
      </c>
      <c r="J1100" s="14">
        <v>0.787177158999193</v>
      </c>
      <c r="K1100" s="14" t="s">
        <v>3039</v>
      </c>
    </row>
    <row r="1101" spans="1:11">
      <c r="A1101" s="14" t="s">
        <v>18933</v>
      </c>
      <c r="B1101" s="14" t="s">
        <v>18934</v>
      </c>
      <c r="C1101" s="14" t="s">
        <v>16090</v>
      </c>
      <c r="D1101" s="14">
        <v>1</v>
      </c>
      <c r="E1101" s="14">
        <v>1239</v>
      </c>
      <c r="F1101" s="14">
        <v>16</v>
      </c>
      <c r="G1101" s="14">
        <v>15605</v>
      </c>
      <c r="H1101" s="14">
        <v>0.734010069029265</v>
      </c>
      <c r="I1101" s="14">
        <v>0.944955305083622</v>
      </c>
      <c r="J1101" s="14">
        <v>0.787177158999193</v>
      </c>
      <c r="K1101" s="14" t="s">
        <v>12794</v>
      </c>
    </row>
    <row r="1102" spans="1:11">
      <c r="A1102" s="14" t="s">
        <v>18935</v>
      </c>
      <c r="B1102" s="14" t="s">
        <v>18936</v>
      </c>
      <c r="C1102" s="14" t="s">
        <v>16090</v>
      </c>
      <c r="D1102" s="14">
        <v>1</v>
      </c>
      <c r="E1102" s="14">
        <v>1239</v>
      </c>
      <c r="F1102" s="14">
        <v>16</v>
      </c>
      <c r="G1102" s="14">
        <v>15605</v>
      </c>
      <c r="H1102" s="14">
        <v>0.734010069029265</v>
      </c>
      <c r="I1102" s="14">
        <v>0.944955305083622</v>
      </c>
      <c r="J1102" s="14">
        <v>0.787177158999193</v>
      </c>
      <c r="K1102" s="14" t="s">
        <v>1610</v>
      </c>
    </row>
    <row r="1103" spans="1:11">
      <c r="A1103" s="14" t="s">
        <v>16992</v>
      </c>
      <c r="B1103" s="14" t="s">
        <v>16993</v>
      </c>
      <c r="C1103" s="14" t="s">
        <v>16090</v>
      </c>
      <c r="D1103" s="14">
        <v>1</v>
      </c>
      <c r="E1103" s="14">
        <v>1239</v>
      </c>
      <c r="F1103" s="14">
        <v>16</v>
      </c>
      <c r="G1103" s="14">
        <v>15605</v>
      </c>
      <c r="H1103" s="14">
        <v>0.734010069029265</v>
      </c>
      <c r="I1103" s="14">
        <v>0.944955305083622</v>
      </c>
      <c r="J1103" s="14">
        <v>0.787177158999193</v>
      </c>
      <c r="K1103" s="14" t="s">
        <v>13272</v>
      </c>
    </row>
    <row r="1104" spans="1:11">
      <c r="A1104" s="14" t="s">
        <v>17674</v>
      </c>
      <c r="B1104" s="14" t="s">
        <v>17675</v>
      </c>
      <c r="C1104" s="14" t="s">
        <v>16090</v>
      </c>
      <c r="D1104" s="14">
        <v>1</v>
      </c>
      <c r="E1104" s="14">
        <v>1239</v>
      </c>
      <c r="F1104" s="14">
        <v>16</v>
      </c>
      <c r="G1104" s="14">
        <v>15605</v>
      </c>
      <c r="H1104" s="14">
        <v>0.734010069029265</v>
      </c>
      <c r="I1104" s="14">
        <v>0.944955305083622</v>
      </c>
      <c r="J1104" s="14">
        <v>0.787177158999193</v>
      </c>
      <c r="K1104" s="14" t="s">
        <v>15935</v>
      </c>
    </row>
    <row r="1105" spans="1:11">
      <c r="A1105" s="14" t="s">
        <v>17677</v>
      </c>
      <c r="B1105" s="14" t="s">
        <v>17678</v>
      </c>
      <c r="C1105" s="14" t="s">
        <v>16090</v>
      </c>
      <c r="D1105" s="14">
        <v>1</v>
      </c>
      <c r="E1105" s="14">
        <v>1239</v>
      </c>
      <c r="F1105" s="14">
        <v>16</v>
      </c>
      <c r="G1105" s="14">
        <v>15605</v>
      </c>
      <c r="H1105" s="14">
        <v>0.734010069029265</v>
      </c>
      <c r="I1105" s="14">
        <v>0.944955305083622</v>
      </c>
      <c r="J1105" s="14">
        <v>0.787177158999193</v>
      </c>
      <c r="K1105" s="14" t="s">
        <v>1591</v>
      </c>
    </row>
    <row r="1106" spans="1:11">
      <c r="A1106" s="14" t="s">
        <v>17682</v>
      </c>
      <c r="B1106" s="14" t="s">
        <v>17683</v>
      </c>
      <c r="C1106" s="14" t="s">
        <v>16090</v>
      </c>
      <c r="D1106" s="14">
        <v>1</v>
      </c>
      <c r="E1106" s="14">
        <v>1239</v>
      </c>
      <c r="F1106" s="14">
        <v>16</v>
      </c>
      <c r="G1106" s="14">
        <v>15605</v>
      </c>
      <c r="H1106" s="14">
        <v>0.734010069029265</v>
      </c>
      <c r="I1106" s="14">
        <v>0.944955305083622</v>
      </c>
      <c r="J1106" s="14">
        <v>0.787177158999193</v>
      </c>
      <c r="K1106" s="14" t="s">
        <v>7056</v>
      </c>
    </row>
    <row r="1107" spans="1:11">
      <c r="A1107" s="14" t="s">
        <v>16995</v>
      </c>
      <c r="B1107" s="14" t="s">
        <v>16996</v>
      </c>
      <c r="C1107" s="14" t="s">
        <v>16086</v>
      </c>
      <c r="D1107" s="14">
        <v>1</v>
      </c>
      <c r="E1107" s="14">
        <v>1239</v>
      </c>
      <c r="F1107" s="14">
        <v>16</v>
      </c>
      <c r="G1107" s="14">
        <v>15605</v>
      </c>
      <c r="H1107" s="14">
        <v>0.734010069029265</v>
      </c>
      <c r="I1107" s="14">
        <v>0.944955305083622</v>
      </c>
      <c r="J1107" s="14">
        <v>0.787177158999193</v>
      </c>
      <c r="K1107" s="14" t="s">
        <v>15688</v>
      </c>
    </row>
    <row r="1108" spans="1:11">
      <c r="A1108" s="14" t="s">
        <v>18945</v>
      </c>
      <c r="B1108" s="14" t="s">
        <v>18946</v>
      </c>
      <c r="C1108" s="14" t="s">
        <v>16086</v>
      </c>
      <c r="D1108" s="14">
        <v>1</v>
      </c>
      <c r="E1108" s="14">
        <v>1239</v>
      </c>
      <c r="F1108" s="14">
        <v>16</v>
      </c>
      <c r="G1108" s="14">
        <v>15605</v>
      </c>
      <c r="H1108" s="14">
        <v>0.734010069029265</v>
      </c>
      <c r="I1108" s="14">
        <v>0.944955305083622</v>
      </c>
      <c r="J1108" s="14">
        <v>0.787177158999193</v>
      </c>
      <c r="K1108" s="14" t="s">
        <v>12652</v>
      </c>
    </row>
    <row r="1109" spans="1:11">
      <c r="A1109" s="14" t="s">
        <v>18951</v>
      </c>
      <c r="B1109" s="14" t="s">
        <v>18952</v>
      </c>
      <c r="C1109" s="14" t="s">
        <v>16090</v>
      </c>
      <c r="D1109" s="14">
        <v>1</v>
      </c>
      <c r="E1109" s="14">
        <v>1239</v>
      </c>
      <c r="F1109" s="14">
        <v>16</v>
      </c>
      <c r="G1109" s="14">
        <v>15605</v>
      </c>
      <c r="H1109" s="14">
        <v>0.734010069029265</v>
      </c>
      <c r="I1109" s="14">
        <v>0.944955305083622</v>
      </c>
      <c r="J1109" s="14">
        <v>0.787177158999193</v>
      </c>
      <c r="K1109" s="14" t="s">
        <v>6945</v>
      </c>
    </row>
    <row r="1110" spans="1:11">
      <c r="A1110" s="14" t="s">
        <v>17690</v>
      </c>
      <c r="B1110" s="14" t="s">
        <v>17691</v>
      </c>
      <c r="C1110" s="14" t="s">
        <v>16090</v>
      </c>
      <c r="D1110" s="14">
        <v>1</v>
      </c>
      <c r="E1110" s="14">
        <v>1239</v>
      </c>
      <c r="F1110" s="14">
        <v>16</v>
      </c>
      <c r="G1110" s="14">
        <v>15605</v>
      </c>
      <c r="H1110" s="14">
        <v>0.734010069029265</v>
      </c>
      <c r="I1110" s="14">
        <v>0.944955305083622</v>
      </c>
      <c r="J1110" s="14">
        <v>0.787177158999193</v>
      </c>
      <c r="K1110" s="14" t="s">
        <v>1574</v>
      </c>
    </row>
    <row r="1111" spans="1:11">
      <c r="A1111" s="14" t="s">
        <v>17007</v>
      </c>
      <c r="B1111" s="14" t="s">
        <v>17008</v>
      </c>
      <c r="C1111" s="14" t="s">
        <v>16090</v>
      </c>
      <c r="D1111" s="14">
        <v>1</v>
      </c>
      <c r="E1111" s="14">
        <v>1239</v>
      </c>
      <c r="F1111" s="14">
        <v>16</v>
      </c>
      <c r="G1111" s="14">
        <v>15605</v>
      </c>
      <c r="H1111" s="14">
        <v>0.734010069029265</v>
      </c>
      <c r="I1111" s="14">
        <v>0.944955305083622</v>
      </c>
      <c r="J1111" s="14">
        <v>0.787177158999193</v>
      </c>
      <c r="K1111" s="14" t="s">
        <v>5182</v>
      </c>
    </row>
    <row r="1112" spans="1:11">
      <c r="A1112" s="14" t="s">
        <v>16538</v>
      </c>
      <c r="B1112" s="14" t="s">
        <v>16539</v>
      </c>
      <c r="C1112" s="14" t="s">
        <v>16090</v>
      </c>
      <c r="D1112" s="14">
        <v>1</v>
      </c>
      <c r="E1112" s="14">
        <v>1239</v>
      </c>
      <c r="F1112" s="14">
        <v>16</v>
      </c>
      <c r="G1112" s="14">
        <v>15605</v>
      </c>
      <c r="H1112" s="14">
        <v>0.734010069029265</v>
      </c>
      <c r="I1112" s="14">
        <v>0.944955305083622</v>
      </c>
      <c r="J1112" s="14">
        <v>0.787177158999193</v>
      </c>
      <c r="K1112" s="14" t="s">
        <v>7037</v>
      </c>
    </row>
    <row r="1113" spans="1:11">
      <c r="A1113" s="14" t="s">
        <v>18510</v>
      </c>
      <c r="B1113" s="14" t="s">
        <v>18511</v>
      </c>
      <c r="C1113" s="14" t="s">
        <v>16090</v>
      </c>
      <c r="D1113" s="14">
        <v>8</v>
      </c>
      <c r="E1113" s="14">
        <v>1239</v>
      </c>
      <c r="F1113" s="14">
        <v>119</v>
      </c>
      <c r="G1113" s="14">
        <v>15605</v>
      </c>
      <c r="H1113" s="14">
        <v>0.737578632656431</v>
      </c>
      <c r="I1113" s="14">
        <v>0.948694748934329</v>
      </c>
      <c r="J1113" s="14">
        <v>0.846711565982325</v>
      </c>
      <c r="K1113" s="14" t="s">
        <v>21157</v>
      </c>
    </row>
    <row r="1114" spans="1:11">
      <c r="A1114" s="14" t="s">
        <v>19519</v>
      </c>
      <c r="B1114" s="14" t="s">
        <v>19520</v>
      </c>
      <c r="C1114" s="14" t="s">
        <v>16090</v>
      </c>
      <c r="D1114" s="14">
        <v>5</v>
      </c>
      <c r="E1114" s="14">
        <v>1239</v>
      </c>
      <c r="F1114" s="14">
        <v>77</v>
      </c>
      <c r="G1114" s="14">
        <v>15605</v>
      </c>
      <c r="H1114" s="14">
        <v>0.741772405536711</v>
      </c>
      <c r="I1114" s="14">
        <v>0.953230906035935</v>
      </c>
      <c r="J1114" s="14">
        <v>0.8178463989602</v>
      </c>
      <c r="K1114" s="14" t="s">
        <v>21158</v>
      </c>
    </row>
    <row r="1115" spans="1:11">
      <c r="A1115" s="14" t="s">
        <v>18037</v>
      </c>
      <c r="B1115" s="14" t="s">
        <v>18038</v>
      </c>
      <c r="C1115" s="14" t="s">
        <v>16090</v>
      </c>
      <c r="D1115" s="14">
        <v>4</v>
      </c>
      <c r="E1115" s="14">
        <v>1239</v>
      </c>
      <c r="F1115" s="14">
        <v>63</v>
      </c>
      <c r="G1115" s="14">
        <v>15605</v>
      </c>
      <c r="H1115" s="14">
        <v>0.747400454949114</v>
      </c>
      <c r="I1115" s="14">
        <v>0.954964930287494</v>
      </c>
      <c r="J1115" s="14">
        <v>0.799672034538862</v>
      </c>
      <c r="K1115" s="14" t="s">
        <v>21159</v>
      </c>
    </row>
    <row r="1116" spans="1:11">
      <c r="A1116" s="14" t="s">
        <v>16250</v>
      </c>
      <c r="B1116" s="14" t="s">
        <v>16251</v>
      </c>
      <c r="C1116" s="14" t="s">
        <v>16086</v>
      </c>
      <c r="D1116" s="14">
        <v>11</v>
      </c>
      <c r="E1116" s="14">
        <v>1239</v>
      </c>
      <c r="F1116" s="14">
        <v>162</v>
      </c>
      <c r="G1116" s="14">
        <v>15605</v>
      </c>
      <c r="H1116" s="14">
        <v>0.748143777972694</v>
      </c>
      <c r="I1116" s="14">
        <v>0.954964930287494</v>
      </c>
      <c r="J1116" s="14">
        <v>0.855204814715173</v>
      </c>
      <c r="K1116" s="14" t="s">
        <v>21160</v>
      </c>
    </row>
    <row r="1117" spans="1:11">
      <c r="A1117" s="14" t="s">
        <v>18378</v>
      </c>
      <c r="B1117" s="14" t="s">
        <v>18379</v>
      </c>
      <c r="C1117" s="14" t="s">
        <v>16096</v>
      </c>
      <c r="D1117" s="14">
        <v>2</v>
      </c>
      <c r="E1117" s="14">
        <v>1239</v>
      </c>
      <c r="F1117" s="14">
        <v>33</v>
      </c>
      <c r="G1117" s="14">
        <v>15605</v>
      </c>
      <c r="H1117" s="14">
        <v>0.749477557059895</v>
      </c>
      <c r="I1117" s="14">
        <v>0.954964930287494</v>
      </c>
      <c r="J1117" s="14">
        <v>0.763323305696187</v>
      </c>
      <c r="K1117" s="14" t="s">
        <v>20393</v>
      </c>
    </row>
    <row r="1118" spans="1:11">
      <c r="A1118" s="14" t="s">
        <v>19415</v>
      </c>
      <c r="B1118" s="14" t="s">
        <v>19416</v>
      </c>
      <c r="C1118" s="14" t="s">
        <v>16090</v>
      </c>
      <c r="D1118" s="14">
        <v>2</v>
      </c>
      <c r="E1118" s="14">
        <v>1239</v>
      </c>
      <c r="F1118" s="14">
        <v>33</v>
      </c>
      <c r="G1118" s="14">
        <v>15605</v>
      </c>
      <c r="H1118" s="14">
        <v>0.749477557059895</v>
      </c>
      <c r="I1118" s="14">
        <v>0.954964930287494</v>
      </c>
      <c r="J1118" s="14">
        <v>0.763323305696187</v>
      </c>
      <c r="K1118" s="14" t="s">
        <v>21161</v>
      </c>
    </row>
    <row r="1119" spans="1:11">
      <c r="A1119" s="14" t="s">
        <v>18983</v>
      </c>
      <c r="B1119" s="14" t="s">
        <v>18984</v>
      </c>
      <c r="C1119" s="14" t="s">
        <v>16086</v>
      </c>
      <c r="D1119" s="14">
        <v>1</v>
      </c>
      <c r="E1119" s="14">
        <v>1239</v>
      </c>
      <c r="F1119" s="14">
        <v>17</v>
      </c>
      <c r="G1119" s="14">
        <v>15605</v>
      </c>
      <c r="H1119" s="14">
        <v>0.755150714643015</v>
      </c>
      <c r="I1119" s="14">
        <v>0.954964930287494</v>
      </c>
      <c r="J1119" s="14">
        <v>0.740872620234534</v>
      </c>
      <c r="K1119" s="14" t="s">
        <v>3355</v>
      </c>
    </row>
    <row r="1120" spans="1:11">
      <c r="A1120" s="14" t="s">
        <v>18985</v>
      </c>
      <c r="B1120" s="14" t="s">
        <v>18986</v>
      </c>
      <c r="C1120" s="14" t="s">
        <v>16096</v>
      </c>
      <c r="D1120" s="14">
        <v>1</v>
      </c>
      <c r="E1120" s="14">
        <v>1239</v>
      </c>
      <c r="F1120" s="14">
        <v>17</v>
      </c>
      <c r="G1120" s="14">
        <v>15605</v>
      </c>
      <c r="H1120" s="14">
        <v>0.755150714643015</v>
      </c>
      <c r="I1120" s="14">
        <v>0.954964930287494</v>
      </c>
      <c r="J1120" s="14">
        <v>0.740872620234534</v>
      </c>
      <c r="K1120" s="14" t="s">
        <v>12813</v>
      </c>
    </row>
    <row r="1121" spans="1:11">
      <c r="A1121" s="14" t="s">
        <v>16578</v>
      </c>
      <c r="B1121" s="14" t="s">
        <v>16579</v>
      </c>
      <c r="C1121" s="14" t="s">
        <v>16090</v>
      </c>
      <c r="D1121" s="14">
        <v>1</v>
      </c>
      <c r="E1121" s="14">
        <v>1239</v>
      </c>
      <c r="F1121" s="14">
        <v>17</v>
      </c>
      <c r="G1121" s="14">
        <v>15605</v>
      </c>
      <c r="H1121" s="14">
        <v>0.755150714643015</v>
      </c>
      <c r="I1121" s="14">
        <v>0.954964930287494</v>
      </c>
      <c r="J1121" s="14">
        <v>0.740872620234534</v>
      </c>
      <c r="K1121" s="14" t="s">
        <v>15240</v>
      </c>
    </row>
    <row r="1122" spans="1:11">
      <c r="A1122" s="14" t="s">
        <v>17859</v>
      </c>
      <c r="B1122" s="14" t="s">
        <v>17860</v>
      </c>
      <c r="C1122" s="14" t="s">
        <v>16090</v>
      </c>
      <c r="D1122" s="14">
        <v>1</v>
      </c>
      <c r="E1122" s="14">
        <v>1239</v>
      </c>
      <c r="F1122" s="14">
        <v>17</v>
      </c>
      <c r="G1122" s="14">
        <v>15605</v>
      </c>
      <c r="H1122" s="14">
        <v>0.755150714643015</v>
      </c>
      <c r="I1122" s="14">
        <v>0.954964930287494</v>
      </c>
      <c r="J1122" s="14">
        <v>0.740872620234534</v>
      </c>
      <c r="K1122" s="14" t="s">
        <v>15823</v>
      </c>
    </row>
    <row r="1123" spans="1:11">
      <c r="A1123" s="14" t="s">
        <v>16356</v>
      </c>
      <c r="B1123" s="14" t="s">
        <v>16357</v>
      </c>
      <c r="C1123" s="14" t="s">
        <v>16090</v>
      </c>
      <c r="D1123" s="14">
        <v>1</v>
      </c>
      <c r="E1123" s="14">
        <v>1239</v>
      </c>
      <c r="F1123" s="14">
        <v>17</v>
      </c>
      <c r="G1123" s="14">
        <v>15605</v>
      </c>
      <c r="H1123" s="14">
        <v>0.755150714643015</v>
      </c>
      <c r="I1123" s="14">
        <v>0.954964930287494</v>
      </c>
      <c r="J1123" s="14">
        <v>0.740872620234534</v>
      </c>
      <c r="K1123" s="14" t="s">
        <v>14166</v>
      </c>
    </row>
    <row r="1124" spans="1:11">
      <c r="A1124" s="14" t="s">
        <v>21162</v>
      </c>
      <c r="B1124" s="14" t="s">
        <v>21163</v>
      </c>
      <c r="C1124" s="14" t="s">
        <v>16090</v>
      </c>
      <c r="D1124" s="14">
        <v>1</v>
      </c>
      <c r="E1124" s="14">
        <v>1239</v>
      </c>
      <c r="F1124" s="14">
        <v>17</v>
      </c>
      <c r="G1124" s="14">
        <v>15605</v>
      </c>
      <c r="H1124" s="14">
        <v>0.755150714643015</v>
      </c>
      <c r="I1124" s="14">
        <v>0.954964930287494</v>
      </c>
      <c r="J1124" s="14">
        <v>0.740872620234534</v>
      </c>
      <c r="K1124" s="14" t="s">
        <v>13007</v>
      </c>
    </row>
    <row r="1125" spans="1:11">
      <c r="A1125" s="14" t="s">
        <v>17019</v>
      </c>
      <c r="B1125" s="14" t="s">
        <v>17020</v>
      </c>
      <c r="C1125" s="14" t="s">
        <v>16090</v>
      </c>
      <c r="D1125" s="14">
        <v>1</v>
      </c>
      <c r="E1125" s="14">
        <v>1239</v>
      </c>
      <c r="F1125" s="14">
        <v>17</v>
      </c>
      <c r="G1125" s="14">
        <v>15605</v>
      </c>
      <c r="H1125" s="14">
        <v>0.755150714643015</v>
      </c>
      <c r="I1125" s="14">
        <v>0.954964930287494</v>
      </c>
      <c r="J1125" s="14">
        <v>0.740872620234534</v>
      </c>
      <c r="K1125" s="14" t="s">
        <v>4506</v>
      </c>
    </row>
    <row r="1126" spans="1:11">
      <c r="A1126" s="14" t="s">
        <v>18991</v>
      </c>
      <c r="B1126" s="14" t="s">
        <v>18992</v>
      </c>
      <c r="C1126" s="14" t="s">
        <v>16096</v>
      </c>
      <c r="D1126" s="14">
        <v>1</v>
      </c>
      <c r="E1126" s="14">
        <v>1239</v>
      </c>
      <c r="F1126" s="14">
        <v>17</v>
      </c>
      <c r="G1126" s="14">
        <v>15605</v>
      </c>
      <c r="H1126" s="14">
        <v>0.755150714643015</v>
      </c>
      <c r="I1126" s="14">
        <v>0.954964930287494</v>
      </c>
      <c r="J1126" s="14">
        <v>0.740872620234534</v>
      </c>
      <c r="K1126" s="14" t="s">
        <v>15635</v>
      </c>
    </row>
    <row r="1127" spans="1:11">
      <c r="A1127" s="14" t="s">
        <v>17868</v>
      </c>
      <c r="B1127" s="14" t="s">
        <v>17869</v>
      </c>
      <c r="C1127" s="14" t="s">
        <v>16090</v>
      </c>
      <c r="D1127" s="14">
        <v>1</v>
      </c>
      <c r="E1127" s="14">
        <v>1239</v>
      </c>
      <c r="F1127" s="14">
        <v>17</v>
      </c>
      <c r="G1127" s="14">
        <v>15605</v>
      </c>
      <c r="H1127" s="14">
        <v>0.755150714643015</v>
      </c>
      <c r="I1127" s="14">
        <v>0.954964930287494</v>
      </c>
      <c r="J1127" s="14">
        <v>0.740872620234534</v>
      </c>
      <c r="K1127" s="14" t="s">
        <v>12342</v>
      </c>
    </row>
    <row r="1128" spans="1:11">
      <c r="A1128" s="14" t="s">
        <v>17871</v>
      </c>
      <c r="B1128" s="14" t="s">
        <v>17872</v>
      </c>
      <c r="C1128" s="14" t="s">
        <v>16086</v>
      </c>
      <c r="D1128" s="14">
        <v>1</v>
      </c>
      <c r="E1128" s="14">
        <v>1239</v>
      </c>
      <c r="F1128" s="14">
        <v>17</v>
      </c>
      <c r="G1128" s="14">
        <v>15605</v>
      </c>
      <c r="H1128" s="14">
        <v>0.755150714643015</v>
      </c>
      <c r="I1128" s="14">
        <v>0.954964930287494</v>
      </c>
      <c r="J1128" s="14">
        <v>0.740872620234534</v>
      </c>
      <c r="K1128" s="14" t="s">
        <v>8448</v>
      </c>
    </row>
    <row r="1129" spans="1:11">
      <c r="A1129" s="14" t="s">
        <v>17873</v>
      </c>
      <c r="B1129" s="14" t="s">
        <v>17874</v>
      </c>
      <c r="C1129" s="14" t="s">
        <v>16086</v>
      </c>
      <c r="D1129" s="14">
        <v>1</v>
      </c>
      <c r="E1129" s="14">
        <v>1239</v>
      </c>
      <c r="F1129" s="14">
        <v>17</v>
      </c>
      <c r="G1129" s="14">
        <v>15605</v>
      </c>
      <c r="H1129" s="14">
        <v>0.755150714643015</v>
      </c>
      <c r="I1129" s="14">
        <v>0.954964930287494</v>
      </c>
      <c r="J1129" s="14">
        <v>0.740872620234534</v>
      </c>
      <c r="K1129" s="14" t="s">
        <v>8448</v>
      </c>
    </row>
    <row r="1130" spans="1:11">
      <c r="A1130" s="14" t="s">
        <v>17875</v>
      </c>
      <c r="B1130" s="14" t="s">
        <v>17876</v>
      </c>
      <c r="C1130" s="14" t="s">
        <v>16090</v>
      </c>
      <c r="D1130" s="14">
        <v>1</v>
      </c>
      <c r="E1130" s="14">
        <v>1239</v>
      </c>
      <c r="F1130" s="14">
        <v>17</v>
      </c>
      <c r="G1130" s="14">
        <v>15605</v>
      </c>
      <c r="H1130" s="14">
        <v>0.755150714643015</v>
      </c>
      <c r="I1130" s="14">
        <v>0.954964930287494</v>
      </c>
      <c r="J1130" s="14">
        <v>0.740872620234534</v>
      </c>
      <c r="K1130" s="14" t="s">
        <v>9829</v>
      </c>
    </row>
    <row r="1131" spans="1:11">
      <c r="A1131" s="14" t="s">
        <v>18999</v>
      </c>
      <c r="B1131" s="14" t="s">
        <v>19000</v>
      </c>
      <c r="C1131" s="14" t="s">
        <v>16090</v>
      </c>
      <c r="D1131" s="14">
        <v>1</v>
      </c>
      <c r="E1131" s="14">
        <v>1239</v>
      </c>
      <c r="F1131" s="14">
        <v>17</v>
      </c>
      <c r="G1131" s="14">
        <v>15605</v>
      </c>
      <c r="H1131" s="14">
        <v>0.755150714643015</v>
      </c>
      <c r="I1131" s="14">
        <v>0.954964930287494</v>
      </c>
      <c r="J1131" s="14">
        <v>0.740872620234534</v>
      </c>
      <c r="K1131" s="14" t="s">
        <v>11027</v>
      </c>
    </row>
    <row r="1132" spans="1:11">
      <c r="A1132" s="14" t="s">
        <v>21164</v>
      </c>
      <c r="B1132" s="14" t="s">
        <v>21165</v>
      </c>
      <c r="C1132" s="14" t="s">
        <v>16090</v>
      </c>
      <c r="D1132" s="14">
        <v>1</v>
      </c>
      <c r="E1132" s="14">
        <v>1239</v>
      </c>
      <c r="F1132" s="14">
        <v>17</v>
      </c>
      <c r="G1132" s="14">
        <v>15605</v>
      </c>
      <c r="H1132" s="14">
        <v>0.755150714643015</v>
      </c>
      <c r="I1132" s="14">
        <v>0.954964930287494</v>
      </c>
      <c r="J1132" s="14">
        <v>0.740872620234534</v>
      </c>
      <c r="K1132" s="14" t="s">
        <v>11729</v>
      </c>
    </row>
    <row r="1133" spans="1:11">
      <c r="A1133" s="14" t="s">
        <v>17256</v>
      </c>
      <c r="B1133" s="14" t="s">
        <v>17257</v>
      </c>
      <c r="C1133" s="14" t="s">
        <v>16090</v>
      </c>
      <c r="D1133" s="14">
        <v>3</v>
      </c>
      <c r="E1133" s="14">
        <v>1239</v>
      </c>
      <c r="F1133" s="14">
        <v>49</v>
      </c>
      <c r="G1133" s="14">
        <v>15605</v>
      </c>
      <c r="H1133" s="14">
        <v>0.75788188144226</v>
      </c>
      <c r="I1133" s="14">
        <v>0.956725449276493</v>
      </c>
      <c r="J1133" s="14">
        <v>0.771112319019618</v>
      </c>
      <c r="K1133" s="14" t="s">
        <v>21166</v>
      </c>
    </row>
    <row r="1134" spans="1:11">
      <c r="A1134" s="14" t="s">
        <v>16590</v>
      </c>
      <c r="B1134" s="14" t="s">
        <v>16591</v>
      </c>
      <c r="C1134" s="14" t="s">
        <v>16090</v>
      </c>
      <c r="D1134" s="14">
        <v>3</v>
      </c>
      <c r="E1134" s="14">
        <v>1239</v>
      </c>
      <c r="F1134" s="14">
        <v>49</v>
      </c>
      <c r="G1134" s="14">
        <v>15605</v>
      </c>
      <c r="H1134" s="14">
        <v>0.75788188144226</v>
      </c>
      <c r="I1134" s="14">
        <v>0.956725449276493</v>
      </c>
      <c r="J1134" s="14">
        <v>0.771112319019618</v>
      </c>
      <c r="K1134" s="14" t="s">
        <v>21167</v>
      </c>
    </row>
    <row r="1135" spans="1:11">
      <c r="A1135" s="14" t="s">
        <v>16708</v>
      </c>
      <c r="B1135" s="14" t="s">
        <v>16709</v>
      </c>
      <c r="C1135" s="14" t="s">
        <v>16086</v>
      </c>
      <c r="D1135" s="14">
        <v>5</v>
      </c>
      <c r="E1135" s="14">
        <v>1239</v>
      </c>
      <c r="F1135" s="14">
        <v>79</v>
      </c>
      <c r="G1135" s="14">
        <v>15605</v>
      </c>
      <c r="H1135" s="14">
        <v>0.761855879003619</v>
      </c>
      <c r="I1135" s="14">
        <v>0.960035624435993</v>
      </c>
      <c r="J1135" s="14">
        <v>0.797141426834626</v>
      </c>
      <c r="K1135" s="14" t="s">
        <v>21168</v>
      </c>
    </row>
    <row r="1136" spans="1:11">
      <c r="A1136" s="14" t="s">
        <v>19047</v>
      </c>
      <c r="B1136" s="14" t="s">
        <v>19048</v>
      </c>
      <c r="C1136" s="14" t="s">
        <v>16086</v>
      </c>
      <c r="D1136" s="14">
        <v>2</v>
      </c>
      <c r="E1136" s="14">
        <v>1239</v>
      </c>
      <c r="F1136" s="14">
        <v>34</v>
      </c>
      <c r="G1136" s="14">
        <v>15605</v>
      </c>
      <c r="H1136" s="14">
        <v>0.764224563397083</v>
      </c>
      <c r="I1136" s="14">
        <v>0.960035624435993</v>
      </c>
      <c r="J1136" s="14">
        <v>0.740872620234534</v>
      </c>
      <c r="K1136" s="14" t="s">
        <v>21169</v>
      </c>
    </row>
    <row r="1137" spans="1:11">
      <c r="A1137" s="14" t="s">
        <v>17424</v>
      </c>
      <c r="B1137" s="14" t="s">
        <v>17425</v>
      </c>
      <c r="C1137" s="14" t="s">
        <v>16090</v>
      </c>
      <c r="D1137" s="14">
        <v>2</v>
      </c>
      <c r="E1137" s="14">
        <v>1239</v>
      </c>
      <c r="F1137" s="14">
        <v>34</v>
      </c>
      <c r="G1137" s="14">
        <v>15605</v>
      </c>
      <c r="H1137" s="14">
        <v>0.764224563397083</v>
      </c>
      <c r="I1137" s="14">
        <v>0.960035624435993</v>
      </c>
      <c r="J1137" s="14">
        <v>0.740872620234534</v>
      </c>
      <c r="K1137" s="14" t="s">
        <v>21170</v>
      </c>
    </row>
    <row r="1138" spans="1:11">
      <c r="A1138" s="14" t="s">
        <v>16327</v>
      </c>
      <c r="B1138" s="14" t="s">
        <v>16328</v>
      </c>
      <c r="C1138" s="14" t="s">
        <v>16096</v>
      </c>
      <c r="D1138" s="14">
        <v>17</v>
      </c>
      <c r="E1138" s="14">
        <v>1239</v>
      </c>
      <c r="F1138" s="14">
        <v>247</v>
      </c>
      <c r="G1138" s="14">
        <v>15605</v>
      </c>
      <c r="H1138" s="14">
        <v>0.765267934278413</v>
      </c>
      <c r="I1138" s="14">
        <v>0.960035624435993</v>
      </c>
      <c r="J1138" s="14">
        <v>0.86685096051733</v>
      </c>
      <c r="K1138" s="14" t="s">
        <v>21171</v>
      </c>
    </row>
    <row r="1139" spans="1:11">
      <c r="A1139" s="14" t="s">
        <v>18077</v>
      </c>
      <c r="B1139" s="14" t="s">
        <v>18078</v>
      </c>
      <c r="C1139" s="14" t="s">
        <v>16090</v>
      </c>
      <c r="D1139" s="14">
        <v>4</v>
      </c>
      <c r="E1139" s="14">
        <v>1239</v>
      </c>
      <c r="F1139" s="14">
        <v>65</v>
      </c>
      <c r="G1139" s="14">
        <v>15605</v>
      </c>
      <c r="H1139" s="14">
        <v>0.769102551916048</v>
      </c>
      <c r="I1139" s="14">
        <v>0.960035624435993</v>
      </c>
      <c r="J1139" s="14">
        <v>0.775066741168436</v>
      </c>
      <c r="K1139" s="14" t="s">
        <v>21172</v>
      </c>
    </row>
    <row r="1140" spans="1:11">
      <c r="A1140" s="14" t="s">
        <v>17418</v>
      </c>
      <c r="B1140" s="14" t="s">
        <v>17419</v>
      </c>
      <c r="C1140" s="14" t="s">
        <v>16090</v>
      </c>
      <c r="D1140" s="14">
        <v>4</v>
      </c>
      <c r="E1140" s="14">
        <v>1239</v>
      </c>
      <c r="F1140" s="14">
        <v>65</v>
      </c>
      <c r="G1140" s="14">
        <v>15605</v>
      </c>
      <c r="H1140" s="14">
        <v>0.769102551916048</v>
      </c>
      <c r="I1140" s="14">
        <v>0.960035624435993</v>
      </c>
      <c r="J1140" s="14">
        <v>0.775066741168436</v>
      </c>
      <c r="K1140" s="14" t="s">
        <v>21173</v>
      </c>
    </row>
    <row r="1141" spans="1:11">
      <c r="A1141" s="14" t="s">
        <v>18080</v>
      </c>
      <c r="B1141" s="14" t="s">
        <v>18081</v>
      </c>
      <c r="C1141" s="14" t="s">
        <v>16090</v>
      </c>
      <c r="D1141" s="14">
        <v>4</v>
      </c>
      <c r="E1141" s="14">
        <v>1239</v>
      </c>
      <c r="F1141" s="14">
        <v>65</v>
      </c>
      <c r="G1141" s="14">
        <v>15605</v>
      </c>
      <c r="H1141" s="14">
        <v>0.769102551916048</v>
      </c>
      <c r="I1141" s="14">
        <v>0.960035624435993</v>
      </c>
      <c r="J1141" s="14">
        <v>0.775066741168436</v>
      </c>
      <c r="K1141" s="14" t="s">
        <v>21174</v>
      </c>
    </row>
    <row r="1142" spans="1:11">
      <c r="A1142" s="14" t="s">
        <v>19087</v>
      </c>
      <c r="B1142" s="14" t="s">
        <v>19088</v>
      </c>
      <c r="C1142" s="14" t="s">
        <v>16090</v>
      </c>
      <c r="D1142" s="14">
        <v>3</v>
      </c>
      <c r="E1142" s="14">
        <v>1239</v>
      </c>
      <c r="F1142" s="14">
        <v>50</v>
      </c>
      <c r="G1142" s="14">
        <v>15605</v>
      </c>
      <c r="H1142" s="14">
        <v>0.76994833234277</v>
      </c>
      <c r="I1142" s="14">
        <v>0.960035624435993</v>
      </c>
      <c r="J1142" s="14">
        <v>0.755690072639225</v>
      </c>
      <c r="K1142" s="14" t="s">
        <v>21175</v>
      </c>
    </row>
    <row r="1143" spans="1:11">
      <c r="A1143" s="14" t="s">
        <v>19025</v>
      </c>
      <c r="B1143" s="14" t="s">
        <v>19026</v>
      </c>
      <c r="C1143" s="14" t="s">
        <v>16090</v>
      </c>
      <c r="D1143" s="14">
        <v>1</v>
      </c>
      <c r="E1143" s="14">
        <v>1239</v>
      </c>
      <c r="F1143" s="14">
        <v>18</v>
      </c>
      <c r="G1143" s="14">
        <v>15605</v>
      </c>
      <c r="H1143" s="14">
        <v>0.774612368771659</v>
      </c>
      <c r="I1143" s="14">
        <v>0.960035624435993</v>
      </c>
      <c r="J1143" s="14">
        <v>0.699713030221505</v>
      </c>
      <c r="K1143" s="14" t="s">
        <v>9054</v>
      </c>
    </row>
    <row r="1144" spans="1:11">
      <c r="A1144" s="14" t="s">
        <v>16166</v>
      </c>
      <c r="B1144" s="14" t="s">
        <v>16167</v>
      </c>
      <c r="C1144" s="14" t="s">
        <v>16086</v>
      </c>
      <c r="D1144" s="14">
        <v>1</v>
      </c>
      <c r="E1144" s="14">
        <v>1239</v>
      </c>
      <c r="F1144" s="14">
        <v>18</v>
      </c>
      <c r="G1144" s="14">
        <v>15605</v>
      </c>
      <c r="H1144" s="14">
        <v>0.774612368771659</v>
      </c>
      <c r="I1144" s="14">
        <v>0.960035624435993</v>
      </c>
      <c r="J1144" s="14">
        <v>0.699713030221505</v>
      </c>
      <c r="K1144" s="14" t="s">
        <v>4663</v>
      </c>
    </row>
    <row r="1145" spans="1:11">
      <c r="A1145" s="14" t="s">
        <v>21176</v>
      </c>
      <c r="B1145" s="14" t="s">
        <v>21177</v>
      </c>
      <c r="C1145" s="14" t="s">
        <v>16086</v>
      </c>
      <c r="D1145" s="14">
        <v>1</v>
      </c>
      <c r="E1145" s="14">
        <v>1239</v>
      </c>
      <c r="F1145" s="14">
        <v>18</v>
      </c>
      <c r="G1145" s="14">
        <v>15605</v>
      </c>
      <c r="H1145" s="14">
        <v>0.774612368771659</v>
      </c>
      <c r="I1145" s="14">
        <v>0.960035624435993</v>
      </c>
      <c r="J1145" s="14">
        <v>0.699713030221505</v>
      </c>
      <c r="K1145" s="14" t="s">
        <v>10490</v>
      </c>
    </row>
    <row r="1146" spans="1:11">
      <c r="A1146" s="14" t="s">
        <v>18022</v>
      </c>
      <c r="B1146" s="14" t="s">
        <v>18023</v>
      </c>
      <c r="C1146" s="14" t="s">
        <v>16086</v>
      </c>
      <c r="D1146" s="14">
        <v>1</v>
      </c>
      <c r="E1146" s="14">
        <v>1239</v>
      </c>
      <c r="F1146" s="14">
        <v>18</v>
      </c>
      <c r="G1146" s="14">
        <v>15605</v>
      </c>
      <c r="H1146" s="14">
        <v>0.774612368771659</v>
      </c>
      <c r="I1146" s="14">
        <v>0.960035624435993</v>
      </c>
      <c r="J1146" s="14">
        <v>0.699713030221505</v>
      </c>
      <c r="K1146" s="14" t="s">
        <v>10707</v>
      </c>
    </row>
    <row r="1147" spans="1:11">
      <c r="A1147" s="14" t="s">
        <v>19029</v>
      </c>
      <c r="B1147" s="14" t="s">
        <v>19030</v>
      </c>
      <c r="C1147" s="14" t="s">
        <v>16090</v>
      </c>
      <c r="D1147" s="14">
        <v>1</v>
      </c>
      <c r="E1147" s="14">
        <v>1239</v>
      </c>
      <c r="F1147" s="14">
        <v>18</v>
      </c>
      <c r="G1147" s="14">
        <v>15605</v>
      </c>
      <c r="H1147" s="14">
        <v>0.774612368771659</v>
      </c>
      <c r="I1147" s="14">
        <v>0.960035624435993</v>
      </c>
      <c r="J1147" s="14">
        <v>0.699713030221505</v>
      </c>
      <c r="K1147" s="14" t="s">
        <v>13528</v>
      </c>
    </row>
    <row r="1148" spans="1:11">
      <c r="A1148" s="14" t="s">
        <v>17108</v>
      </c>
      <c r="B1148" s="14" t="s">
        <v>17109</v>
      </c>
      <c r="C1148" s="14" t="s">
        <v>16090</v>
      </c>
      <c r="D1148" s="14">
        <v>1</v>
      </c>
      <c r="E1148" s="14">
        <v>1239</v>
      </c>
      <c r="F1148" s="14">
        <v>18</v>
      </c>
      <c r="G1148" s="14">
        <v>15605</v>
      </c>
      <c r="H1148" s="14">
        <v>0.774612368771659</v>
      </c>
      <c r="I1148" s="14">
        <v>0.960035624435993</v>
      </c>
      <c r="J1148" s="14">
        <v>0.699713030221505</v>
      </c>
      <c r="K1148" s="14" t="s">
        <v>230</v>
      </c>
    </row>
    <row r="1149" spans="1:11">
      <c r="A1149" s="14" t="s">
        <v>18025</v>
      </c>
      <c r="B1149" s="14" t="s">
        <v>18026</v>
      </c>
      <c r="C1149" s="14" t="s">
        <v>16090</v>
      </c>
      <c r="D1149" s="14">
        <v>1</v>
      </c>
      <c r="E1149" s="14">
        <v>1239</v>
      </c>
      <c r="F1149" s="14">
        <v>18</v>
      </c>
      <c r="G1149" s="14">
        <v>15605</v>
      </c>
      <c r="H1149" s="14">
        <v>0.774612368771659</v>
      </c>
      <c r="I1149" s="14">
        <v>0.960035624435993</v>
      </c>
      <c r="J1149" s="14">
        <v>0.699713030221505</v>
      </c>
      <c r="K1149" s="14" t="s">
        <v>11196</v>
      </c>
    </row>
    <row r="1150" spans="1:11">
      <c r="A1150" s="14" t="s">
        <v>16662</v>
      </c>
      <c r="B1150" s="14" t="s">
        <v>16663</v>
      </c>
      <c r="C1150" s="14" t="s">
        <v>16086</v>
      </c>
      <c r="D1150" s="14">
        <v>1</v>
      </c>
      <c r="E1150" s="14">
        <v>1239</v>
      </c>
      <c r="F1150" s="14">
        <v>18</v>
      </c>
      <c r="G1150" s="14">
        <v>15605</v>
      </c>
      <c r="H1150" s="14">
        <v>0.774612368771659</v>
      </c>
      <c r="I1150" s="14">
        <v>0.960035624435993</v>
      </c>
      <c r="J1150" s="14">
        <v>0.699713030221505</v>
      </c>
      <c r="K1150" s="14" t="s">
        <v>9339</v>
      </c>
    </row>
    <row r="1151" spans="1:11">
      <c r="A1151" s="14" t="s">
        <v>18031</v>
      </c>
      <c r="B1151" s="14" t="s">
        <v>18032</v>
      </c>
      <c r="C1151" s="14" t="s">
        <v>16090</v>
      </c>
      <c r="D1151" s="14">
        <v>1</v>
      </c>
      <c r="E1151" s="14">
        <v>1239</v>
      </c>
      <c r="F1151" s="14">
        <v>18</v>
      </c>
      <c r="G1151" s="14">
        <v>15605</v>
      </c>
      <c r="H1151" s="14">
        <v>0.774612368771659</v>
      </c>
      <c r="I1151" s="14">
        <v>0.960035624435993</v>
      </c>
      <c r="J1151" s="14">
        <v>0.699713030221505</v>
      </c>
      <c r="K1151" s="14" t="s">
        <v>11556</v>
      </c>
    </row>
    <row r="1152" spans="1:11">
      <c r="A1152" s="14" t="s">
        <v>19035</v>
      </c>
      <c r="B1152" s="14" t="s">
        <v>19036</v>
      </c>
      <c r="C1152" s="14" t="s">
        <v>16090</v>
      </c>
      <c r="D1152" s="14">
        <v>1</v>
      </c>
      <c r="E1152" s="14">
        <v>1239</v>
      </c>
      <c r="F1152" s="14">
        <v>18</v>
      </c>
      <c r="G1152" s="14">
        <v>15605</v>
      </c>
      <c r="H1152" s="14">
        <v>0.774612368771659</v>
      </c>
      <c r="I1152" s="14">
        <v>0.960035624435993</v>
      </c>
      <c r="J1152" s="14">
        <v>0.699713030221505</v>
      </c>
      <c r="K1152" s="14" t="s">
        <v>12492</v>
      </c>
    </row>
    <row r="1153" spans="1:11">
      <c r="A1153" s="14" t="s">
        <v>19037</v>
      </c>
      <c r="B1153" s="14" t="s">
        <v>19038</v>
      </c>
      <c r="C1153" s="14" t="s">
        <v>16090</v>
      </c>
      <c r="D1153" s="14">
        <v>1</v>
      </c>
      <c r="E1153" s="14">
        <v>1239</v>
      </c>
      <c r="F1153" s="14">
        <v>18</v>
      </c>
      <c r="G1153" s="14">
        <v>15605</v>
      </c>
      <c r="H1153" s="14">
        <v>0.774612368771659</v>
      </c>
      <c r="I1153" s="14">
        <v>0.960035624435993</v>
      </c>
      <c r="J1153" s="14">
        <v>0.699713030221505</v>
      </c>
      <c r="K1153" s="14" t="s">
        <v>14454</v>
      </c>
    </row>
    <row r="1154" spans="1:11">
      <c r="A1154" s="14" t="s">
        <v>21178</v>
      </c>
      <c r="B1154" s="14" t="s">
        <v>21179</v>
      </c>
      <c r="C1154" s="14" t="s">
        <v>16086</v>
      </c>
      <c r="D1154" s="14">
        <v>1</v>
      </c>
      <c r="E1154" s="14">
        <v>1239</v>
      </c>
      <c r="F1154" s="14">
        <v>18</v>
      </c>
      <c r="G1154" s="14">
        <v>15605</v>
      </c>
      <c r="H1154" s="14">
        <v>0.774612368771659</v>
      </c>
      <c r="I1154" s="14">
        <v>0.960035624435993</v>
      </c>
      <c r="J1154" s="14">
        <v>0.699713030221505</v>
      </c>
      <c r="K1154" s="14" t="s">
        <v>8771</v>
      </c>
    </row>
    <row r="1155" spans="1:11">
      <c r="A1155" s="14" t="s">
        <v>16664</v>
      </c>
      <c r="B1155" s="14" t="s">
        <v>16665</v>
      </c>
      <c r="C1155" s="14" t="s">
        <v>16090</v>
      </c>
      <c r="D1155" s="14">
        <v>1</v>
      </c>
      <c r="E1155" s="14">
        <v>1239</v>
      </c>
      <c r="F1155" s="14">
        <v>18</v>
      </c>
      <c r="G1155" s="14">
        <v>15605</v>
      </c>
      <c r="H1155" s="14">
        <v>0.774612368771659</v>
      </c>
      <c r="I1155" s="14">
        <v>0.960035624435993</v>
      </c>
      <c r="J1155" s="14">
        <v>0.699713030221505</v>
      </c>
      <c r="K1155" s="14" t="s">
        <v>9829</v>
      </c>
    </row>
    <row r="1156" spans="1:11">
      <c r="A1156" s="14" t="s">
        <v>16425</v>
      </c>
      <c r="B1156" s="14" t="s">
        <v>16426</v>
      </c>
      <c r="C1156" s="14" t="s">
        <v>16090</v>
      </c>
      <c r="D1156" s="14">
        <v>10</v>
      </c>
      <c r="E1156" s="14">
        <v>1239</v>
      </c>
      <c r="F1156" s="14">
        <v>152</v>
      </c>
      <c r="G1156" s="14">
        <v>15605</v>
      </c>
      <c r="H1156" s="14">
        <v>0.775705032437432</v>
      </c>
      <c r="I1156" s="14">
        <v>0.960556751605798</v>
      </c>
      <c r="J1156" s="14">
        <v>0.828607535788624</v>
      </c>
      <c r="K1156" s="14" t="s">
        <v>21180</v>
      </c>
    </row>
    <row r="1157" spans="1:11">
      <c r="A1157" s="14" t="s">
        <v>17616</v>
      </c>
      <c r="B1157" s="14" t="s">
        <v>17617</v>
      </c>
      <c r="C1157" s="14" t="s">
        <v>16090</v>
      </c>
      <c r="D1157" s="14">
        <v>2</v>
      </c>
      <c r="E1157" s="14">
        <v>1239</v>
      </c>
      <c r="F1157" s="14">
        <v>35</v>
      </c>
      <c r="G1157" s="14">
        <v>15605</v>
      </c>
      <c r="H1157" s="14">
        <v>0.778211407667545</v>
      </c>
      <c r="I1157" s="14">
        <v>0.962304090704329</v>
      </c>
      <c r="J1157" s="14">
        <v>0.719704831084976</v>
      </c>
      <c r="K1157" s="14" t="s">
        <v>21181</v>
      </c>
    </row>
    <row r="1158" spans="1:11">
      <c r="A1158" s="14" t="s">
        <v>19374</v>
      </c>
      <c r="B1158" s="14" t="s">
        <v>19375</v>
      </c>
      <c r="C1158" s="14" t="s">
        <v>16090</v>
      </c>
      <c r="D1158" s="14">
        <v>4</v>
      </c>
      <c r="E1158" s="14">
        <v>1239</v>
      </c>
      <c r="F1158" s="14">
        <v>66</v>
      </c>
      <c r="G1158" s="14">
        <v>15605</v>
      </c>
      <c r="H1158" s="14">
        <v>0.779392405685268</v>
      </c>
      <c r="I1158" s="14">
        <v>0.962304090704329</v>
      </c>
      <c r="J1158" s="14">
        <v>0.763323305696187</v>
      </c>
      <c r="K1158" s="14" t="s">
        <v>21182</v>
      </c>
    </row>
    <row r="1159" spans="1:11">
      <c r="A1159" s="14" t="s">
        <v>16449</v>
      </c>
      <c r="B1159" s="14" t="s">
        <v>16450</v>
      </c>
      <c r="C1159" s="14" t="s">
        <v>16090</v>
      </c>
      <c r="D1159" s="14">
        <v>4</v>
      </c>
      <c r="E1159" s="14">
        <v>1239</v>
      </c>
      <c r="F1159" s="14">
        <v>66</v>
      </c>
      <c r="G1159" s="14">
        <v>15605</v>
      </c>
      <c r="H1159" s="14">
        <v>0.779392405685268</v>
      </c>
      <c r="I1159" s="14">
        <v>0.962304090704329</v>
      </c>
      <c r="J1159" s="14">
        <v>0.763323305696187</v>
      </c>
      <c r="K1159" s="14" t="s">
        <v>21183</v>
      </c>
    </row>
    <row r="1160" spans="1:11">
      <c r="A1160" s="14" t="s">
        <v>16219</v>
      </c>
      <c r="B1160" s="14" t="s">
        <v>16220</v>
      </c>
      <c r="C1160" s="14" t="s">
        <v>16090</v>
      </c>
      <c r="D1160" s="14">
        <v>8</v>
      </c>
      <c r="E1160" s="14">
        <v>1239</v>
      </c>
      <c r="F1160" s="14">
        <v>125</v>
      </c>
      <c r="G1160" s="14">
        <v>15605</v>
      </c>
      <c r="H1160" s="14">
        <v>0.785104411207404</v>
      </c>
      <c r="I1160" s="14">
        <v>0.962304090704329</v>
      </c>
      <c r="J1160" s="14">
        <v>0.806069410815174</v>
      </c>
      <c r="K1160" s="14" t="s">
        <v>21184</v>
      </c>
    </row>
    <row r="1161" spans="1:11">
      <c r="A1161" s="14" t="s">
        <v>19490</v>
      </c>
      <c r="B1161" s="14" t="s">
        <v>19491</v>
      </c>
      <c r="C1161" s="14" t="s">
        <v>16090</v>
      </c>
      <c r="D1161" s="14">
        <v>5</v>
      </c>
      <c r="E1161" s="14">
        <v>1239</v>
      </c>
      <c r="F1161" s="14">
        <v>82</v>
      </c>
      <c r="G1161" s="14">
        <v>15605</v>
      </c>
      <c r="H1161" s="14">
        <v>0.789735621008056</v>
      </c>
      <c r="I1161" s="14">
        <v>0.962304090704329</v>
      </c>
      <c r="J1161" s="14">
        <v>0.767977716096773</v>
      </c>
      <c r="K1161" s="14" t="s">
        <v>21185</v>
      </c>
    </row>
    <row r="1162" spans="1:11">
      <c r="A1162" s="14" t="s">
        <v>21186</v>
      </c>
      <c r="B1162" s="14" t="s">
        <v>21187</v>
      </c>
      <c r="C1162" s="14" t="s">
        <v>16090</v>
      </c>
      <c r="D1162" s="14">
        <v>2</v>
      </c>
      <c r="E1162" s="14">
        <v>1239</v>
      </c>
      <c r="F1162" s="14">
        <v>36</v>
      </c>
      <c r="G1162" s="14">
        <v>15605</v>
      </c>
      <c r="H1162" s="14">
        <v>0.791465724722399</v>
      </c>
      <c r="I1162" s="14">
        <v>0.962304090704329</v>
      </c>
      <c r="J1162" s="14">
        <v>0.699713030221505</v>
      </c>
      <c r="K1162" s="14" t="s">
        <v>21188</v>
      </c>
    </row>
    <row r="1163" spans="1:11">
      <c r="A1163" s="14" t="s">
        <v>19437</v>
      </c>
      <c r="B1163" s="14" t="s">
        <v>19438</v>
      </c>
      <c r="C1163" s="14" t="s">
        <v>16096</v>
      </c>
      <c r="D1163" s="14">
        <v>2</v>
      </c>
      <c r="E1163" s="14">
        <v>1239</v>
      </c>
      <c r="F1163" s="14">
        <v>36</v>
      </c>
      <c r="G1163" s="14">
        <v>15605</v>
      </c>
      <c r="H1163" s="14">
        <v>0.791465724722399</v>
      </c>
      <c r="I1163" s="14">
        <v>0.962304090704329</v>
      </c>
      <c r="J1163" s="14">
        <v>0.699713030221505</v>
      </c>
      <c r="K1163" s="14" t="s">
        <v>21189</v>
      </c>
    </row>
    <row r="1164" spans="1:11">
      <c r="A1164" s="14" t="s">
        <v>19102</v>
      </c>
      <c r="B1164" s="14" t="s">
        <v>19103</v>
      </c>
      <c r="C1164" s="14" t="s">
        <v>16090</v>
      </c>
      <c r="D1164" s="14">
        <v>2</v>
      </c>
      <c r="E1164" s="14">
        <v>1239</v>
      </c>
      <c r="F1164" s="14">
        <v>36</v>
      </c>
      <c r="G1164" s="14">
        <v>15605</v>
      </c>
      <c r="H1164" s="14">
        <v>0.791465724722399</v>
      </c>
      <c r="I1164" s="14">
        <v>0.962304090704329</v>
      </c>
      <c r="J1164" s="14">
        <v>0.699713030221505</v>
      </c>
      <c r="K1164" s="14" t="s">
        <v>21190</v>
      </c>
    </row>
    <row r="1165" spans="1:11">
      <c r="A1165" s="14" t="s">
        <v>19441</v>
      </c>
      <c r="B1165" s="14" t="s">
        <v>19442</v>
      </c>
      <c r="C1165" s="14" t="s">
        <v>16090</v>
      </c>
      <c r="D1165" s="14">
        <v>2</v>
      </c>
      <c r="E1165" s="14">
        <v>1239</v>
      </c>
      <c r="F1165" s="14">
        <v>36</v>
      </c>
      <c r="G1165" s="14">
        <v>15605</v>
      </c>
      <c r="H1165" s="14">
        <v>0.791465724722399</v>
      </c>
      <c r="I1165" s="14">
        <v>0.962304090704329</v>
      </c>
      <c r="J1165" s="14">
        <v>0.699713030221505</v>
      </c>
      <c r="K1165" s="14" t="s">
        <v>21191</v>
      </c>
    </row>
    <row r="1166" spans="1:11">
      <c r="A1166" s="14" t="s">
        <v>19443</v>
      </c>
      <c r="B1166" s="14" t="s">
        <v>19444</v>
      </c>
      <c r="C1166" s="14" t="s">
        <v>16090</v>
      </c>
      <c r="D1166" s="14">
        <v>2</v>
      </c>
      <c r="E1166" s="14">
        <v>1239</v>
      </c>
      <c r="F1166" s="14">
        <v>36</v>
      </c>
      <c r="G1166" s="14">
        <v>15605</v>
      </c>
      <c r="H1166" s="14">
        <v>0.791465724722399</v>
      </c>
      <c r="I1166" s="14">
        <v>0.962304090704329</v>
      </c>
      <c r="J1166" s="14">
        <v>0.699713030221505</v>
      </c>
      <c r="K1166" s="14" t="s">
        <v>20695</v>
      </c>
    </row>
    <row r="1167" spans="1:11">
      <c r="A1167" s="14" t="s">
        <v>16169</v>
      </c>
      <c r="B1167" s="14" t="s">
        <v>16170</v>
      </c>
      <c r="C1167" s="14" t="s">
        <v>16090</v>
      </c>
      <c r="D1167" s="14">
        <v>8</v>
      </c>
      <c r="E1167" s="14">
        <v>1239</v>
      </c>
      <c r="F1167" s="14">
        <v>126</v>
      </c>
      <c r="G1167" s="14">
        <v>15605</v>
      </c>
      <c r="H1167" s="14">
        <v>0.792370705254995</v>
      </c>
      <c r="I1167" s="14">
        <v>0.962304090704329</v>
      </c>
      <c r="J1167" s="14">
        <v>0.799672034538862</v>
      </c>
      <c r="K1167" s="14" t="s">
        <v>21192</v>
      </c>
    </row>
    <row r="1168" spans="1:11">
      <c r="A1168" s="14" t="s">
        <v>18055</v>
      </c>
      <c r="B1168" s="14" t="s">
        <v>18056</v>
      </c>
      <c r="C1168" s="14" t="s">
        <v>16086</v>
      </c>
      <c r="D1168" s="14">
        <v>1</v>
      </c>
      <c r="E1168" s="14">
        <v>1239</v>
      </c>
      <c r="F1168" s="14">
        <v>19</v>
      </c>
      <c r="G1168" s="14">
        <v>15605</v>
      </c>
      <c r="H1168" s="14">
        <v>0.792528277868465</v>
      </c>
      <c r="I1168" s="14">
        <v>0.962304090704329</v>
      </c>
      <c r="J1168" s="14">
        <v>0.662886028630899</v>
      </c>
      <c r="K1168" s="14" t="s">
        <v>9773</v>
      </c>
    </row>
    <row r="1169" spans="1:11">
      <c r="A1169" s="14" t="s">
        <v>19066</v>
      </c>
      <c r="B1169" s="14" t="s">
        <v>19067</v>
      </c>
      <c r="C1169" s="14" t="s">
        <v>16086</v>
      </c>
      <c r="D1169" s="14">
        <v>1</v>
      </c>
      <c r="E1169" s="14">
        <v>1239</v>
      </c>
      <c r="F1169" s="14">
        <v>19</v>
      </c>
      <c r="G1169" s="14">
        <v>15605</v>
      </c>
      <c r="H1169" s="14">
        <v>0.792528277868465</v>
      </c>
      <c r="I1169" s="14">
        <v>0.962304090704329</v>
      </c>
      <c r="J1169" s="14">
        <v>0.662886028630899</v>
      </c>
      <c r="K1169" s="14" t="s">
        <v>14154</v>
      </c>
    </row>
    <row r="1170" spans="1:11">
      <c r="A1170" s="14" t="s">
        <v>16408</v>
      </c>
      <c r="B1170" s="14" t="s">
        <v>16409</v>
      </c>
      <c r="C1170" s="14" t="s">
        <v>16086</v>
      </c>
      <c r="D1170" s="14">
        <v>1</v>
      </c>
      <c r="E1170" s="14">
        <v>1239</v>
      </c>
      <c r="F1170" s="14">
        <v>19</v>
      </c>
      <c r="G1170" s="14">
        <v>15605</v>
      </c>
      <c r="H1170" s="14">
        <v>0.792528277868465</v>
      </c>
      <c r="I1170" s="14">
        <v>0.962304090704329</v>
      </c>
      <c r="J1170" s="14">
        <v>0.662886028630899</v>
      </c>
      <c r="K1170" s="14" t="s">
        <v>4663</v>
      </c>
    </row>
    <row r="1171" spans="1:11">
      <c r="A1171" s="14" t="s">
        <v>17161</v>
      </c>
      <c r="B1171" s="14" t="s">
        <v>17162</v>
      </c>
      <c r="C1171" s="14" t="s">
        <v>16086</v>
      </c>
      <c r="D1171" s="14">
        <v>1</v>
      </c>
      <c r="E1171" s="14">
        <v>1239</v>
      </c>
      <c r="F1171" s="14">
        <v>19</v>
      </c>
      <c r="G1171" s="14">
        <v>15605</v>
      </c>
      <c r="H1171" s="14">
        <v>0.792528277868465</v>
      </c>
      <c r="I1171" s="14">
        <v>0.962304090704329</v>
      </c>
      <c r="J1171" s="14">
        <v>0.662886028630899</v>
      </c>
      <c r="K1171" s="14" t="s">
        <v>15688</v>
      </c>
    </row>
    <row r="1172" spans="1:11">
      <c r="A1172" s="14" t="s">
        <v>17163</v>
      </c>
      <c r="B1172" s="14" t="s">
        <v>17164</v>
      </c>
      <c r="C1172" s="14" t="s">
        <v>16090</v>
      </c>
      <c r="D1172" s="14">
        <v>1</v>
      </c>
      <c r="E1172" s="14">
        <v>1239</v>
      </c>
      <c r="F1172" s="14">
        <v>19</v>
      </c>
      <c r="G1172" s="14">
        <v>15605</v>
      </c>
      <c r="H1172" s="14">
        <v>0.792528277868465</v>
      </c>
      <c r="I1172" s="14">
        <v>0.962304090704329</v>
      </c>
      <c r="J1172" s="14">
        <v>0.662886028630899</v>
      </c>
      <c r="K1172" s="14" t="s">
        <v>10262</v>
      </c>
    </row>
    <row r="1173" spans="1:11">
      <c r="A1173" s="14" t="s">
        <v>16682</v>
      </c>
      <c r="B1173" s="14" t="s">
        <v>16683</v>
      </c>
      <c r="C1173" s="14" t="s">
        <v>16090</v>
      </c>
      <c r="D1173" s="14">
        <v>1</v>
      </c>
      <c r="E1173" s="14">
        <v>1239</v>
      </c>
      <c r="F1173" s="14">
        <v>19</v>
      </c>
      <c r="G1173" s="14">
        <v>15605</v>
      </c>
      <c r="H1173" s="14">
        <v>0.792528277868465</v>
      </c>
      <c r="I1173" s="14">
        <v>0.962304090704329</v>
      </c>
      <c r="J1173" s="14">
        <v>0.662886028630899</v>
      </c>
      <c r="K1173" s="14" t="s">
        <v>3965</v>
      </c>
    </row>
    <row r="1174" spans="1:11">
      <c r="A1174" s="14" t="s">
        <v>19080</v>
      </c>
      <c r="B1174" s="14" t="s">
        <v>19081</v>
      </c>
      <c r="C1174" s="14" t="s">
        <v>16090</v>
      </c>
      <c r="D1174" s="14">
        <v>1</v>
      </c>
      <c r="E1174" s="14">
        <v>1239</v>
      </c>
      <c r="F1174" s="14">
        <v>19</v>
      </c>
      <c r="G1174" s="14">
        <v>15605</v>
      </c>
      <c r="H1174" s="14">
        <v>0.792528277868465</v>
      </c>
      <c r="I1174" s="14">
        <v>0.962304090704329</v>
      </c>
      <c r="J1174" s="14">
        <v>0.662886028630899</v>
      </c>
      <c r="K1174" s="14" t="s">
        <v>12892</v>
      </c>
    </row>
    <row r="1175" spans="1:11">
      <c r="A1175" s="14" t="s">
        <v>16688</v>
      </c>
      <c r="B1175" s="14" t="s">
        <v>16689</v>
      </c>
      <c r="C1175" s="14" t="s">
        <v>16090</v>
      </c>
      <c r="D1175" s="14">
        <v>1</v>
      </c>
      <c r="E1175" s="14">
        <v>1239</v>
      </c>
      <c r="F1175" s="14">
        <v>19</v>
      </c>
      <c r="G1175" s="14">
        <v>15605</v>
      </c>
      <c r="H1175" s="14">
        <v>0.792528277868465</v>
      </c>
      <c r="I1175" s="14">
        <v>0.962304090704329</v>
      </c>
      <c r="J1175" s="14">
        <v>0.662886028630899</v>
      </c>
      <c r="K1175" s="14" t="s">
        <v>14537</v>
      </c>
    </row>
    <row r="1176" spans="1:11">
      <c r="A1176" s="14" t="s">
        <v>19082</v>
      </c>
      <c r="B1176" s="14" t="s">
        <v>19083</v>
      </c>
      <c r="C1176" s="14" t="s">
        <v>16086</v>
      </c>
      <c r="D1176" s="14">
        <v>1</v>
      </c>
      <c r="E1176" s="14">
        <v>1239</v>
      </c>
      <c r="F1176" s="14">
        <v>19</v>
      </c>
      <c r="G1176" s="14">
        <v>15605</v>
      </c>
      <c r="H1176" s="14">
        <v>0.792528277868465</v>
      </c>
      <c r="I1176" s="14">
        <v>0.962304090704329</v>
      </c>
      <c r="J1176" s="14">
        <v>0.662886028630899</v>
      </c>
      <c r="K1176" s="14" t="s">
        <v>1090</v>
      </c>
    </row>
    <row r="1177" spans="1:11">
      <c r="A1177" s="14" t="s">
        <v>17170</v>
      </c>
      <c r="B1177" s="14" t="s">
        <v>17171</v>
      </c>
      <c r="C1177" s="14" t="s">
        <v>16090</v>
      </c>
      <c r="D1177" s="14">
        <v>1</v>
      </c>
      <c r="E1177" s="14">
        <v>1239</v>
      </c>
      <c r="F1177" s="14">
        <v>19</v>
      </c>
      <c r="G1177" s="14">
        <v>15605</v>
      </c>
      <c r="H1177" s="14">
        <v>0.792528277868465</v>
      </c>
      <c r="I1177" s="14">
        <v>0.962304090704329</v>
      </c>
      <c r="J1177" s="14">
        <v>0.662886028630899</v>
      </c>
      <c r="K1177" s="14" t="s">
        <v>7237</v>
      </c>
    </row>
    <row r="1178" spans="1:11">
      <c r="A1178" s="14" t="s">
        <v>21193</v>
      </c>
      <c r="B1178" s="14" t="s">
        <v>21194</v>
      </c>
      <c r="C1178" s="14" t="s">
        <v>16086</v>
      </c>
      <c r="D1178" s="14">
        <v>3</v>
      </c>
      <c r="E1178" s="14">
        <v>1239</v>
      </c>
      <c r="F1178" s="14">
        <v>52</v>
      </c>
      <c r="G1178" s="14">
        <v>15605</v>
      </c>
      <c r="H1178" s="14">
        <v>0.792604558963608</v>
      </c>
      <c r="I1178" s="14">
        <v>0.962304090704329</v>
      </c>
      <c r="J1178" s="14">
        <v>0.726625069845409</v>
      </c>
      <c r="K1178" s="14" t="s">
        <v>21195</v>
      </c>
    </row>
    <row r="1179" spans="1:11">
      <c r="A1179" s="14" t="s">
        <v>21196</v>
      </c>
      <c r="B1179" s="14" t="s">
        <v>21197</v>
      </c>
      <c r="C1179" s="14" t="s">
        <v>16096</v>
      </c>
      <c r="D1179" s="14">
        <v>3</v>
      </c>
      <c r="E1179" s="14">
        <v>1239</v>
      </c>
      <c r="F1179" s="14">
        <v>52</v>
      </c>
      <c r="G1179" s="14">
        <v>15605</v>
      </c>
      <c r="H1179" s="14">
        <v>0.792604558963608</v>
      </c>
      <c r="I1179" s="14">
        <v>0.962304090704329</v>
      </c>
      <c r="J1179" s="14">
        <v>0.726625069845409</v>
      </c>
      <c r="K1179" s="14" t="s">
        <v>21198</v>
      </c>
    </row>
    <row r="1180" spans="1:11">
      <c r="A1180" s="14" t="s">
        <v>18534</v>
      </c>
      <c r="B1180" s="14" t="s">
        <v>18535</v>
      </c>
      <c r="C1180" s="14" t="s">
        <v>16096</v>
      </c>
      <c r="D1180" s="14">
        <v>27</v>
      </c>
      <c r="E1180" s="14">
        <v>1239</v>
      </c>
      <c r="F1180" s="14">
        <v>389</v>
      </c>
      <c r="G1180" s="14">
        <v>15605</v>
      </c>
      <c r="H1180" s="14">
        <v>0.795432016897516</v>
      </c>
      <c r="I1180" s="14">
        <v>0.964917107085356</v>
      </c>
      <c r="J1180" s="14">
        <v>0.874191600739464</v>
      </c>
      <c r="K1180" s="14" t="s">
        <v>21199</v>
      </c>
    </row>
    <row r="1181" spans="1:11">
      <c r="A1181" s="14" t="s">
        <v>19620</v>
      </c>
      <c r="B1181" s="14" t="s">
        <v>19621</v>
      </c>
      <c r="C1181" s="14" t="s">
        <v>16090</v>
      </c>
      <c r="D1181" s="14">
        <v>17</v>
      </c>
      <c r="E1181" s="14">
        <v>1239</v>
      </c>
      <c r="F1181" s="14">
        <v>254</v>
      </c>
      <c r="G1181" s="14">
        <v>15605</v>
      </c>
      <c r="H1181" s="14">
        <v>0.802387317988841</v>
      </c>
      <c r="I1181" s="14">
        <v>0.965823878769875</v>
      </c>
      <c r="J1181" s="14">
        <v>0.842961367117246</v>
      </c>
      <c r="K1181" s="14" t="s">
        <v>21200</v>
      </c>
    </row>
    <row r="1182" spans="1:11">
      <c r="A1182" s="14" t="s">
        <v>16514</v>
      </c>
      <c r="B1182" s="14" t="s">
        <v>16515</v>
      </c>
      <c r="C1182" s="14" t="s">
        <v>16086</v>
      </c>
      <c r="D1182" s="14">
        <v>3</v>
      </c>
      <c r="E1182" s="14">
        <v>1239</v>
      </c>
      <c r="F1182" s="14">
        <v>53</v>
      </c>
      <c r="G1182" s="14">
        <v>15605</v>
      </c>
      <c r="H1182" s="14">
        <v>0.803217519331528</v>
      </c>
      <c r="I1182" s="14">
        <v>0.965823878769875</v>
      </c>
      <c r="J1182" s="14">
        <v>0.712915162867194</v>
      </c>
      <c r="K1182" s="14" t="s">
        <v>21201</v>
      </c>
    </row>
    <row r="1183" spans="1:11">
      <c r="A1183" s="14" t="s">
        <v>16098</v>
      </c>
      <c r="B1183" s="14" t="s">
        <v>16099</v>
      </c>
      <c r="C1183" s="14" t="s">
        <v>16090</v>
      </c>
      <c r="D1183" s="14">
        <v>2</v>
      </c>
      <c r="E1183" s="14">
        <v>1239</v>
      </c>
      <c r="F1183" s="14">
        <v>37</v>
      </c>
      <c r="G1183" s="14">
        <v>15605</v>
      </c>
      <c r="H1183" s="14">
        <v>0.804015556151311</v>
      </c>
      <c r="I1183" s="14">
        <v>0.965823878769875</v>
      </c>
      <c r="J1183" s="14">
        <v>0.680801867242545</v>
      </c>
      <c r="K1183" s="14" t="s">
        <v>21202</v>
      </c>
    </row>
    <row r="1184" spans="1:11">
      <c r="A1184" s="14" t="s">
        <v>19110</v>
      </c>
      <c r="B1184" s="14" t="s">
        <v>19111</v>
      </c>
      <c r="C1184" s="14" t="s">
        <v>16096</v>
      </c>
      <c r="D1184" s="14">
        <v>1</v>
      </c>
      <c r="E1184" s="14">
        <v>1239</v>
      </c>
      <c r="F1184" s="14">
        <v>20</v>
      </c>
      <c r="G1184" s="14">
        <v>15605</v>
      </c>
      <c r="H1184" s="14">
        <v>0.809021121684773</v>
      </c>
      <c r="I1184" s="14">
        <v>0.965823878769875</v>
      </c>
      <c r="J1184" s="14">
        <v>0.629741727199354</v>
      </c>
      <c r="K1184" s="14" t="s">
        <v>11542</v>
      </c>
    </row>
    <row r="1185" spans="1:11">
      <c r="A1185" s="14" t="s">
        <v>19112</v>
      </c>
      <c r="B1185" s="14" t="s">
        <v>19113</v>
      </c>
      <c r="C1185" s="14" t="s">
        <v>16096</v>
      </c>
      <c r="D1185" s="14">
        <v>1</v>
      </c>
      <c r="E1185" s="14">
        <v>1239</v>
      </c>
      <c r="F1185" s="14">
        <v>20</v>
      </c>
      <c r="G1185" s="14">
        <v>15605</v>
      </c>
      <c r="H1185" s="14">
        <v>0.809021121684773</v>
      </c>
      <c r="I1185" s="14">
        <v>0.965823878769875</v>
      </c>
      <c r="J1185" s="14">
        <v>0.629741727199354</v>
      </c>
      <c r="K1185" s="14" t="s">
        <v>7422</v>
      </c>
    </row>
    <row r="1186" spans="1:11">
      <c r="A1186" s="14" t="s">
        <v>17229</v>
      </c>
      <c r="B1186" s="14" t="s">
        <v>17230</v>
      </c>
      <c r="C1186" s="14" t="s">
        <v>16096</v>
      </c>
      <c r="D1186" s="14">
        <v>1</v>
      </c>
      <c r="E1186" s="14">
        <v>1239</v>
      </c>
      <c r="F1186" s="14">
        <v>20</v>
      </c>
      <c r="G1186" s="14">
        <v>15605</v>
      </c>
      <c r="H1186" s="14">
        <v>0.809021121684773</v>
      </c>
      <c r="I1186" s="14">
        <v>0.965823878769875</v>
      </c>
      <c r="J1186" s="14">
        <v>0.629741727199354</v>
      </c>
      <c r="K1186" s="14" t="s">
        <v>3300</v>
      </c>
    </row>
    <row r="1187" spans="1:11">
      <c r="A1187" s="14" t="s">
        <v>21203</v>
      </c>
      <c r="B1187" s="14" t="s">
        <v>21204</v>
      </c>
      <c r="C1187" s="14" t="s">
        <v>16096</v>
      </c>
      <c r="D1187" s="14">
        <v>1</v>
      </c>
      <c r="E1187" s="14">
        <v>1239</v>
      </c>
      <c r="F1187" s="14">
        <v>20</v>
      </c>
      <c r="G1187" s="14">
        <v>15605</v>
      </c>
      <c r="H1187" s="14">
        <v>0.809021121684773</v>
      </c>
      <c r="I1187" s="14">
        <v>0.965823878769875</v>
      </c>
      <c r="J1187" s="14">
        <v>0.629741727199354</v>
      </c>
      <c r="K1187" s="14" t="s">
        <v>8640</v>
      </c>
    </row>
    <row r="1188" spans="1:11">
      <c r="A1188" s="14" t="s">
        <v>19116</v>
      </c>
      <c r="B1188" s="14" t="s">
        <v>19117</v>
      </c>
      <c r="C1188" s="14" t="s">
        <v>16086</v>
      </c>
      <c r="D1188" s="14">
        <v>1</v>
      </c>
      <c r="E1188" s="14">
        <v>1239</v>
      </c>
      <c r="F1188" s="14">
        <v>20</v>
      </c>
      <c r="G1188" s="14">
        <v>15605</v>
      </c>
      <c r="H1188" s="14">
        <v>0.809021121684773</v>
      </c>
      <c r="I1188" s="14">
        <v>0.965823878769875</v>
      </c>
      <c r="J1188" s="14">
        <v>0.629741727199354</v>
      </c>
      <c r="K1188" s="14" t="s">
        <v>9478</v>
      </c>
    </row>
    <row r="1189" spans="1:11">
      <c r="A1189" s="14" t="s">
        <v>16767</v>
      </c>
      <c r="B1189" s="14" t="s">
        <v>16768</v>
      </c>
      <c r="C1189" s="14" t="s">
        <v>16090</v>
      </c>
      <c r="D1189" s="14">
        <v>1</v>
      </c>
      <c r="E1189" s="14">
        <v>1239</v>
      </c>
      <c r="F1189" s="14">
        <v>20</v>
      </c>
      <c r="G1189" s="14">
        <v>15605</v>
      </c>
      <c r="H1189" s="14">
        <v>0.809021121684773</v>
      </c>
      <c r="I1189" s="14">
        <v>0.965823878769875</v>
      </c>
      <c r="J1189" s="14">
        <v>0.629741727199354</v>
      </c>
      <c r="K1189" s="14" t="s">
        <v>5982</v>
      </c>
    </row>
    <row r="1190" spans="1:11">
      <c r="A1190" s="14" t="s">
        <v>19124</v>
      </c>
      <c r="B1190" s="14" t="s">
        <v>19125</v>
      </c>
      <c r="C1190" s="14" t="s">
        <v>16090</v>
      </c>
      <c r="D1190" s="14">
        <v>1</v>
      </c>
      <c r="E1190" s="14">
        <v>1239</v>
      </c>
      <c r="F1190" s="14">
        <v>20</v>
      </c>
      <c r="G1190" s="14">
        <v>15605</v>
      </c>
      <c r="H1190" s="14">
        <v>0.809021121684773</v>
      </c>
      <c r="I1190" s="14">
        <v>0.965823878769875</v>
      </c>
      <c r="J1190" s="14">
        <v>0.629741727199354</v>
      </c>
      <c r="K1190" s="14" t="s">
        <v>8233</v>
      </c>
    </row>
    <row r="1191" spans="1:11">
      <c r="A1191" s="14" t="s">
        <v>17235</v>
      </c>
      <c r="B1191" s="14" t="s">
        <v>17236</v>
      </c>
      <c r="C1191" s="14" t="s">
        <v>16090</v>
      </c>
      <c r="D1191" s="14">
        <v>1</v>
      </c>
      <c r="E1191" s="14">
        <v>1239</v>
      </c>
      <c r="F1191" s="14">
        <v>20</v>
      </c>
      <c r="G1191" s="14">
        <v>15605</v>
      </c>
      <c r="H1191" s="14">
        <v>0.809021121684773</v>
      </c>
      <c r="I1191" s="14">
        <v>0.965823878769875</v>
      </c>
      <c r="J1191" s="14">
        <v>0.629741727199354</v>
      </c>
      <c r="K1191" s="14" t="s">
        <v>11027</v>
      </c>
    </row>
    <row r="1192" spans="1:11">
      <c r="A1192" s="14" t="s">
        <v>18220</v>
      </c>
      <c r="B1192" s="14" t="s">
        <v>18221</v>
      </c>
      <c r="C1192" s="14" t="s">
        <v>16096</v>
      </c>
      <c r="D1192" s="14">
        <v>1</v>
      </c>
      <c r="E1192" s="14">
        <v>1239</v>
      </c>
      <c r="F1192" s="14">
        <v>20</v>
      </c>
      <c r="G1192" s="14">
        <v>15605</v>
      </c>
      <c r="H1192" s="14">
        <v>0.809021121684773</v>
      </c>
      <c r="I1192" s="14">
        <v>0.965823878769875</v>
      </c>
      <c r="J1192" s="14">
        <v>0.629741727199354</v>
      </c>
      <c r="K1192" s="14" t="s">
        <v>15054</v>
      </c>
    </row>
    <row r="1193" spans="1:11">
      <c r="A1193" s="14" t="s">
        <v>21205</v>
      </c>
      <c r="B1193" s="14" t="s">
        <v>21206</v>
      </c>
      <c r="C1193" s="14" t="s">
        <v>16090</v>
      </c>
      <c r="D1193" s="14">
        <v>1</v>
      </c>
      <c r="E1193" s="14">
        <v>1239</v>
      </c>
      <c r="F1193" s="14">
        <v>20</v>
      </c>
      <c r="G1193" s="14">
        <v>15605</v>
      </c>
      <c r="H1193" s="14">
        <v>0.809021121684773</v>
      </c>
      <c r="I1193" s="14">
        <v>0.965823878769875</v>
      </c>
      <c r="J1193" s="14">
        <v>0.629741727199354</v>
      </c>
      <c r="K1193" s="14" t="s">
        <v>3491</v>
      </c>
    </row>
    <row r="1194" spans="1:11">
      <c r="A1194" s="14" t="s">
        <v>16770</v>
      </c>
      <c r="B1194" s="14" t="s">
        <v>16771</v>
      </c>
      <c r="C1194" s="14" t="s">
        <v>16090</v>
      </c>
      <c r="D1194" s="14">
        <v>1</v>
      </c>
      <c r="E1194" s="14">
        <v>1239</v>
      </c>
      <c r="F1194" s="14">
        <v>20</v>
      </c>
      <c r="G1194" s="14">
        <v>15605</v>
      </c>
      <c r="H1194" s="14">
        <v>0.809021121684773</v>
      </c>
      <c r="I1194" s="14">
        <v>0.965823878769875</v>
      </c>
      <c r="J1194" s="14">
        <v>0.629741727199354</v>
      </c>
      <c r="K1194" s="14" t="s">
        <v>9767</v>
      </c>
    </row>
    <row r="1195" spans="1:11">
      <c r="A1195" s="14" t="s">
        <v>17238</v>
      </c>
      <c r="B1195" s="14" t="s">
        <v>17239</v>
      </c>
      <c r="C1195" s="14" t="s">
        <v>16090</v>
      </c>
      <c r="D1195" s="14">
        <v>1</v>
      </c>
      <c r="E1195" s="14">
        <v>1239</v>
      </c>
      <c r="F1195" s="14">
        <v>20</v>
      </c>
      <c r="G1195" s="14">
        <v>15605</v>
      </c>
      <c r="H1195" s="14">
        <v>0.809021121684773</v>
      </c>
      <c r="I1195" s="14">
        <v>0.965823878769875</v>
      </c>
      <c r="J1195" s="14">
        <v>0.629741727199354</v>
      </c>
      <c r="K1195" s="14" t="s">
        <v>8724</v>
      </c>
    </row>
    <row r="1196" spans="1:11">
      <c r="A1196" s="14" t="s">
        <v>19130</v>
      </c>
      <c r="B1196" s="14" t="s">
        <v>19131</v>
      </c>
      <c r="C1196" s="14" t="s">
        <v>16090</v>
      </c>
      <c r="D1196" s="14">
        <v>1</v>
      </c>
      <c r="E1196" s="14">
        <v>1239</v>
      </c>
      <c r="F1196" s="14">
        <v>20</v>
      </c>
      <c r="G1196" s="14">
        <v>15605</v>
      </c>
      <c r="H1196" s="14">
        <v>0.809021121684773</v>
      </c>
      <c r="I1196" s="14">
        <v>0.965823878769875</v>
      </c>
      <c r="J1196" s="14">
        <v>0.629741727199354</v>
      </c>
      <c r="K1196" s="14" t="s">
        <v>10078</v>
      </c>
    </row>
    <row r="1197" spans="1:11">
      <c r="A1197" s="14" t="s">
        <v>19132</v>
      </c>
      <c r="B1197" s="14" t="s">
        <v>19133</v>
      </c>
      <c r="C1197" s="14" t="s">
        <v>16090</v>
      </c>
      <c r="D1197" s="14">
        <v>1</v>
      </c>
      <c r="E1197" s="14">
        <v>1239</v>
      </c>
      <c r="F1197" s="14">
        <v>20</v>
      </c>
      <c r="G1197" s="14">
        <v>15605</v>
      </c>
      <c r="H1197" s="14">
        <v>0.809021121684773</v>
      </c>
      <c r="I1197" s="14">
        <v>0.965823878769875</v>
      </c>
      <c r="J1197" s="14">
        <v>0.629741727199354</v>
      </c>
      <c r="K1197" s="14" t="s">
        <v>5717</v>
      </c>
    </row>
    <row r="1198" spans="1:11">
      <c r="A1198" s="14" t="s">
        <v>21207</v>
      </c>
      <c r="B1198" s="14" t="s">
        <v>21208</v>
      </c>
      <c r="C1198" s="14" t="s">
        <v>16090</v>
      </c>
      <c r="D1198" s="14">
        <v>1</v>
      </c>
      <c r="E1198" s="14">
        <v>1239</v>
      </c>
      <c r="F1198" s="14">
        <v>20</v>
      </c>
      <c r="G1198" s="14">
        <v>15605</v>
      </c>
      <c r="H1198" s="14">
        <v>0.809021121684773</v>
      </c>
      <c r="I1198" s="14">
        <v>0.965823878769875</v>
      </c>
      <c r="J1198" s="14">
        <v>0.629741727199354</v>
      </c>
      <c r="K1198" s="14" t="s">
        <v>9729</v>
      </c>
    </row>
    <row r="1199" spans="1:11">
      <c r="A1199" s="14" t="s">
        <v>17244</v>
      </c>
      <c r="B1199" s="14" t="s">
        <v>17245</v>
      </c>
      <c r="C1199" s="14" t="s">
        <v>16090</v>
      </c>
      <c r="D1199" s="14">
        <v>1</v>
      </c>
      <c r="E1199" s="14">
        <v>1239</v>
      </c>
      <c r="F1199" s="14">
        <v>20</v>
      </c>
      <c r="G1199" s="14">
        <v>15605</v>
      </c>
      <c r="H1199" s="14">
        <v>0.809021121684773</v>
      </c>
      <c r="I1199" s="14">
        <v>0.965823878769875</v>
      </c>
      <c r="J1199" s="14">
        <v>0.629741727199354</v>
      </c>
      <c r="K1199" s="14" t="s">
        <v>4683</v>
      </c>
    </row>
    <row r="1200" spans="1:11">
      <c r="A1200" s="14" t="s">
        <v>19200</v>
      </c>
      <c r="B1200" s="14" t="s">
        <v>19201</v>
      </c>
      <c r="C1200" s="14" t="s">
        <v>16096</v>
      </c>
      <c r="D1200" s="14">
        <v>3</v>
      </c>
      <c r="E1200" s="14">
        <v>1239</v>
      </c>
      <c r="F1200" s="14">
        <v>54</v>
      </c>
      <c r="G1200" s="14">
        <v>15605</v>
      </c>
      <c r="H1200" s="14">
        <v>0.813370128734567</v>
      </c>
      <c r="I1200" s="14">
        <v>0.970205270418778</v>
      </c>
      <c r="J1200" s="14">
        <v>0.699713030221505</v>
      </c>
      <c r="K1200" s="14" t="s">
        <v>21209</v>
      </c>
    </row>
    <row r="1201" spans="1:11">
      <c r="A1201" s="14" t="s">
        <v>17262</v>
      </c>
      <c r="B1201" s="14" t="s">
        <v>17263</v>
      </c>
      <c r="C1201" s="14" t="s">
        <v>16086</v>
      </c>
      <c r="D1201" s="14">
        <v>4</v>
      </c>
      <c r="E1201" s="14">
        <v>1239</v>
      </c>
      <c r="F1201" s="14">
        <v>70</v>
      </c>
      <c r="G1201" s="14">
        <v>15605</v>
      </c>
      <c r="H1201" s="14">
        <v>0.816948759050082</v>
      </c>
      <c r="I1201" s="14">
        <v>0.973661198234001</v>
      </c>
      <c r="J1201" s="14">
        <v>0.719704831084976</v>
      </c>
      <c r="K1201" s="14" t="s">
        <v>21210</v>
      </c>
    </row>
    <row r="1202" spans="1:11">
      <c r="A1202" s="14" t="s">
        <v>16470</v>
      </c>
      <c r="B1202" s="14" t="s">
        <v>16471</v>
      </c>
      <c r="C1202" s="14" t="s">
        <v>16090</v>
      </c>
      <c r="D1202" s="14">
        <v>1</v>
      </c>
      <c r="E1202" s="14">
        <v>1239</v>
      </c>
      <c r="F1202" s="14">
        <v>21</v>
      </c>
      <c r="G1202" s="14">
        <v>15605</v>
      </c>
      <c r="H1202" s="14">
        <v>0.824203850605694</v>
      </c>
      <c r="I1202" s="14">
        <v>0.976606386828804</v>
      </c>
      <c r="J1202" s="14">
        <v>0.599754025904147</v>
      </c>
      <c r="K1202" s="14" t="s">
        <v>4663</v>
      </c>
    </row>
    <row r="1203" spans="1:11">
      <c r="A1203" s="14" t="s">
        <v>19162</v>
      </c>
      <c r="B1203" s="14" t="s">
        <v>19163</v>
      </c>
      <c r="C1203" s="14" t="s">
        <v>16090</v>
      </c>
      <c r="D1203" s="14">
        <v>1</v>
      </c>
      <c r="E1203" s="14">
        <v>1239</v>
      </c>
      <c r="F1203" s="14">
        <v>21</v>
      </c>
      <c r="G1203" s="14">
        <v>15605</v>
      </c>
      <c r="H1203" s="14">
        <v>0.824203850605694</v>
      </c>
      <c r="I1203" s="14">
        <v>0.976606386828804</v>
      </c>
      <c r="J1203" s="14">
        <v>0.599754025904147</v>
      </c>
      <c r="K1203" s="14" t="s">
        <v>10552</v>
      </c>
    </row>
    <row r="1204" spans="1:11">
      <c r="A1204" s="14" t="s">
        <v>19168</v>
      </c>
      <c r="B1204" s="14" t="s">
        <v>19169</v>
      </c>
      <c r="C1204" s="14" t="s">
        <v>16090</v>
      </c>
      <c r="D1204" s="14">
        <v>1</v>
      </c>
      <c r="E1204" s="14">
        <v>1239</v>
      </c>
      <c r="F1204" s="14">
        <v>21</v>
      </c>
      <c r="G1204" s="14">
        <v>15605</v>
      </c>
      <c r="H1204" s="14">
        <v>0.824203850605694</v>
      </c>
      <c r="I1204" s="14">
        <v>0.976606386828804</v>
      </c>
      <c r="J1204" s="14">
        <v>0.599754025904147</v>
      </c>
      <c r="K1204" s="14" t="s">
        <v>13161</v>
      </c>
    </row>
    <row r="1205" spans="1:11">
      <c r="A1205" s="14" t="s">
        <v>19172</v>
      </c>
      <c r="B1205" s="14" t="s">
        <v>19173</v>
      </c>
      <c r="C1205" s="14" t="s">
        <v>16090</v>
      </c>
      <c r="D1205" s="14">
        <v>1</v>
      </c>
      <c r="E1205" s="14">
        <v>1239</v>
      </c>
      <c r="F1205" s="14">
        <v>21</v>
      </c>
      <c r="G1205" s="14">
        <v>15605</v>
      </c>
      <c r="H1205" s="14">
        <v>0.824203850605694</v>
      </c>
      <c r="I1205" s="14">
        <v>0.976606386828804</v>
      </c>
      <c r="J1205" s="14">
        <v>0.599754025904147</v>
      </c>
      <c r="K1205" s="14" t="s">
        <v>3965</v>
      </c>
    </row>
    <row r="1206" spans="1:11">
      <c r="A1206" s="14" t="s">
        <v>21211</v>
      </c>
      <c r="B1206" s="14" t="s">
        <v>21212</v>
      </c>
      <c r="C1206" s="14" t="s">
        <v>16086</v>
      </c>
      <c r="D1206" s="14">
        <v>1</v>
      </c>
      <c r="E1206" s="14">
        <v>1239</v>
      </c>
      <c r="F1206" s="14">
        <v>21</v>
      </c>
      <c r="G1206" s="14">
        <v>15605</v>
      </c>
      <c r="H1206" s="14">
        <v>0.824203850605694</v>
      </c>
      <c r="I1206" s="14">
        <v>0.976606386828804</v>
      </c>
      <c r="J1206" s="14">
        <v>0.599754025904147</v>
      </c>
      <c r="K1206" s="14" t="s">
        <v>3491</v>
      </c>
    </row>
    <row r="1207" spans="1:11">
      <c r="A1207" s="14" t="s">
        <v>21213</v>
      </c>
      <c r="B1207" s="14" t="s">
        <v>21214</v>
      </c>
      <c r="C1207" s="14" t="s">
        <v>16090</v>
      </c>
      <c r="D1207" s="14">
        <v>1</v>
      </c>
      <c r="E1207" s="14">
        <v>1239</v>
      </c>
      <c r="F1207" s="14">
        <v>21</v>
      </c>
      <c r="G1207" s="14">
        <v>15605</v>
      </c>
      <c r="H1207" s="14">
        <v>0.824203850605694</v>
      </c>
      <c r="I1207" s="14">
        <v>0.976606386828804</v>
      </c>
      <c r="J1207" s="14">
        <v>0.599754025904147</v>
      </c>
      <c r="K1207" s="14" t="s">
        <v>5182</v>
      </c>
    </row>
    <row r="1208" spans="1:11">
      <c r="A1208" s="14" t="s">
        <v>17279</v>
      </c>
      <c r="B1208" s="14" t="s">
        <v>17280</v>
      </c>
      <c r="C1208" s="14" t="s">
        <v>16086</v>
      </c>
      <c r="D1208" s="14">
        <v>1</v>
      </c>
      <c r="E1208" s="14">
        <v>1239</v>
      </c>
      <c r="F1208" s="14">
        <v>21</v>
      </c>
      <c r="G1208" s="14">
        <v>15605</v>
      </c>
      <c r="H1208" s="14">
        <v>0.824203850605694</v>
      </c>
      <c r="I1208" s="14">
        <v>0.976606386828804</v>
      </c>
      <c r="J1208" s="14">
        <v>0.599754025904147</v>
      </c>
      <c r="K1208" s="14" t="s">
        <v>9478</v>
      </c>
    </row>
    <row r="1209" spans="1:11">
      <c r="A1209" s="14" t="s">
        <v>21215</v>
      </c>
      <c r="B1209" s="14" t="s">
        <v>21216</v>
      </c>
      <c r="C1209" s="14" t="s">
        <v>16096</v>
      </c>
      <c r="D1209" s="14">
        <v>4</v>
      </c>
      <c r="E1209" s="14">
        <v>1239</v>
      </c>
      <c r="F1209" s="14">
        <v>71</v>
      </c>
      <c r="G1209" s="14">
        <v>15605</v>
      </c>
      <c r="H1209" s="14">
        <v>0.825471502283835</v>
      </c>
      <c r="I1209" s="14">
        <v>0.976815466803376</v>
      </c>
      <c r="J1209" s="14">
        <v>0.709568143323216</v>
      </c>
      <c r="K1209" s="14" t="s">
        <v>21217</v>
      </c>
    </row>
    <row r="1210" spans="1:11">
      <c r="A1210" s="14" t="s">
        <v>19452</v>
      </c>
      <c r="B1210" s="14" t="s">
        <v>19453</v>
      </c>
      <c r="C1210" s="14" t="s">
        <v>16086</v>
      </c>
      <c r="D1210" s="14">
        <v>2</v>
      </c>
      <c r="E1210" s="14">
        <v>1239</v>
      </c>
      <c r="F1210" s="14">
        <v>39</v>
      </c>
      <c r="G1210" s="14">
        <v>15605</v>
      </c>
      <c r="H1210" s="14">
        <v>0.827114566012656</v>
      </c>
      <c r="I1210" s="14">
        <v>0.976815466803376</v>
      </c>
      <c r="J1210" s="14">
        <v>0.645888950973697</v>
      </c>
      <c r="K1210" s="14" t="s">
        <v>21218</v>
      </c>
    </row>
    <row r="1211" spans="1:11">
      <c r="A1211" s="14" t="s">
        <v>17908</v>
      </c>
      <c r="B1211" s="14" t="s">
        <v>17909</v>
      </c>
      <c r="C1211" s="14" t="s">
        <v>16090</v>
      </c>
      <c r="D1211" s="14">
        <v>2</v>
      </c>
      <c r="E1211" s="14">
        <v>1239</v>
      </c>
      <c r="F1211" s="14">
        <v>39</v>
      </c>
      <c r="G1211" s="14">
        <v>15605</v>
      </c>
      <c r="H1211" s="14">
        <v>0.827114566012656</v>
      </c>
      <c r="I1211" s="14">
        <v>0.976815466803376</v>
      </c>
      <c r="J1211" s="14">
        <v>0.645888950973697</v>
      </c>
      <c r="K1211" s="14" t="s">
        <v>19960</v>
      </c>
    </row>
    <row r="1212" spans="1:11">
      <c r="A1212" s="14" t="s">
        <v>16898</v>
      </c>
      <c r="B1212" s="14" t="s">
        <v>16899</v>
      </c>
      <c r="C1212" s="14" t="s">
        <v>16090</v>
      </c>
      <c r="D1212" s="14">
        <v>2</v>
      </c>
      <c r="E1212" s="14">
        <v>1239</v>
      </c>
      <c r="F1212" s="14">
        <v>39</v>
      </c>
      <c r="G1212" s="14">
        <v>15605</v>
      </c>
      <c r="H1212" s="14">
        <v>0.827114566012656</v>
      </c>
      <c r="I1212" s="14">
        <v>0.976815466803376</v>
      </c>
      <c r="J1212" s="14">
        <v>0.645888950973697</v>
      </c>
      <c r="K1212" s="14" t="s">
        <v>20243</v>
      </c>
    </row>
    <row r="1213" spans="1:11">
      <c r="A1213" s="14" t="s">
        <v>17084</v>
      </c>
      <c r="B1213" s="14" t="s">
        <v>17085</v>
      </c>
      <c r="C1213" s="14" t="s">
        <v>16090</v>
      </c>
      <c r="D1213" s="14">
        <v>6</v>
      </c>
      <c r="E1213" s="14">
        <v>1239</v>
      </c>
      <c r="F1213" s="14">
        <v>102</v>
      </c>
      <c r="G1213" s="14">
        <v>15605</v>
      </c>
      <c r="H1213" s="14">
        <v>0.829706792248442</v>
      </c>
      <c r="I1213" s="14">
        <v>0.979067717690358</v>
      </c>
      <c r="J1213" s="14">
        <v>0.740872620234534</v>
      </c>
      <c r="K1213" s="14" t="s">
        <v>21219</v>
      </c>
    </row>
    <row r="1214" spans="1:11">
      <c r="A1214" s="14" t="s">
        <v>19536</v>
      </c>
      <c r="B1214" s="14" t="s">
        <v>19537</v>
      </c>
      <c r="C1214" s="14" t="s">
        <v>16086</v>
      </c>
      <c r="D1214" s="14">
        <v>3</v>
      </c>
      <c r="E1214" s="14">
        <v>1239</v>
      </c>
      <c r="F1214" s="14">
        <v>56</v>
      </c>
      <c r="G1214" s="14">
        <v>15605</v>
      </c>
      <c r="H1214" s="14">
        <v>0.832346082426073</v>
      </c>
      <c r="I1214" s="14">
        <v>0.981371742398398</v>
      </c>
      <c r="J1214" s="14">
        <v>0.674723279142165</v>
      </c>
      <c r="K1214" s="14" t="s">
        <v>21220</v>
      </c>
    </row>
    <row r="1215" spans="1:11">
      <c r="A1215" s="14" t="s">
        <v>19210</v>
      </c>
      <c r="B1215" s="14" t="s">
        <v>19211</v>
      </c>
      <c r="C1215" s="14" t="s">
        <v>16090</v>
      </c>
      <c r="D1215" s="14">
        <v>1</v>
      </c>
      <c r="E1215" s="14">
        <v>1239</v>
      </c>
      <c r="F1215" s="14">
        <v>22</v>
      </c>
      <c r="G1215" s="14">
        <v>15605</v>
      </c>
      <c r="H1215" s="14">
        <v>0.838180456682411</v>
      </c>
      <c r="I1215" s="14">
        <v>0.982575777357805</v>
      </c>
      <c r="J1215" s="14">
        <v>0.57249247927214</v>
      </c>
      <c r="K1215" s="14" t="s">
        <v>12878</v>
      </c>
    </row>
    <row r="1216" spans="1:11">
      <c r="A1216" s="14" t="s">
        <v>21221</v>
      </c>
      <c r="B1216" s="14" t="s">
        <v>21222</v>
      </c>
      <c r="C1216" s="14" t="s">
        <v>16090</v>
      </c>
      <c r="D1216" s="14">
        <v>1</v>
      </c>
      <c r="E1216" s="14">
        <v>1239</v>
      </c>
      <c r="F1216" s="14">
        <v>22</v>
      </c>
      <c r="G1216" s="14">
        <v>15605</v>
      </c>
      <c r="H1216" s="14">
        <v>0.838180456682411</v>
      </c>
      <c r="I1216" s="14">
        <v>0.982575777357805</v>
      </c>
      <c r="J1216" s="14">
        <v>0.57249247927214</v>
      </c>
      <c r="K1216" s="14" t="s">
        <v>6123</v>
      </c>
    </row>
    <row r="1217" spans="1:11">
      <c r="A1217" s="14" t="s">
        <v>21223</v>
      </c>
      <c r="B1217" s="14" t="s">
        <v>21224</v>
      </c>
      <c r="C1217" s="14" t="s">
        <v>16090</v>
      </c>
      <c r="D1217" s="14">
        <v>1</v>
      </c>
      <c r="E1217" s="14">
        <v>1239</v>
      </c>
      <c r="F1217" s="14">
        <v>22</v>
      </c>
      <c r="G1217" s="14">
        <v>15605</v>
      </c>
      <c r="H1217" s="14">
        <v>0.838180456682411</v>
      </c>
      <c r="I1217" s="14">
        <v>0.982575777357805</v>
      </c>
      <c r="J1217" s="14">
        <v>0.57249247927214</v>
      </c>
      <c r="K1217" s="14" t="s">
        <v>14998</v>
      </c>
    </row>
    <row r="1218" spans="1:11">
      <c r="A1218" s="14" t="s">
        <v>21225</v>
      </c>
      <c r="B1218" s="14" t="s">
        <v>21226</v>
      </c>
      <c r="C1218" s="14" t="s">
        <v>16090</v>
      </c>
      <c r="D1218" s="14">
        <v>1</v>
      </c>
      <c r="E1218" s="14">
        <v>1239</v>
      </c>
      <c r="F1218" s="14">
        <v>22</v>
      </c>
      <c r="G1218" s="14">
        <v>15605</v>
      </c>
      <c r="H1218" s="14">
        <v>0.838180456682411</v>
      </c>
      <c r="I1218" s="14">
        <v>0.982575777357805</v>
      </c>
      <c r="J1218" s="14">
        <v>0.57249247927214</v>
      </c>
      <c r="K1218" s="14" t="s">
        <v>6893</v>
      </c>
    </row>
    <row r="1219" spans="1:11">
      <c r="A1219" s="14" t="s">
        <v>18413</v>
      </c>
      <c r="B1219" s="14" t="s">
        <v>18414</v>
      </c>
      <c r="C1219" s="14" t="s">
        <v>16086</v>
      </c>
      <c r="D1219" s="14">
        <v>1</v>
      </c>
      <c r="E1219" s="14">
        <v>1239</v>
      </c>
      <c r="F1219" s="14">
        <v>22</v>
      </c>
      <c r="G1219" s="14">
        <v>15605</v>
      </c>
      <c r="H1219" s="14">
        <v>0.838180456682411</v>
      </c>
      <c r="I1219" s="14">
        <v>0.982575777357805</v>
      </c>
      <c r="J1219" s="14">
        <v>0.57249247927214</v>
      </c>
      <c r="K1219" s="14" t="s">
        <v>5249</v>
      </c>
    </row>
    <row r="1220" spans="1:11">
      <c r="A1220" s="14" t="s">
        <v>17348</v>
      </c>
      <c r="B1220" s="14" t="s">
        <v>17349</v>
      </c>
      <c r="C1220" s="14" t="s">
        <v>16090</v>
      </c>
      <c r="D1220" s="14">
        <v>1</v>
      </c>
      <c r="E1220" s="14">
        <v>1239</v>
      </c>
      <c r="F1220" s="14">
        <v>22</v>
      </c>
      <c r="G1220" s="14">
        <v>15605</v>
      </c>
      <c r="H1220" s="14">
        <v>0.838180456682411</v>
      </c>
      <c r="I1220" s="14">
        <v>0.982575777357805</v>
      </c>
      <c r="J1220" s="14">
        <v>0.57249247927214</v>
      </c>
      <c r="K1220" s="14" t="s">
        <v>6334</v>
      </c>
    </row>
    <row r="1221" spans="1:11">
      <c r="A1221" s="14" t="s">
        <v>17351</v>
      </c>
      <c r="B1221" s="14" t="s">
        <v>17352</v>
      </c>
      <c r="C1221" s="14" t="s">
        <v>16090</v>
      </c>
      <c r="D1221" s="14">
        <v>1</v>
      </c>
      <c r="E1221" s="14">
        <v>1239</v>
      </c>
      <c r="F1221" s="14">
        <v>22</v>
      </c>
      <c r="G1221" s="14">
        <v>15605</v>
      </c>
      <c r="H1221" s="14">
        <v>0.838180456682411</v>
      </c>
      <c r="I1221" s="14">
        <v>0.982575777357805</v>
      </c>
      <c r="J1221" s="14">
        <v>0.57249247927214</v>
      </c>
      <c r="K1221" s="14" t="s">
        <v>886</v>
      </c>
    </row>
    <row r="1222" spans="1:11">
      <c r="A1222" s="14" t="s">
        <v>19473</v>
      </c>
      <c r="B1222" s="14" t="s">
        <v>19474</v>
      </c>
      <c r="C1222" s="14" t="s">
        <v>16086</v>
      </c>
      <c r="D1222" s="14">
        <v>2</v>
      </c>
      <c r="E1222" s="14">
        <v>1239</v>
      </c>
      <c r="F1222" s="14">
        <v>41</v>
      </c>
      <c r="G1222" s="14">
        <v>15605</v>
      </c>
      <c r="H1222" s="14">
        <v>0.847732688337261</v>
      </c>
      <c r="I1222" s="14">
        <v>0.988736350304737</v>
      </c>
      <c r="J1222" s="14">
        <v>0.614382172877419</v>
      </c>
      <c r="K1222" s="14" t="s">
        <v>20718</v>
      </c>
    </row>
    <row r="1223" spans="1:11">
      <c r="A1223" s="14" t="s">
        <v>21227</v>
      </c>
      <c r="B1223" s="14" t="s">
        <v>21228</v>
      </c>
      <c r="C1223" s="14" t="s">
        <v>16096</v>
      </c>
      <c r="D1223" s="14">
        <v>2</v>
      </c>
      <c r="E1223" s="14">
        <v>1239</v>
      </c>
      <c r="F1223" s="14">
        <v>41</v>
      </c>
      <c r="G1223" s="14">
        <v>15605</v>
      </c>
      <c r="H1223" s="14">
        <v>0.847732688337261</v>
      </c>
      <c r="I1223" s="14">
        <v>0.988736350304737</v>
      </c>
      <c r="J1223" s="14">
        <v>0.614382172877419</v>
      </c>
      <c r="K1223" s="14" t="s">
        <v>21229</v>
      </c>
    </row>
    <row r="1224" spans="1:11">
      <c r="A1224" s="14" t="s">
        <v>19252</v>
      </c>
      <c r="B1224" s="14" t="s">
        <v>19253</v>
      </c>
      <c r="C1224" s="14" t="s">
        <v>16096</v>
      </c>
      <c r="D1224" s="14">
        <v>2</v>
      </c>
      <c r="E1224" s="14">
        <v>1239</v>
      </c>
      <c r="F1224" s="14">
        <v>41</v>
      </c>
      <c r="G1224" s="14">
        <v>15605</v>
      </c>
      <c r="H1224" s="14">
        <v>0.847732688337261</v>
      </c>
      <c r="I1224" s="14">
        <v>0.988736350304737</v>
      </c>
      <c r="J1224" s="14">
        <v>0.614382172877419</v>
      </c>
      <c r="K1224" s="14" t="s">
        <v>21230</v>
      </c>
    </row>
    <row r="1225" spans="1:11">
      <c r="A1225" s="14" t="s">
        <v>16648</v>
      </c>
      <c r="B1225" s="14" t="s">
        <v>16649</v>
      </c>
      <c r="C1225" s="14" t="s">
        <v>16090</v>
      </c>
      <c r="D1225" s="14">
        <v>2</v>
      </c>
      <c r="E1225" s="14">
        <v>1239</v>
      </c>
      <c r="F1225" s="14">
        <v>41</v>
      </c>
      <c r="G1225" s="14">
        <v>15605</v>
      </c>
      <c r="H1225" s="14">
        <v>0.847732688337261</v>
      </c>
      <c r="I1225" s="14">
        <v>0.988736350304737</v>
      </c>
      <c r="J1225" s="14">
        <v>0.614382172877419</v>
      </c>
      <c r="K1225" s="14" t="s">
        <v>21231</v>
      </c>
    </row>
    <row r="1226" spans="1:11">
      <c r="A1226" s="14" t="s">
        <v>18040</v>
      </c>
      <c r="B1226" s="14" t="s">
        <v>18041</v>
      </c>
      <c r="C1226" s="14" t="s">
        <v>16090</v>
      </c>
      <c r="D1226" s="14">
        <v>2</v>
      </c>
      <c r="E1226" s="14">
        <v>1239</v>
      </c>
      <c r="F1226" s="14">
        <v>41</v>
      </c>
      <c r="G1226" s="14">
        <v>15605</v>
      </c>
      <c r="H1226" s="14">
        <v>0.847732688337261</v>
      </c>
      <c r="I1226" s="14">
        <v>0.988736350304737</v>
      </c>
      <c r="J1226" s="14">
        <v>0.614382172877419</v>
      </c>
      <c r="K1226" s="14" t="s">
        <v>21232</v>
      </c>
    </row>
    <row r="1227" spans="1:11">
      <c r="A1227" s="14" t="s">
        <v>21233</v>
      </c>
      <c r="B1227" s="14" t="s">
        <v>21234</v>
      </c>
      <c r="C1227" s="14" t="s">
        <v>16086</v>
      </c>
      <c r="D1227" s="14">
        <v>1</v>
      </c>
      <c r="E1227" s="14">
        <v>1239</v>
      </c>
      <c r="F1227" s="14">
        <v>23</v>
      </c>
      <c r="G1227" s="14">
        <v>15605</v>
      </c>
      <c r="H1227" s="14">
        <v>0.851046683607296</v>
      </c>
      <c r="I1227" s="14">
        <v>0.988736350304737</v>
      </c>
      <c r="J1227" s="14">
        <v>0.547601501912482</v>
      </c>
      <c r="K1227" s="14" t="s">
        <v>15644</v>
      </c>
    </row>
    <row r="1228" spans="1:11">
      <c r="A1228" s="14" t="s">
        <v>21235</v>
      </c>
      <c r="B1228" s="14" t="s">
        <v>21236</v>
      </c>
      <c r="C1228" s="14" t="s">
        <v>16090</v>
      </c>
      <c r="D1228" s="14">
        <v>1</v>
      </c>
      <c r="E1228" s="14">
        <v>1239</v>
      </c>
      <c r="F1228" s="14">
        <v>23</v>
      </c>
      <c r="G1228" s="14">
        <v>15605</v>
      </c>
      <c r="H1228" s="14">
        <v>0.851046683607296</v>
      </c>
      <c r="I1228" s="14">
        <v>0.988736350304737</v>
      </c>
      <c r="J1228" s="14">
        <v>0.547601501912482</v>
      </c>
      <c r="K1228" s="14" t="s">
        <v>12930</v>
      </c>
    </row>
    <row r="1229" spans="1:11">
      <c r="A1229" s="14" t="s">
        <v>21237</v>
      </c>
      <c r="B1229" s="14" t="s">
        <v>21238</v>
      </c>
      <c r="C1229" s="14" t="s">
        <v>16090</v>
      </c>
      <c r="D1229" s="14">
        <v>1</v>
      </c>
      <c r="E1229" s="14">
        <v>1239</v>
      </c>
      <c r="F1229" s="14">
        <v>23</v>
      </c>
      <c r="G1229" s="14">
        <v>15605</v>
      </c>
      <c r="H1229" s="14">
        <v>0.851046683607296</v>
      </c>
      <c r="I1229" s="14">
        <v>0.988736350304737</v>
      </c>
      <c r="J1229" s="14">
        <v>0.547601501912482</v>
      </c>
      <c r="K1229" s="14" t="s">
        <v>13066</v>
      </c>
    </row>
    <row r="1230" spans="1:11">
      <c r="A1230" s="14" t="s">
        <v>18519</v>
      </c>
      <c r="B1230" s="14" t="s">
        <v>18520</v>
      </c>
      <c r="C1230" s="14" t="s">
        <v>16090</v>
      </c>
      <c r="D1230" s="14">
        <v>1</v>
      </c>
      <c r="E1230" s="14">
        <v>1239</v>
      </c>
      <c r="F1230" s="14">
        <v>23</v>
      </c>
      <c r="G1230" s="14">
        <v>15605</v>
      </c>
      <c r="H1230" s="14">
        <v>0.851046683607296</v>
      </c>
      <c r="I1230" s="14">
        <v>0.988736350304737</v>
      </c>
      <c r="J1230" s="14">
        <v>0.547601501912482</v>
      </c>
      <c r="K1230" s="14" t="s">
        <v>15552</v>
      </c>
    </row>
    <row r="1231" spans="1:11">
      <c r="A1231" s="14" t="s">
        <v>18522</v>
      </c>
      <c r="B1231" s="14" t="s">
        <v>18523</v>
      </c>
      <c r="C1231" s="14" t="s">
        <v>16090</v>
      </c>
      <c r="D1231" s="14">
        <v>1</v>
      </c>
      <c r="E1231" s="14">
        <v>1239</v>
      </c>
      <c r="F1231" s="14">
        <v>23</v>
      </c>
      <c r="G1231" s="14">
        <v>15605</v>
      </c>
      <c r="H1231" s="14">
        <v>0.851046683607296</v>
      </c>
      <c r="I1231" s="14">
        <v>0.988736350304737</v>
      </c>
      <c r="J1231" s="14">
        <v>0.547601501912482</v>
      </c>
      <c r="K1231" s="14" t="s">
        <v>15763</v>
      </c>
    </row>
    <row r="1232" spans="1:11">
      <c r="A1232" s="14" t="s">
        <v>17408</v>
      </c>
      <c r="B1232" s="14" t="s">
        <v>17409</v>
      </c>
      <c r="C1232" s="14" t="s">
        <v>16090</v>
      </c>
      <c r="D1232" s="14">
        <v>1</v>
      </c>
      <c r="E1232" s="14">
        <v>1239</v>
      </c>
      <c r="F1232" s="14">
        <v>23</v>
      </c>
      <c r="G1232" s="14">
        <v>15605</v>
      </c>
      <c r="H1232" s="14">
        <v>0.851046683607296</v>
      </c>
      <c r="I1232" s="14">
        <v>0.988736350304737</v>
      </c>
      <c r="J1232" s="14">
        <v>0.547601501912482</v>
      </c>
      <c r="K1232" s="14" t="s">
        <v>230</v>
      </c>
    </row>
    <row r="1233" spans="1:11">
      <c r="A1233" s="14" t="s">
        <v>19565</v>
      </c>
      <c r="B1233" s="14" t="s">
        <v>19566</v>
      </c>
      <c r="C1233" s="14" t="s">
        <v>16096</v>
      </c>
      <c r="D1233" s="14">
        <v>12</v>
      </c>
      <c r="E1233" s="14">
        <v>1239</v>
      </c>
      <c r="F1233" s="14">
        <v>194</v>
      </c>
      <c r="G1233" s="14">
        <v>15605</v>
      </c>
      <c r="H1233" s="14">
        <v>0.852845032605042</v>
      </c>
      <c r="I1233" s="14">
        <v>0.990020756777095</v>
      </c>
      <c r="J1233" s="14">
        <v>0.779061930555902</v>
      </c>
      <c r="K1233" s="14" t="s">
        <v>21239</v>
      </c>
    </row>
    <row r="1234" spans="1:11">
      <c r="A1234" s="14" t="s">
        <v>21240</v>
      </c>
      <c r="B1234" s="14" t="s">
        <v>21241</v>
      </c>
      <c r="C1234" s="14" t="s">
        <v>16090</v>
      </c>
      <c r="D1234" s="14">
        <v>2</v>
      </c>
      <c r="E1234" s="14">
        <v>1239</v>
      </c>
      <c r="F1234" s="14">
        <v>42</v>
      </c>
      <c r="G1234" s="14">
        <v>15605</v>
      </c>
      <c r="H1234" s="14">
        <v>0.857180115004206</v>
      </c>
      <c r="I1234" s="14">
        <v>0.992011892503688</v>
      </c>
      <c r="J1234" s="14">
        <v>0.599754025904147</v>
      </c>
      <c r="K1234" s="14" t="s">
        <v>21242</v>
      </c>
    </row>
    <row r="1235" spans="1:11">
      <c r="A1235" s="14" t="s">
        <v>19275</v>
      </c>
      <c r="B1235" s="14" t="s">
        <v>19276</v>
      </c>
      <c r="C1235" s="14" t="s">
        <v>16096</v>
      </c>
      <c r="D1235" s="14">
        <v>2</v>
      </c>
      <c r="E1235" s="14">
        <v>1239</v>
      </c>
      <c r="F1235" s="14">
        <v>42</v>
      </c>
      <c r="G1235" s="14">
        <v>15605</v>
      </c>
      <c r="H1235" s="14">
        <v>0.857180115004206</v>
      </c>
      <c r="I1235" s="14">
        <v>0.992011892503688</v>
      </c>
      <c r="J1235" s="14">
        <v>0.599754025904147</v>
      </c>
      <c r="K1235" s="14" t="s">
        <v>21243</v>
      </c>
    </row>
    <row r="1236" spans="1:11">
      <c r="A1236" s="14" t="s">
        <v>16986</v>
      </c>
      <c r="B1236" s="14" t="s">
        <v>16987</v>
      </c>
      <c r="C1236" s="14" t="s">
        <v>16090</v>
      </c>
      <c r="D1236" s="14">
        <v>2</v>
      </c>
      <c r="E1236" s="14">
        <v>1239</v>
      </c>
      <c r="F1236" s="14">
        <v>42</v>
      </c>
      <c r="G1236" s="14">
        <v>15605</v>
      </c>
      <c r="H1236" s="14">
        <v>0.857180115004206</v>
      </c>
      <c r="I1236" s="14">
        <v>0.992011892503688</v>
      </c>
      <c r="J1236" s="14">
        <v>0.599754025904147</v>
      </c>
      <c r="K1236" s="14" t="s">
        <v>21244</v>
      </c>
    </row>
    <row r="1237" spans="1:11">
      <c r="A1237" s="14" t="s">
        <v>16541</v>
      </c>
      <c r="B1237" s="14" t="s">
        <v>16542</v>
      </c>
      <c r="C1237" s="14" t="s">
        <v>16090</v>
      </c>
      <c r="D1237" s="14">
        <v>6</v>
      </c>
      <c r="E1237" s="14">
        <v>1239</v>
      </c>
      <c r="F1237" s="14">
        <v>107</v>
      </c>
      <c r="G1237" s="14">
        <v>15605</v>
      </c>
      <c r="H1237" s="14">
        <v>0.861687836676013</v>
      </c>
      <c r="I1237" s="14">
        <v>0.992011892503688</v>
      </c>
      <c r="J1237" s="14">
        <v>0.706252404335724</v>
      </c>
      <c r="K1237" s="14" t="s">
        <v>21245</v>
      </c>
    </row>
    <row r="1238" spans="1:11">
      <c r="A1238" s="14" t="s">
        <v>18606</v>
      </c>
      <c r="B1238" s="14" t="s">
        <v>18607</v>
      </c>
      <c r="C1238" s="14" t="s">
        <v>16086</v>
      </c>
      <c r="D1238" s="14">
        <v>1</v>
      </c>
      <c r="E1238" s="14">
        <v>1239</v>
      </c>
      <c r="F1238" s="14">
        <v>24</v>
      </c>
      <c r="G1238" s="14">
        <v>15605</v>
      </c>
      <c r="H1238" s="14">
        <v>0.86289068046332</v>
      </c>
      <c r="I1238" s="14">
        <v>0.992011892503688</v>
      </c>
      <c r="J1238" s="14">
        <v>0.524784772666129</v>
      </c>
      <c r="K1238" s="14" t="s">
        <v>15054</v>
      </c>
    </row>
    <row r="1239" spans="1:11">
      <c r="A1239" s="14" t="s">
        <v>19259</v>
      </c>
      <c r="B1239" s="14" t="s">
        <v>19260</v>
      </c>
      <c r="C1239" s="14" t="s">
        <v>16086</v>
      </c>
      <c r="D1239" s="14">
        <v>1</v>
      </c>
      <c r="E1239" s="14">
        <v>1239</v>
      </c>
      <c r="F1239" s="14">
        <v>24</v>
      </c>
      <c r="G1239" s="14">
        <v>15605</v>
      </c>
      <c r="H1239" s="14">
        <v>0.86289068046332</v>
      </c>
      <c r="I1239" s="14">
        <v>0.992011892503688</v>
      </c>
      <c r="J1239" s="14">
        <v>0.524784772666129</v>
      </c>
      <c r="K1239" s="14" t="s">
        <v>15559</v>
      </c>
    </row>
    <row r="1240" spans="1:11">
      <c r="A1240" s="14" t="s">
        <v>19263</v>
      </c>
      <c r="B1240" s="14" t="s">
        <v>19264</v>
      </c>
      <c r="C1240" s="14" t="s">
        <v>16096</v>
      </c>
      <c r="D1240" s="14">
        <v>1</v>
      </c>
      <c r="E1240" s="14">
        <v>1239</v>
      </c>
      <c r="F1240" s="14">
        <v>24</v>
      </c>
      <c r="G1240" s="14">
        <v>15605</v>
      </c>
      <c r="H1240" s="14">
        <v>0.86289068046332</v>
      </c>
      <c r="I1240" s="14">
        <v>0.992011892503688</v>
      </c>
      <c r="J1240" s="14">
        <v>0.524784772666129</v>
      </c>
      <c r="K1240" s="14" t="s">
        <v>12525</v>
      </c>
    </row>
    <row r="1241" spans="1:11">
      <c r="A1241" s="14" t="s">
        <v>21246</v>
      </c>
      <c r="B1241" s="14" t="s">
        <v>21247</v>
      </c>
      <c r="C1241" s="14" t="s">
        <v>16090</v>
      </c>
      <c r="D1241" s="14">
        <v>1</v>
      </c>
      <c r="E1241" s="14">
        <v>1239</v>
      </c>
      <c r="F1241" s="14">
        <v>24</v>
      </c>
      <c r="G1241" s="14">
        <v>15605</v>
      </c>
      <c r="H1241" s="14">
        <v>0.86289068046332</v>
      </c>
      <c r="I1241" s="14">
        <v>0.992011892503688</v>
      </c>
      <c r="J1241" s="14">
        <v>0.524784772666129</v>
      </c>
      <c r="K1241" s="14" t="s">
        <v>15914</v>
      </c>
    </row>
    <row r="1242" spans="1:11">
      <c r="A1242" s="14" t="s">
        <v>19267</v>
      </c>
      <c r="B1242" s="14" t="s">
        <v>19268</v>
      </c>
      <c r="C1242" s="14" t="s">
        <v>16090</v>
      </c>
      <c r="D1242" s="14">
        <v>1</v>
      </c>
      <c r="E1242" s="14">
        <v>1239</v>
      </c>
      <c r="F1242" s="14">
        <v>24</v>
      </c>
      <c r="G1242" s="14">
        <v>15605</v>
      </c>
      <c r="H1242" s="14">
        <v>0.86289068046332</v>
      </c>
      <c r="I1242" s="14">
        <v>0.992011892503688</v>
      </c>
      <c r="J1242" s="14">
        <v>0.524784772666129</v>
      </c>
      <c r="K1242" s="14" t="s">
        <v>13030</v>
      </c>
    </row>
    <row r="1243" spans="1:11">
      <c r="A1243" s="14" t="s">
        <v>18632</v>
      </c>
      <c r="B1243" s="14" t="s">
        <v>18633</v>
      </c>
      <c r="C1243" s="14" t="s">
        <v>16090</v>
      </c>
      <c r="D1243" s="14">
        <v>1</v>
      </c>
      <c r="E1243" s="14">
        <v>1239</v>
      </c>
      <c r="F1243" s="14">
        <v>24</v>
      </c>
      <c r="G1243" s="14">
        <v>15605</v>
      </c>
      <c r="H1243" s="14">
        <v>0.86289068046332</v>
      </c>
      <c r="I1243" s="14">
        <v>0.992011892503688</v>
      </c>
      <c r="J1243" s="14">
        <v>0.524784772666129</v>
      </c>
      <c r="K1243" s="14" t="s">
        <v>13241</v>
      </c>
    </row>
    <row r="1244" spans="1:11">
      <c r="A1244" s="14" t="s">
        <v>17466</v>
      </c>
      <c r="B1244" s="14" t="s">
        <v>17467</v>
      </c>
      <c r="C1244" s="14" t="s">
        <v>16090</v>
      </c>
      <c r="D1244" s="14">
        <v>1</v>
      </c>
      <c r="E1244" s="14">
        <v>1239</v>
      </c>
      <c r="F1244" s="14">
        <v>24</v>
      </c>
      <c r="G1244" s="14">
        <v>15605</v>
      </c>
      <c r="H1244" s="14">
        <v>0.86289068046332</v>
      </c>
      <c r="I1244" s="14">
        <v>0.992011892503688</v>
      </c>
      <c r="J1244" s="14">
        <v>0.524784772666129</v>
      </c>
      <c r="K1244" s="14" t="s">
        <v>3300</v>
      </c>
    </row>
    <row r="1245" spans="1:11">
      <c r="A1245" s="14" t="s">
        <v>19271</v>
      </c>
      <c r="B1245" s="14" t="s">
        <v>19272</v>
      </c>
      <c r="C1245" s="14" t="s">
        <v>16090</v>
      </c>
      <c r="D1245" s="14">
        <v>1</v>
      </c>
      <c r="E1245" s="14">
        <v>1239</v>
      </c>
      <c r="F1245" s="14">
        <v>24</v>
      </c>
      <c r="G1245" s="14">
        <v>15605</v>
      </c>
      <c r="H1245" s="14">
        <v>0.86289068046332</v>
      </c>
      <c r="I1245" s="14">
        <v>0.992011892503688</v>
      </c>
      <c r="J1245" s="14">
        <v>0.524784772666129</v>
      </c>
      <c r="K1245" s="14" t="s">
        <v>12390</v>
      </c>
    </row>
    <row r="1246" spans="1:11">
      <c r="A1246" s="14" t="s">
        <v>16341</v>
      </c>
      <c r="B1246" s="14" t="s">
        <v>16342</v>
      </c>
      <c r="C1246" s="14" t="s">
        <v>16090</v>
      </c>
      <c r="D1246" s="14">
        <v>2</v>
      </c>
      <c r="E1246" s="14">
        <v>1239</v>
      </c>
      <c r="F1246" s="14">
        <v>43</v>
      </c>
      <c r="G1246" s="14">
        <v>15605</v>
      </c>
      <c r="H1246" s="14">
        <v>0.866088738249282</v>
      </c>
      <c r="I1246" s="14">
        <v>0.992564193266843</v>
      </c>
      <c r="J1246" s="14">
        <v>0.585806257859864</v>
      </c>
      <c r="K1246" s="14" t="s">
        <v>21248</v>
      </c>
    </row>
    <row r="1247" spans="1:11">
      <c r="A1247" s="14" t="s">
        <v>16691</v>
      </c>
      <c r="B1247" s="14" t="s">
        <v>16692</v>
      </c>
      <c r="C1247" s="14" t="s">
        <v>16090</v>
      </c>
      <c r="D1247" s="14">
        <v>2</v>
      </c>
      <c r="E1247" s="14">
        <v>1239</v>
      </c>
      <c r="F1247" s="14">
        <v>43</v>
      </c>
      <c r="G1247" s="14">
        <v>15605</v>
      </c>
      <c r="H1247" s="14">
        <v>0.866088738249282</v>
      </c>
      <c r="I1247" s="14">
        <v>0.992564193266843</v>
      </c>
      <c r="J1247" s="14">
        <v>0.585806257859864</v>
      </c>
      <c r="K1247" s="14" t="s">
        <v>21249</v>
      </c>
    </row>
    <row r="1248" spans="1:11">
      <c r="A1248" s="14" t="s">
        <v>19309</v>
      </c>
      <c r="B1248" s="14" t="s">
        <v>19310</v>
      </c>
      <c r="C1248" s="14" t="s">
        <v>16090</v>
      </c>
      <c r="D1248" s="14">
        <v>2</v>
      </c>
      <c r="E1248" s="14">
        <v>1239</v>
      </c>
      <c r="F1248" s="14">
        <v>43</v>
      </c>
      <c r="G1248" s="14">
        <v>15605</v>
      </c>
      <c r="H1248" s="14">
        <v>0.866088738249282</v>
      </c>
      <c r="I1248" s="14">
        <v>0.992564193266843</v>
      </c>
      <c r="J1248" s="14">
        <v>0.585806257859864</v>
      </c>
      <c r="K1248" s="14" t="s">
        <v>21250</v>
      </c>
    </row>
    <row r="1249" spans="1:11">
      <c r="A1249" s="14" t="s">
        <v>19646</v>
      </c>
      <c r="B1249" s="14" t="s">
        <v>19647</v>
      </c>
      <c r="C1249" s="14" t="s">
        <v>16086</v>
      </c>
      <c r="D1249" s="14">
        <v>43</v>
      </c>
      <c r="E1249" s="14">
        <v>1239</v>
      </c>
      <c r="F1249" s="14">
        <v>630</v>
      </c>
      <c r="G1249" s="14">
        <v>15605</v>
      </c>
      <c r="H1249" s="14">
        <v>0.87239377798109</v>
      </c>
      <c r="I1249" s="14">
        <v>0.992564193266843</v>
      </c>
      <c r="J1249" s="14">
        <v>0.859647437129277</v>
      </c>
      <c r="K1249" s="14" t="s">
        <v>21251</v>
      </c>
    </row>
    <row r="1250" spans="1:11">
      <c r="A1250" s="14" t="s">
        <v>16105</v>
      </c>
      <c r="B1250" s="14" t="s">
        <v>16106</v>
      </c>
      <c r="C1250" s="14" t="s">
        <v>16090</v>
      </c>
      <c r="D1250" s="14">
        <v>6</v>
      </c>
      <c r="E1250" s="14">
        <v>1239</v>
      </c>
      <c r="F1250" s="14">
        <v>109</v>
      </c>
      <c r="G1250" s="14">
        <v>15605</v>
      </c>
      <c r="H1250" s="14">
        <v>0.873011267097198</v>
      </c>
      <c r="I1250" s="14">
        <v>0.992564193266843</v>
      </c>
      <c r="J1250" s="14">
        <v>0.693293644623142</v>
      </c>
      <c r="K1250" s="14" t="s">
        <v>21252</v>
      </c>
    </row>
    <row r="1251" spans="1:11">
      <c r="A1251" s="14" t="s">
        <v>19287</v>
      </c>
      <c r="B1251" s="14" t="s">
        <v>19288</v>
      </c>
      <c r="C1251" s="14" t="s">
        <v>16090</v>
      </c>
      <c r="D1251" s="14">
        <v>1</v>
      </c>
      <c r="E1251" s="14">
        <v>1239</v>
      </c>
      <c r="F1251" s="14">
        <v>25</v>
      </c>
      <c r="G1251" s="14">
        <v>15605</v>
      </c>
      <c r="H1251" s="14">
        <v>0.873793603697127</v>
      </c>
      <c r="I1251" s="14">
        <v>0.992564193266843</v>
      </c>
      <c r="J1251" s="14">
        <v>0.503793381759483</v>
      </c>
      <c r="K1251" s="14" t="s">
        <v>15484</v>
      </c>
    </row>
    <row r="1252" spans="1:11">
      <c r="A1252" s="14" t="s">
        <v>21253</v>
      </c>
      <c r="B1252" s="14" t="s">
        <v>21254</v>
      </c>
      <c r="C1252" s="14" t="s">
        <v>16086</v>
      </c>
      <c r="D1252" s="14">
        <v>1</v>
      </c>
      <c r="E1252" s="14">
        <v>1239</v>
      </c>
      <c r="F1252" s="14">
        <v>25</v>
      </c>
      <c r="G1252" s="14">
        <v>15605</v>
      </c>
      <c r="H1252" s="14">
        <v>0.873793603697127</v>
      </c>
      <c r="I1252" s="14">
        <v>0.992564193266843</v>
      </c>
      <c r="J1252" s="14">
        <v>0.503793381759483</v>
      </c>
      <c r="K1252" s="14" t="s">
        <v>14545</v>
      </c>
    </row>
    <row r="1253" spans="1:11">
      <c r="A1253" s="14" t="s">
        <v>17620</v>
      </c>
      <c r="B1253" s="14" t="s">
        <v>17621</v>
      </c>
      <c r="C1253" s="14" t="s">
        <v>16086</v>
      </c>
      <c r="D1253" s="14">
        <v>1</v>
      </c>
      <c r="E1253" s="14">
        <v>1239</v>
      </c>
      <c r="F1253" s="14">
        <v>25</v>
      </c>
      <c r="G1253" s="14">
        <v>15605</v>
      </c>
      <c r="H1253" s="14">
        <v>0.873793603697127</v>
      </c>
      <c r="I1253" s="14">
        <v>0.992564193266843</v>
      </c>
      <c r="J1253" s="14">
        <v>0.503793381759483</v>
      </c>
      <c r="K1253" s="14" t="s">
        <v>4828</v>
      </c>
    </row>
    <row r="1254" spans="1:11">
      <c r="A1254" s="14" t="s">
        <v>21255</v>
      </c>
      <c r="B1254" s="14" t="s">
        <v>21256</v>
      </c>
      <c r="C1254" s="14" t="s">
        <v>16090</v>
      </c>
      <c r="D1254" s="14">
        <v>1</v>
      </c>
      <c r="E1254" s="14">
        <v>1239</v>
      </c>
      <c r="F1254" s="14">
        <v>25</v>
      </c>
      <c r="G1254" s="14">
        <v>15605</v>
      </c>
      <c r="H1254" s="14">
        <v>0.873793603697127</v>
      </c>
      <c r="I1254" s="14">
        <v>0.992564193266843</v>
      </c>
      <c r="J1254" s="14">
        <v>0.503793381759483</v>
      </c>
      <c r="K1254" s="14" t="s">
        <v>3585</v>
      </c>
    </row>
    <row r="1255" spans="1:11">
      <c r="A1255" s="14" t="s">
        <v>16396</v>
      </c>
      <c r="B1255" s="14" t="s">
        <v>16397</v>
      </c>
      <c r="C1255" s="14" t="s">
        <v>16086</v>
      </c>
      <c r="D1255" s="14">
        <v>1</v>
      </c>
      <c r="E1255" s="14">
        <v>1239</v>
      </c>
      <c r="F1255" s="14">
        <v>25</v>
      </c>
      <c r="G1255" s="14">
        <v>15605</v>
      </c>
      <c r="H1255" s="14">
        <v>0.873793603697127</v>
      </c>
      <c r="I1255" s="14">
        <v>0.992564193266843</v>
      </c>
      <c r="J1255" s="14">
        <v>0.503793381759483</v>
      </c>
      <c r="K1255" s="14" t="s">
        <v>6334</v>
      </c>
    </row>
    <row r="1256" spans="1:11">
      <c r="A1256" s="14" t="s">
        <v>21257</v>
      </c>
      <c r="B1256" s="14" t="s">
        <v>21258</v>
      </c>
      <c r="C1256" s="14" t="s">
        <v>16090</v>
      </c>
      <c r="D1256" s="14">
        <v>1</v>
      </c>
      <c r="E1256" s="14">
        <v>1239</v>
      </c>
      <c r="F1256" s="14">
        <v>25</v>
      </c>
      <c r="G1256" s="14">
        <v>15605</v>
      </c>
      <c r="H1256" s="14">
        <v>0.873793603697127</v>
      </c>
      <c r="I1256" s="14">
        <v>0.992564193266843</v>
      </c>
      <c r="J1256" s="14">
        <v>0.503793381759483</v>
      </c>
      <c r="K1256" s="14" t="s">
        <v>8012</v>
      </c>
    </row>
    <row r="1257" spans="1:11">
      <c r="A1257" s="14" t="s">
        <v>18660</v>
      </c>
      <c r="B1257" s="14" t="s">
        <v>18661</v>
      </c>
      <c r="C1257" s="14" t="s">
        <v>16090</v>
      </c>
      <c r="D1257" s="14">
        <v>1</v>
      </c>
      <c r="E1257" s="14">
        <v>1239</v>
      </c>
      <c r="F1257" s="14">
        <v>25</v>
      </c>
      <c r="G1257" s="14">
        <v>15605</v>
      </c>
      <c r="H1257" s="14">
        <v>0.873793603697127</v>
      </c>
      <c r="I1257" s="14">
        <v>0.992564193266843</v>
      </c>
      <c r="J1257" s="14">
        <v>0.503793381759483</v>
      </c>
      <c r="K1257" s="14" t="s">
        <v>13406</v>
      </c>
    </row>
    <row r="1258" spans="1:11">
      <c r="A1258" s="14" t="s">
        <v>21259</v>
      </c>
      <c r="B1258" s="14" t="s">
        <v>21260</v>
      </c>
      <c r="C1258" s="14" t="s">
        <v>16086</v>
      </c>
      <c r="D1258" s="14">
        <v>2</v>
      </c>
      <c r="E1258" s="14">
        <v>1239</v>
      </c>
      <c r="F1258" s="14">
        <v>44</v>
      </c>
      <c r="G1258" s="14">
        <v>15605</v>
      </c>
      <c r="H1258" s="14">
        <v>0.874484478182614</v>
      </c>
      <c r="I1258" s="14">
        <v>0.992564193266843</v>
      </c>
      <c r="J1258" s="14">
        <v>0.57249247927214</v>
      </c>
      <c r="K1258" s="14" t="s">
        <v>21261</v>
      </c>
    </row>
    <row r="1259" spans="1:11">
      <c r="A1259" s="14" t="s">
        <v>19495</v>
      </c>
      <c r="B1259" s="14" t="s">
        <v>19496</v>
      </c>
      <c r="C1259" s="14" t="s">
        <v>16096</v>
      </c>
      <c r="D1259" s="14">
        <v>2</v>
      </c>
      <c r="E1259" s="14">
        <v>1239</v>
      </c>
      <c r="F1259" s="14">
        <v>44</v>
      </c>
      <c r="G1259" s="14">
        <v>15605</v>
      </c>
      <c r="H1259" s="14">
        <v>0.874484478182614</v>
      </c>
      <c r="I1259" s="14">
        <v>0.992564193266843</v>
      </c>
      <c r="J1259" s="14">
        <v>0.57249247927214</v>
      </c>
      <c r="K1259" s="14" t="s">
        <v>21262</v>
      </c>
    </row>
    <row r="1260" spans="1:11">
      <c r="A1260" s="14" t="s">
        <v>17087</v>
      </c>
      <c r="B1260" s="14" t="s">
        <v>17088</v>
      </c>
      <c r="C1260" s="14" t="s">
        <v>16090</v>
      </c>
      <c r="D1260" s="14">
        <v>2</v>
      </c>
      <c r="E1260" s="14">
        <v>1239</v>
      </c>
      <c r="F1260" s="14">
        <v>44</v>
      </c>
      <c r="G1260" s="14">
        <v>15605</v>
      </c>
      <c r="H1260" s="14">
        <v>0.874484478182614</v>
      </c>
      <c r="I1260" s="14">
        <v>0.992564193266843</v>
      </c>
      <c r="J1260" s="14">
        <v>0.57249247927214</v>
      </c>
      <c r="K1260" s="14" t="s">
        <v>21263</v>
      </c>
    </row>
    <row r="1261" spans="1:11">
      <c r="A1261" s="14" t="s">
        <v>17093</v>
      </c>
      <c r="B1261" s="14" t="s">
        <v>17094</v>
      </c>
      <c r="C1261" s="14" t="s">
        <v>16090</v>
      </c>
      <c r="D1261" s="14">
        <v>2</v>
      </c>
      <c r="E1261" s="14">
        <v>1239</v>
      </c>
      <c r="F1261" s="14">
        <v>44</v>
      </c>
      <c r="G1261" s="14">
        <v>15605</v>
      </c>
      <c r="H1261" s="14">
        <v>0.874484478182614</v>
      </c>
      <c r="I1261" s="14">
        <v>0.992564193266843</v>
      </c>
      <c r="J1261" s="14">
        <v>0.57249247927214</v>
      </c>
      <c r="K1261" s="14" t="s">
        <v>21264</v>
      </c>
    </row>
    <row r="1262" spans="1:11">
      <c r="A1262" s="14" t="s">
        <v>16238</v>
      </c>
      <c r="B1262" s="14" t="s">
        <v>16239</v>
      </c>
      <c r="C1262" s="14" t="s">
        <v>16090</v>
      </c>
      <c r="D1262" s="14">
        <v>19</v>
      </c>
      <c r="E1262" s="14">
        <v>1239</v>
      </c>
      <c r="F1262" s="14">
        <v>301</v>
      </c>
      <c r="G1262" s="14">
        <v>15605</v>
      </c>
      <c r="H1262" s="14">
        <v>0.880015775694818</v>
      </c>
      <c r="I1262" s="14">
        <v>0.99683765978668</v>
      </c>
      <c r="J1262" s="14">
        <v>0.795022778524102</v>
      </c>
      <c r="K1262" s="14" t="s">
        <v>21265</v>
      </c>
    </row>
    <row r="1263" spans="1:11">
      <c r="A1263" s="14" t="s">
        <v>18383</v>
      </c>
      <c r="B1263" s="14" t="s">
        <v>18384</v>
      </c>
      <c r="C1263" s="14" t="s">
        <v>16086</v>
      </c>
      <c r="D1263" s="14">
        <v>2</v>
      </c>
      <c r="E1263" s="14">
        <v>1239</v>
      </c>
      <c r="F1263" s="14">
        <v>45</v>
      </c>
      <c r="G1263" s="14">
        <v>15605</v>
      </c>
      <c r="H1263" s="14">
        <v>0.882392539133175</v>
      </c>
      <c r="I1263" s="14">
        <v>0.99683765978668</v>
      </c>
      <c r="J1263" s="14">
        <v>0.559770424177204</v>
      </c>
      <c r="K1263" s="14" t="s">
        <v>21266</v>
      </c>
    </row>
    <row r="1264" spans="1:11">
      <c r="A1264" s="14" t="s">
        <v>16773</v>
      </c>
      <c r="B1264" s="14" t="s">
        <v>16774</v>
      </c>
      <c r="C1264" s="14" t="s">
        <v>16086</v>
      </c>
      <c r="D1264" s="14">
        <v>2</v>
      </c>
      <c r="E1264" s="14">
        <v>1239</v>
      </c>
      <c r="F1264" s="14">
        <v>45</v>
      </c>
      <c r="G1264" s="14">
        <v>15605</v>
      </c>
      <c r="H1264" s="14">
        <v>0.882392539133175</v>
      </c>
      <c r="I1264" s="14">
        <v>0.99683765978668</v>
      </c>
      <c r="J1264" s="14">
        <v>0.559770424177204</v>
      </c>
      <c r="K1264" s="14" t="s">
        <v>21267</v>
      </c>
    </row>
    <row r="1265" spans="1:11">
      <c r="A1265" s="14" t="s">
        <v>18729</v>
      </c>
      <c r="B1265" s="14" t="s">
        <v>18730</v>
      </c>
      <c r="C1265" s="14" t="s">
        <v>16096</v>
      </c>
      <c r="D1265" s="14">
        <v>1</v>
      </c>
      <c r="E1265" s="14">
        <v>1239</v>
      </c>
      <c r="F1265" s="14">
        <v>26</v>
      </c>
      <c r="G1265" s="14">
        <v>15605</v>
      </c>
      <c r="H1265" s="14">
        <v>0.883830171413382</v>
      </c>
      <c r="I1265" s="14">
        <v>0.99683765978668</v>
      </c>
      <c r="J1265" s="14">
        <v>0.484416713230273</v>
      </c>
      <c r="K1265" s="14" t="s">
        <v>7805</v>
      </c>
    </row>
    <row r="1266" spans="1:11">
      <c r="A1266" s="14" t="s">
        <v>19317</v>
      </c>
      <c r="B1266" s="14" t="s">
        <v>19318</v>
      </c>
      <c r="C1266" s="14" t="s">
        <v>16090</v>
      </c>
      <c r="D1266" s="14">
        <v>1</v>
      </c>
      <c r="E1266" s="14">
        <v>1239</v>
      </c>
      <c r="F1266" s="14">
        <v>26</v>
      </c>
      <c r="G1266" s="14">
        <v>15605</v>
      </c>
      <c r="H1266" s="14">
        <v>0.883830171413382</v>
      </c>
      <c r="I1266" s="14">
        <v>0.99683765978668</v>
      </c>
      <c r="J1266" s="14">
        <v>0.484416713230273</v>
      </c>
      <c r="K1266" s="14" t="s">
        <v>15635</v>
      </c>
    </row>
    <row r="1267" spans="1:11">
      <c r="A1267" s="14" t="s">
        <v>18738</v>
      </c>
      <c r="B1267" s="14" t="s">
        <v>18739</v>
      </c>
      <c r="C1267" s="14" t="s">
        <v>16090</v>
      </c>
      <c r="D1267" s="14">
        <v>1</v>
      </c>
      <c r="E1267" s="14">
        <v>1239</v>
      </c>
      <c r="F1267" s="14">
        <v>26</v>
      </c>
      <c r="G1267" s="14">
        <v>15605</v>
      </c>
      <c r="H1267" s="14">
        <v>0.883830171413382</v>
      </c>
      <c r="I1267" s="14">
        <v>0.99683765978668</v>
      </c>
      <c r="J1267" s="14">
        <v>0.484416713230273</v>
      </c>
      <c r="K1267" s="14" t="s">
        <v>15724</v>
      </c>
    </row>
    <row r="1268" spans="1:11">
      <c r="A1268" s="14" t="s">
        <v>18741</v>
      </c>
      <c r="B1268" s="14" t="s">
        <v>18742</v>
      </c>
      <c r="C1268" s="14" t="s">
        <v>16090</v>
      </c>
      <c r="D1268" s="14">
        <v>1</v>
      </c>
      <c r="E1268" s="14">
        <v>1239</v>
      </c>
      <c r="F1268" s="14">
        <v>26</v>
      </c>
      <c r="G1268" s="14">
        <v>15605</v>
      </c>
      <c r="H1268" s="14">
        <v>0.883830171413382</v>
      </c>
      <c r="I1268" s="14">
        <v>0.99683765978668</v>
      </c>
      <c r="J1268" s="14">
        <v>0.484416713230273</v>
      </c>
      <c r="K1268" s="14" t="s">
        <v>12155</v>
      </c>
    </row>
    <row r="1269" spans="1:11">
      <c r="A1269" s="14" t="s">
        <v>19325</v>
      </c>
      <c r="B1269" s="14" t="s">
        <v>19326</v>
      </c>
      <c r="C1269" s="14" t="s">
        <v>16086</v>
      </c>
      <c r="D1269" s="14">
        <v>1</v>
      </c>
      <c r="E1269" s="14">
        <v>1239</v>
      </c>
      <c r="F1269" s="14">
        <v>26</v>
      </c>
      <c r="G1269" s="14">
        <v>15605</v>
      </c>
      <c r="H1269" s="14">
        <v>0.883830171413382</v>
      </c>
      <c r="I1269" s="14">
        <v>0.99683765978668</v>
      </c>
      <c r="J1269" s="14">
        <v>0.484416713230273</v>
      </c>
      <c r="K1269" s="14" t="s">
        <v>7336</v>
      </c>
    </row>
    <row r="1270" spans="1:11">
      <c r="A1270" s="14" t="s">
        <v>21268</v>
      </c>
      <c r="B1270" s="14" t="s">
        <v>21269</v>
      </c>
      <c r="C1270" s="14" t="s">
        <v>16090</v>
      </c>
      <c r="D1270" s="14">
        <v>3</v>
      </c>
      <c r="E1270" s="14">
        <v>1239</v>
      </c>
      <c r="F1270" s="14">
        <v>63</v>
      </c>
      <c r="G1270" s="14">
        <v>15605</v>
      </c>
      <c r="H1270" s="14">
        <v>0.88621971424543</v>
      </c>
      <c r="I1270" s="14">
        <v>0.998744457142523</v>
      </c>
      <c r="J1270" s="14">
        <v>0.599754025904147</v>
      </c>
      <c r="K1270" s="14" t="s">
        <v>21270</v>
      </c>
    </row>
    <row r="1271" spans="1:11">
      <c r="A1271" s="14" t="s">
        <v>16159</v>
      </c>
      <c r="B1271" s="14" t="s">
        <v>16160</v>
      </c>
      <c r="C1271" s="14" t="s">
        <v>16090</v>
      </c>
      <c r="D1271" s="14">
        <v>21</v>
      </c>
      <c r="E1271" s="14">
        <v>1239</v>
      </c>
      <c r="F1271" s="14">
        <v>333</v>
      </c>
      <c r="G1271" s="14">
        <v>15605</v>
      </c>
      <c r="H1271" s="14">
        <v>0.89122346027107</v>
      </c>
      <c r="I1271" s="14">
        <v>0.999999998981127</v>
      </c>
      <c r="J1271" s="14">
        <v>0.794268845116303</v>
      </c>
      <c r="K1271" s="14" t="s">
        <v>21271</v>
      </c>
    </row>
    <row r="1272" spans="1:11">
      <c r="A1272" s="14" t="s">
        <v>19516</v>
      </c>
      <c r="B1272" s="14" t="s">
        <v>19517</v>
      </c>
      <c r="C1272" s="14" t="s">
        <v>16090</v>
      </c>
      <c r="D1272" s="14">
        <v>5</v>
      </c>
      <c r="E1272" s="14">
        <v>1239</v>
      </c>
      <c r="F1272" s="14">
        <v>97</v>
      </c>
      <c r="G1272" s="14">
        <v>15605</v>
      </c>
      <c r="H1272" s="14">
        <v>0.892623045025245</v>
      </c>
      <c r="I1272" s="14">
        <v>0.999999998981127</v>
      </c>
      <c r="J1272" s="14">
        <v>0.649218275463252</v>
      </c>
      <c r="K1272" s="14" t="s">
        <v>21272</v>
      </c>
    </row>
    <row r="1273" spans="1:11">
      <c r="A1273" s="14" t="s">
        <v>16443</v>
      </c>
      <c r="B1273" s="14" t="s">
        <v>16444</v>
      </c>
      <c r="C1273" s="14" t="s">
        <v>16090</v>
      </c>
      <c r="D1273" s="14">
        <v>1</v>
      </c>
      <c r="E1273" s="14">
        <v>1239</v>
      </c>
      <c r="F1273" s="14">
        <v>27</v>
      </c>
      <c r="G1273" s="14">
        <v>15605</v>
      </c>
      <c r="H1273" s="14">
        <v>0.893069173763907</v>
      </c>
      <c r="I1273" s="14">
        <v>0.999999998981127</v>
      </c>
      <c r="J1273" s="14">
        <v>0.466475353481003</v>
      </c>
      <c r="K1273" s="14" t="s">
        <v>230</v>
      </c>
    </row>
    <row r="1274" spans="1:11">
      <c r="A1274" s="14" t="s">
        <v>17830</v>
      </c>
      <c r="B1274" s="14" t="s">
        <v>17831</v>
      </c>
      <c r="C1274" s="14" t="s">
        <v>16090</v>
      </c>
      <c r="D1274" s="14">
        <v>1</v>
      </c>
      <c r="E1274" s="14">
        <v>1239</v>
      </c>
      <c r="F1274" s="14">
        <v>27</v>
      </c>
      <c r="G1274" s="14">
        <v>15605</v>
      </c>
      <c r="H1274" s="14">
        <v>0.893069173763907</v>
      </c>
      <c r="I1274" s="14">
        <v>0.999999998981127</v>
      </c>
      <c r="J1274" s="14">
        <v>0.466475353481003</v>
      </c>
      <c r="K1274" s="14" t="s">
        <v>9028</v>
      </c>
    </row>
    <row r="1275" spans="1:11">
      <c r="A1275" s="14" t="s">
        <v>19571</v>
      </c>
      <c r="B1275" s="14" t="s">
        <v>19572</v>
      </c>
      <c r="C1275" s="14" t="s">
        <v>16086</v>
      </c>
      <c r="D1275" s="14">
        <v>32</v>
      </c>
      <c r="E1275" s="14">
        <v>1239</v>
      </c>
      <c r="F1275" s="14">
        <v>489</v>
      </c>
      <c r="G1275" s="14">
        <v>15605</v>
      </c>
      <c r="H1275" s="14">
        <v>0.896043189838844</v>
      </c>
      <c r="I1275" s="14">
        <v>0.999999998981127</v>
      </c>
      <c r="J1275" s="14">
        <v>0.824201851549257</v>
      </c>
      <c r="K1275" s="14" t="s">
        <v>21273</v>
      </c>
    </row>
    <row r="1276" spans="1:11">
      <c r="A1276" s="14" t="s">
        <v>19503</v>
      </c>
      <c r="B1276" s="14" t="s">
        <v>19504</v>
      </c>
      <c r="C1276" s="14" t="s">
        <v>16086</v>
      </c>
      <c r="D1276" s="14">
        <v>9</v>
      </c>
      <c r="E1276" s="14">
        <v>1239</v>
      </c>
      <c r="F1276" s="14">
        <v>160</v>
      </c>
      <c r="G1276" s="14">
        <v>15605</v>
      </c>
      <c r="H1276" s="14">
        <v>0.896840330228276</v>
      </c>
      <c r="I1276" s="14">
        <v>0.999999998981127</v>
      </c>
      <c r="J1276" s="14">
        <v>0.708459443099274</v>
      </c>
      <c r="K1276" s="14" t="s">
        <v>21274</v>
      </c>
    </row>
    <row r="1277" spans="1:11">
      <c r="A1277" s="14" t="s">
        <v>16822</v>
      </c>
      <c r="B1277" s="14" t="s">
        <v>16823</v>
      </c>
      <c r="C1277" s="14" t="s">
        <v>16086</v>
      </c>
      <c r="D1277" s="14">
        <v>2</v>
      </c>
      <c r="E1277" s="14">
        <v>1239</v>
      </c>
      <c r="F1277" s="14">
        <v>47</v>
      </c>
      <c r="G1277" s="14">
        <v>15605</v>
      </c>
      <c r="H1277" s="14">
        <v>0.896842576186896</v>
      </c>
      <c r="I1277" s="14">
        <v>0.999999998981127</v>
      </c>
      <c r="J1277" s="14">
        <v>0.53595040612711</v>
      </c>
      <c r="K1277" s="14" t="s">
        <v>21275</v>
      </c>
    </row>
    <row r="1278" spans="1:11">
      <c r="A1278" s="14" t="s">
        <v>19006</v>
      </c>
      <c r="B1278" s="14" t="s">
        <v>19007</v>
      </c>
      <c r="C1278" s="14" t="s">
        <v>16096</v>
      </c>
      <c r="D1278" s="14">
        <v>2</v>
      </c>
      <c r="E1278" s="14">
        <v>1239</v>
      </c>
      <c r="F1278" s="14">
        <v>47</v>
      </c>
      <c r="G1278" s="14">
        <v>15605</v>
      </c>
      <c r="H1278" s="14">
        <v>0.896842576186896</v>
      </c>
      <c r="I1278" s="14">
        <v>0.999999998981127</v>
      </c>
      <c r="J1278" s="14">
        <v>0.53595040612711</v>
      </c>
      <c r="K1278" s="14" t="s">
        <v>21276</v>
      </c>
    </row>
    <row r="1279" spans="1:11">
      <c r="A1279" s="14" t="s">
        <v>17896</v>
      </c>
      <c r="B1279" s="14" t="s">
        <v>17897</v>
      </c>
      <c r="C1279" s="14" t="s">
        <v>16086</v>
      </c>
      <c r="D1279" s="14">
        <v>1</v>
      </c>
      <c r="E1279" s="14">
        <v>1239</v>
      </c>
      <c r="F1279" s="14">
        <v>28</v>
      </c>
      <c r="G1279" s="14">
        <v>15605</v>
      </c>
      <c r="H1279" s="14">
        <v>0.901573942906705</v>
      </c>
      <c r="I1279" s="14">
        <v>0.999999998981127</v>
      </c>
      <c r="J1279" s="14">
        <v>0.44981551942811</v>
      </c>
      <c r="K1279" s="14" t="s">
        <v>8863</v>
      </c>
    </row>
    <row r="1280" spans="1:11">
      <c r="A1280" s="14" t="s">
        <v>18816</v>
      </c>
      <c r="B1280" s="14" t="s">
        <v>18817</v>
      </c>
      <c r="C1280" s="14" t="s">
        <v>16086</v>
      </c>
      <c r="D1280" s="14">
        <v>1</v>
      </c>
      <c r="E1280" s="14">
        <v>1239</v>
      </c>
      <c r="F1280" s="14">
        <v>28</v>
      </c>
      <c r="G1280" s="14">
        <v>15605</v>
      </c>
      <c r="H1280" s="14">
        <v>0.901573942906705</v>
      </c>
      <c r="I1280" s="14">
        <v>0.999999998981127</v>
      </c>
      <c r="J1280" s="14">
        <v>0.44981551942811</v>
      </c>
      <c r="K1280" s="14" t="s">
        <v>12155</v>
      </c>
    </row>
    <row r="1281" spans="1:11">
      <c r="A1281" s="14" t="s">
        <v>17155</v>
      </c>
      <c r="B1281" s="14" t="s">
        <v>17156</v>
      </c>
      <c r="C1281" s="14" t="s">
        <v>16096</v>
      </c>
      <c r="D1281" s="14">
        <v>1</v>
      </c>
      <c r="E1281" s="14">
        <v>1239</v>
      </c>
      <c r="F1281" s="14">
        <v>28</v>
      </c>
      <c r="G1281" s="14">
        <v>15605</v>
      </c>
      <c r="H1281" s="14">
        <v>0.901573942906705</v>
      </c>
      <c r="I1281" s="14">
        <v>0.999999998981127</v>
      </c>
      <c r="J1281" s="14">
        <v>0.44981551942811</v>
      </c>
      <c r="K1281" s="14" t="s">
        <v>12445</v>
      </c>
    </row>
    <row r="1282" spans="1:11">
      <c r="A1282" s="14" t="s">
        <v>5446</v>
      </c>
      <c r="B1282" s="14" t="s">
        <v>5447</v>
      </c>
      <c r="C1282" s="14" t="s">
        <v>16086</v>
      </c>
      <c r="D1282" s="14">
        <v>1</v>
      </c>
      <c r="E1282" s="14">
        <v>1239</v>
      </c>
      <c r="F1282" s="14">
        <v>29</v>
      </c>
      <c r="G1282" s="14">
        <v>15605</v>
      </c>
      <c r="H1282" s="14">
        <v>0.909402785735144</v>
      </c>
      <c r="I1282" s="14">
        <v>0.999999998981127</v>
      </c>
      <c r="J1282" s="14">
        <v>0.434304639447831</v>
      </c>
      <c r="K1282" s="14" t="s">
        <v>14403</v>
      </c>
    </row>
    <row r="1283" spans="1:11">
      <c r="A1283" s="14" t="s">
        <v>21277</v>
      </c>
      <c r="B1283" s="14" t="s">
        <v>21278</v>
      </c>
      <c r="C1283" s="14" t="s">
        <v>16090</v>
      </c>
      <c r="D1283" s="14">
        <v>1</v>
      </c>
      <c r="E1283" s="14">
        <v>1239</v>
      </c>
      <c r="F1283" s="14">
        <v>29</v>
      </c>
      <c r="G1283" s="14">
        <v>15605</v>
      </c>
      <c r="H1283" s="14">
        <v>0.909402785735144</v>
      </c>
      <c r="I1283" s="14">
        <v>0.999999998981127</v>
      </c>
      <c r="J1283" s="14">
        <v>0.434304639447831</v>
      </c>
      <c r="K1283" s="14" t="s">
        <v>3491</v>
      </c>
    </row>
    <row r="1284" spans="1:11">
      <c r="A1284" s="14" t="s">
        <v>21279</v>
      </c>
      <c r="B1284" s="14" t="s">
        <v>21280</v>
      </c>
      <c r="C1284" s="14" t="s">
        <v>16090</v>
      </c>
      <c r="D1284" s="14">
        <v>1</v>
      </c>
      <c r="E1284" s="14">
        <v>1239</v>
      </c>
      <c r="F1284" s="14">
        <v>29</v>
      </c>
      <c r="G1284" s="14">
        <v>15605</v>
      </c>
      <c r="H1284" s="14">
        <v>0.909402785735144</v>
      </c>
      <c r="I1284" s="14">
        <v>0.999999998981127</v>
      </c>
      <c r="J1284" s="14">
        <v>0.434304639447831</v>
      </c>
      <c r="K1284" s="14" t="s">
        <v>8640</v>
      </c>
    </row>
    <row r="1285" spans="1:11">
      <c r="A1285" s="14" t="s">
        <v>21281</v>
      </c>
      <c r="B1285" s="14" t="s">
        <v>21282</v>
      </c>
      <c r="C1285" s="14" t="s">
        <v>16096</v>
      </c>
      <c r="D1285" s="14">
        <v>1</v>
      </c>
      <c r="E1285" s="14">
        <v>1239</v>
      </c>
      <c r="F1285" s="14">
        <v>29</v>
      </c>
      <c r="G1285" s="14">
        <v>15605</v>
      </c>
      <c r="H1285" s="14">
        <v>0.909402785735144</v>
      </c>
      <c r="I1285" s="14">
        <v>0.999999998981127</v>
      </c>
      <c r="J1285" s="14">
        <v>0.434304639447831</v>
      </c>
      <c r="K1285" s="14" t="s">
        <v>15596</v>
      </c>
    </row>
    <row r="1286" spans="1:11">
      <c r="A1286" s="14" t="s">
        <v>18870</v>
      </c>
      <c r="B1286" s="14" t="s">
        <v>18871</v>
      </c>
      <c r="C1286" s="14" t="s">
        <v>16090</v>
      </c>
      <c r="D1286" s="14">
        <v>1</v>
      </c>
      <c r="E1286" s="14">
        <v>1239</v>
      </c>
      <c r="F1286" s="14">
        <v>29</v>
      </c>
      <c r="G1286" s="14">
        <v>15605</v>
      </c>
      <c r="H1286" s="14">
        <v>0.909402785735144</v>
      </c>
      <c r="I1286" s="14">
        <v>0.999999998981127</v>
      </c>
      <c r="J1286" s="14">
        <v>0.434304639447831</v>
      </c>
      <c r="K1286" s="14" t="s">
        <v>13211</v>
      </c>
    </row>
    <row r="1287" spans="1:11">
      <c r="A1287" s="14" t="s">
        <v>18229</v>
      </c>
      <c r="B1287" s="14" t="s">
        <v>18230</v>
      </c>
      <c r="C1287" s="14" t="s">
        <v>16086</v>
      </c>
      <c r="D1287" s="14">
        <v>5</v>
      </c>
      <c r="E1287" s="14">
        <v>1239</v>
      </c>
      <c r="F1287" s="14">
        <v>101</v>
      </c>
      <c r="G1287" s="14">
        <v>15605</v>
      </c>
      <c r="H1287" s="14">
        <v>0.911344371845028</v>
      </c>
      <c r="I1287" s="14">
        <v>0.999999998981127</v>
      </c>
      <c r="J1287" s="14">
        <v>0.62350666059342</v>
      </c>
      <c r="K1287" s="14" t="s">
        <v>21283</v>
      </c>
    </row>
    <row r="1288" spans="1:11">
      <c r="A1288" s="14" t="s">
        <v>16813</v>
      </c>
      <c r="B1288" s="14" t="s">
        <v>16814</v>
      </c>
      <c r="C1288" s="14" t="s">
        <v>16086</v>
      </c>
      <c r="D1288" s="14">
        <v>5</v>
      </c>
      <c r="E1288" s="14">
        <v>1239</v>
      </c>
      <c r="F1288" s="14">
        <v>102</v>
      </c>
      <c r="G1288" s="14">
        <v>15605</v>
      </c>
      <c r="H1288" s="14">
        <v>0.915552494504646</v>
      </c>
      <c r="I1288" s="14">
        <v>0.999999998981127</v>
      </c>
      <c r="J1288" s="14">
        <v>0.617393850195445</v>
      </c>
      <c r="K1288" s="14" t="s">
        <v>21284</v>
      </c>
    </row>
    <row r="1289" spans="1:11">
      <c r="A1289" s="14" t="s">
        <v>19556</v>
      </c>
      <c r="B1289" s="14" t="s">
        <v>19557</v>
      </c>
      <c r="C1289" s="14" t="s">
        <v>16096</v>
      </c>
      <c r="D1289" s="14">
        <v>8</v>
      </c>
      <c r="E1289" s="14">
        <v>1239</v>
      </c>
      <c r="F1289" s="14">
        <v>150</v>
      </c>
      <c r="G1289" s="14">
        <v>15605</v>
      </c>
      <c r="H1289" s="14">
        <v>0.916469066581475</v>
      </c>
      <c r="I1289" s="14">
        <v>0.999999998981127</v>
      </c>
      <c r="J1289" s="14">
        <v>0.671724509012645</v>
      </c>
      <c r="K1289" s="14" t="s">
        <v>21285</v>
      </c>
    </row>
    <row r="1290" spans="1:11">
      <c r="A1290" s="14" t="s">
        <v>18923</v>
      </c>
      <c r="B1290" s="14" t="s">
        <v>18924</v>
      </c>
      <c r="C1290" s="14" t="s">
        <v>16086</v>
      </c>
      <c r="D1290" s="14">
        <v>1</v>
      </c>
      <c r="E1290" s="14">
        <v>1239</v>
      </c>
      <c r="F1290" s="14">
        <v>30</v>
      </c>
      <c r="G1290" s="14">
        <v>15605</v>
      </c>
      <c r="H1290" s="14">
        <v>0.916609382324394</v>
      </c>
      <c r="I1290" s="14">
        <v>0.999999998981127</v>
      </c>
      <c r="J1290" s="14">
        <v>0.419827818132903</v>
      </c>
      <c r="K1290" s="14" t="s">
        <v>3452</v>
      </c>
    </row>
    <row r="1291" spans="1:11">
      <c r="A1291" s="14" t="s">
        <v>19360</v>
      </c>
      <c r="B1291" s="14" t="s">
        <v>19361</v>
      </c>
      <c r="C1291" s="14" t="s">
        <v>16090</v>
      </c>
      <c r="D1291" s="14">
        <v>1</v>
      </c>
      <c r="E1291" s="14">
        <v>1239</v>
      </c>
      <c r="F1291" s="14">
        <v>30</v>
      </c>
      <c r="G1291" s="14">
        <v>15605</v>
      </c>
      <c r="H1291" s="14">
        <v>0.916609382324394</v>
      </c>
      <c r="I1291" s="14">
        <v>0.999999998981127</v>
      </c>
      <c r="J1291" s="14">
        <v>0.419827818132903</v>
      </c>
      <c r="K1291" s="14" t="s">
        <v>15109</v>
      </c>
    </row>
    <row r="1292" spans="1:11">
      <c r="A1292" s="14" t="s">
        <v>18043</v>
      </c>
      <c r="B1292" s="14" t="s">
        <v>18044</v>
      </c>
      <c r="C1292" s="14" t="s">
        <v>16090</v>
      </c>
      <c r="D1292" s="14">
        <v>1</v>
      </c>
      <c r="E1292" s="14">
        <v>1239</v>
      </c>
      <c r="F1292" s="14">
        <v>30</v>
      </c>
      <c r="G1292" s="14">
        <v>15605</v>
      </c>
      <c r="H1292" s="14">
        <v>0.916609382324394</v>
      </c>
      <c r="I1292" s="14">
        <v>0.999999998981127</v>
      </c>
      <c r="J1292" s="14">
        <v>0.419827818132903</v>
      </c>
      <c r="K1292" s="14" t="s">
        <v>3905</v>
      </c>
    </row>
    <row r="1293" spans="1:11">
      <c r="A1293" s="14" t="s">
        <v>19533</v>
      </c>
      <c r="B1293" s="14" t="s">
        <v>19534</v>
      </c>
      <c r="C1293" s="14" t="s">
        <v>16096</v>
      </c>
      <c r="D1293" s="14">
        <v>7</v>
      </c>
      <c r="E1293" s="14">
        <v>1239</v>
      </c>
      <c r="F1293" s="14">
        <v>135</v>
      </c>
      <c r="G1293" s="14">
        <v>15605</v>
      </c>
      <c r="H1293" s="14">
        <v>0.918820403297285</v>
      </c>
      <c r="I1293" s="14">
        <v>0.999999998981127</v>
      </c>
      <c r="J1293" s="14">
        <v>0.653065494873404</v>
      </c>
      <c r="K1293" s="14" t="s">
        <v>21286</v>
      </c>
    </row>
    <row r="1294" spans="1:11">
      <c r="A1294" s="14" t="s">
        <v>19546</v>
      </c>
      <c r="B1294" s="14" t="s">
        <v>19547</v>
      </c>
      <c r="C1294" s="14" t="s">
        <v>16090</v>
      </c>
      <c r="D1294" s="14">
        <v>5</v>
      </c>
      <c r="E1294" s="14">
        <v>1239</v>
      </c>
      <c r="F1294" s="14">
        <v>103</v>
      </c>
      <c r="G1294" s="14">
        <v>15605</v>
      </c>
      <c r="H1294" s="14">
        <v>0.919583749566187</v>
      </c>
      <c r="I1294" s="14">
        <v>0.999999998981127</v>
      </c>
      <c r="J1294" s="14">
        <v>0.611399735145004</v>
      </c>
      <c r="K1294" s="14" t="s">
        <v>21287</v>
      </c>
    </row>
    <row r="1295" spans="1:11">
      <c r="A1295" s="14" t="s">
        <v>19524</v>
      </c>
      <c r="B1295" s="14" t="s">
        <v>19525</v>
      </c>
      <c r="C1295" s="14" t="s">
        <v>16096</v>
      </c>
      <c r="D1295" s="14">
        <v>8</v>
      </c>
      <c r="E1295" s="14">
        <v>1239</v>
      </c>
      <c r="F1295" s="14">
        <v>151</v>
      </c>
      <c r="G1295" s="14">
        <v>15605</v>
      </c>
      <c r="H1295" s="14">
        <v>0.919839531494817</v>
      </c>
      <c r="I1295" s="14">
        <v>0.999999998981127</v>
      </c>
      <c r="J1295" s="14">
        <v>0.667276002330442</v>
      </c>
      <c r="K1295" s="14" t="s">
        <v>21288</v>
      </c>
    </row>
    <row r="1296" spans="1:11">
      <c r="A1296" s="14" t="s">
        <v>16477</v>
      </c>
      <c r="B1296" s="14" t="s">
        <v>16478</v>
      </c>
      <c r="C1296" s="14" t="s">
        <v>16086</v>
      </c>
      <c r="D1296" s="14">
        <v>2</v>
      </c>
      <c r="E1296" s="14">
        <v>1239</v>
      </c>
      <c r="F1296" s="14">
        <v>51</v>
      </c>
      <c r="G1296" s="14">
        <v>15605</v>
      </c>
      <c r="H1296" s="14">
        <v>0.920910768622731</v>
      </c>
      <c r="I1296" s="14">
        <v>0.999999998981127</v>
      </c>
      <c r="J1296" s="14">
        <v>0.493915080156356</v>
      </c>
      <c r="K1296" s="14" t="s">
        <v>20285</v>
      </c>
    </row>
    <row r="1297" spans="1:11">
      <c r="A1297" s="14" t="s">
        <v>19498</v>
      </c>
      <c r="B1297" s="14" t="s">
        <v>19499</v>
      </c>
      <c r="C1297" s="14" t="s">
        <v>16096</v>
      </c>
      <c r="D1297" s="14">
        <v>4</v>
      </c>
      <c r="E1297" s="14">
        <v>1239</v>
      </c>
      <c r="F1297" s="14">
        <v>87</v>
      </c>
      <c r="G1297" s="14">
        <v>15605</v>
      </c>
      <c r="H1297" s="14">
        <v>0.922466836974859</v>
      </c>
      <c r="I1297" s="14">
        <v>0.999999998981127</v>
      </c>
      <c r="J1297" s="14">
        <v>0.579072852597107</v>
      </c>
      <c r="K1297" s="14" t="s">
        <v>21289</v>
      </c>
    </row>
    <row r="1298" spans="1:11">
      <c r="A1298" s="14" t="s">
        <v>18206</v>
      </c>
      <c r="B1298" s="14" t="s">
        <v>18207</v>
      </c>
      <c r="C1298" s="14" t="s">
        <v>16090</v>
      </c>
      <c r="D1298" s="14">
        <v>1</v>
      </c>
      <c r="E1298" s="14">
        <v>1239</v>
      </c>
      <c r="F1298" s="14">
        <v>31</v>
      </c>
      <c r="G1298" s="14">
        <v>15605</v>
      </c>
      <c r="H1298" s="14">
        <v>0.92324315280915</v>
      </c>
      <c r="I1298" s="14">
        <v>0.999999998981127</v>
      </c>
      <c r="J1298" s="14">
        <v>0.406284985289906</v>
      </c>
      <c r="K1298" s="14" t="s">
        <v>9829</v>
      </c>
    </row>
    <row r="1299" spans="1:11">
      <c r="A1299" s="14" t="s">
        <v>18211</v>
      </c>
      <c r="B1299" s="14" t="s">
        <v>18212</v>
      </c>
      <c r="C1299" s="14" t="s">
        <v>16090</v>
      </c>
      <c r="D1299" s="14">
        <v>1</v>
      </c>
      <c r="E1299" s="14">
        <v>1239</v>
      </c>
      <c r="F1299" s="14">
        <v>31</v>
      </c>
      <c r="G1299" s="14">
        <v>15605</v>
      </c>
      <c r="H1299" s="14">
        <v>0.92324315280915</v>
      </c>
      <c r="I1299" s="14">
        <v>0.999999998981127</v>
      </c>
      <c r="J1299" s="14">
        <v>0.406284985289906</v>
      </c>
      <c r="K1299" s="14" t="s">
        <v>8984</v>
      </c>
    </row>
    <row r="1300" spans="1:11">
      <c r="A1300" s="14" t="s">
        <v>7871</v>
      </c>
      <c r="B1300" s="14" t="s">
        <v>7872</v>
      </c>
      <c r="C1300" s="14" t="s">
        <v>16090</v>
      </c>
      <c r="D1300" s="14">
        <v>3</v>
      </c>
      <c r="E1300" s="14">
        <v>1239</v>
      </c>
      <c r="F1300" s="14">
        <v>70</v>
      </c>
      <c r="G1300" s="14">
        <v>15605</v>
      </c>
      <c r="H1300" s="14">
        <v>0.924069160454904</v>
      </c>
      <c r="I1300" s="14">
        <v>0.999999998981127</v>
      </c>
      <c r="J1300" s="14">
        <v>0.539778623313732</v>
      </c>
      <c r="K1300" s="14" t="s">
        <v>21290</v>
      </c>
    </row>
    <row r="1301" spans="1:11">
      <c r="A1301" s="14" t="s">
        <v>19142</v>
      </c>
      <c r="B1301" s="14" t="s">
        <v>19143</v>
      </c>
      <c r="C1301" s="14" t="s">
        <v>16090</v>
      </c>
      <c r="D1301" s="14">
        <v>2</v>
      </c>
      <c r="E1301" s="14">
        <v>1239</v>
      </c>
      <c r="F1301" s="14">
        <v>52</v>
      </c>
      <c r="G1301" s="14">
        <v>15605</v>
      </c>
      <c r="H1301" s="14">
        <v>0.926043017009096</v>
      </c>
      <c r="I1301" s="14">
        <v>0.999999998981127</v>
      </c>
      <c r="J1301" s="14">
        <v>0.484416713230273</v>
      </c>
      <c r="K1301" s="14" t="s">
        <v>21291</v>
      </c>
    </row>
    <row r="1302" spans="1:11">
      <c r="A1302" s="14" t="s">
        <v>17357</v>
      </c>
      <c r="B1302" s="14" t="s">
        <v>17358</v>
      </c>
      <c r="C1302" s="14" t="s">
        <v>16090</v>
      </c>
      <c r="D1302" s="14">
        <v>1</v>
      </c>
      <c r="E1302" s="14">
        <v>1239</v>
      </c>
      <c r="F1302" s="14">
        <v>32</v>
      </c>
      <c r="G1302" s="14">
        <v>15605</v>
      </c>
      <c r="H1302" s="14">
        <v>0.929349595191933</v>
      </c>
      <c r="I1302" s="14">
        <v>0.999999998981127</v>
      </c>
      <c r="J1302" s="14">
        <v>0.393588579499596</v>
      </c>
      <c r="K1302" s="14" t="s">
        <v>7107</v>
      </c>
    </row>
    <row r="1303" spans="1:11">
      <c r="A1303" s="14" t="s">
        <v>17361</v>
      </c>
      <c r="B1303" s="14" t="s">
        <v>17362</v>
      </c>
      <c r="C1303" s="14" t="s">
        <v>16096</v>
      </c>
      <c r="D1303" s="14">
        <v>1</v>
      </c>
      <c r="E1303" s="14">
        <v>1239</v>
      </c>
      <c r="F1303" s="14">
        <v>32</v>
      </c>
      <c r="G1303" s="14">
        <v>15605</v>
      </c>
      <c r="H1303" s="14">
        <v>0.929349595191933</v>
      </c>
      <c r="I1303" s="14">
        <v>0.999999998981127</v>
      </c>
      <c r="J1303" s="14">
        <v>0.393588579499596</v>
      </c>
      <c r="K1303" s="14" t="s">
        <v>2482</v>
      </c>
    </row>
    <row r="1304" spans="1:11">
      <c r="A1304" s="14" t="s">
        <v>19588</v>
      </c>
      <c r="B1304" s="14" t="s">
        <v>19589</v>
      </c>
      <c r="C1304" s="14" t="s">
        <v>16090</v>
      </c>
      <c r="D1304" s="14">
        <v>9</v>
      </c>
      <c r="E1304" s="14">
        <v>1239</v>
      </c>
      <c r="F1304" s="14">
        <v>170</v>
      </c>
      <c r="G1304" s="14">
        <v>15605</v>
      </c>
      <c r="H1304" s="14">
        <v>0.930264125743781</v>
      </c>
      <c r="I1304" s="14">
        <v>0.999999998981127</v>
      </c>
      <c r="J1304" s="14">
        <v>0.666785358211081</v>
      </c>
      <c r="K1304" s="14" t="s">
        <v>21292</v>
      </c>
    </row>
    <row r="1305" spans="1:11">
      <c r="A1305" s="14" t="s">
        <v>19015</v>
      </c>
      <c r="B1305" s="14" t="s">
        <v>19016</v>
      </c>
      <c r="C1305" s="14" t="s">
        <v>16086</v>
      </c>
      <c r="D1305" s="14">
        <v>1</v>
      </c>
      <c r="E1305" s="14">
        <v>1239</v>
      </c>
      <c r="F1305" s="14">
        <v>33</v>
      </c>
      <c r="G1305" s="14">
        <v>15605</v>
      </c>
      <c r="H1305" s="14">
        <v>0.93497059638356</v>
      </c>
      <c r="I1305" s="14">
        <v>0.999999998981127</v>
      </c>
      <c r="J1305" s="14">
        <v>0.381661652848094</v>
      </c>
      <c r="K1305" s="14" t="s">
        <v>944</v>
      </c>
    </row>
    <row r="1306" spans="1:11">
      <c r="A1306" s="14" t="s">
        <v>16983</v>
      </c>
      <c r="B1306" s="14" t="s">
        <v>16984</v>
      </c>
      <c r="C1306" s="14" t="s">
        <v>16086</v>
      </c>
      <c r="D1306" s="14">
        <v>1</v>
      </c>
      <c r="E1306" s="14">
        <v>1239</v>
      </c>
      <c r="F1306" s="14">
        <v>33</v>
      </c>
      <c r="G1306" s="14">
        <v>15605</v>
      </c>
      <c r="H1306" s="14">
        <v>0.93497059638356</v>
      </c>
      <c r="I1306" s="14">
        <v>0.999999998981127</v>
      </c>
      <c r="J1306" s="14">
        <v>0.381661652848094</v>
      </c>
      <c r="K1306" s="14" t="s">
        <v>6123</v>
      </c>
    </row>
    <row r="1307" spans="1:11">
      <c r="A1307" s="14" t="s">
        <v>19417</v>
      </c>
      <c r="B1307" s="14" t="s">
        <v>19418</v>
      </c>
      <c r="C1307" s="14" t="s">
        <v>16090</v>
      </c>
      <c r="D1307" s="14">
        <v>1</v>
      </c>
      <c r="E1307" s="14">
        <v>1239</v>
      </c>
      <c r="F1307" s="14">
        <v>33</v>
      </c>
      <c r="G1307" s="14">
        <v>15605</v>
      </c>
      <c r="H1307" s="14">
        <v>0.93497059638356</v>
      </c>
      <c r="I1307" s="14">
        <v>0.999999998981127</v>
      </c>
      <c r="J1307" s="14">
        <v>0.381661652848094</v>
      </c>
      <c r="K1307" s="14" t="s">
        <v>13007</v>
      </c>
    </row>
    <row r="1308" spans="1:11">
      <c r="A1308" s="14" t="s">
        <v>19522</v>
      </c>
      <c r="B1308" s="14" t="s">
        <v>19523</v>
      </c>
      <c r="C1308" s="14" t="s">
        <v>16096</v>
      </c>
      <c r="D1308" s="14">
        <v>2</v>
      </c>
      <c r="E1308" s="14">
        <v>1239</v>
      </c>
      <c r="F1308" s="14">
        <v>54</v>
      </c>
      <c r="G1308" s="14">
        <v>15605</v>
      </c>
      <c r="H1308" s="14">
        <v>0.935378532979375</v>
      </c>
      <c r="I1308" s="14">
        <v>0.999999998981127</v>
      </c>
      <c r="J1308" s="14">
        <v>0.466475353481003</v>
      </c>
      <c r="K1308" s="14" t="s">
        <v>21293</v>
      </c>
    </row>
    <row r="1309" spans="1:11">
      <c r="A1309" s="14" t="s">
        <v>17663</v>
      </c>
      <c r="B1309" s="14" t="s">
        <v>17664</v>
      </c>
      <c r="C1309" s="14" t="s">
        <v>16090</v>
      </c>
      <c r="D1309" s="14">
        <v>15</v>
      </c>
      <c r="E1309" s="14">
        <v>1239</v>
      </c>
      <c r="F1309" s="14">
        <v>265</v>
      </c>
      <c r="G1309" s="14">
        <v>15605</v>
      </c>
      <c r="H1309" s="14">
        <v>0.93897978317438</v>
      </c>
      <c r="I1309" s="14">
        <v>0.999999998981127</v>
      </c>
      <c r="J1309" s="14">
        <v>0.712915162867194</v>
      </c>
      <c r="K1309" s="14" t="s">
        <v>21294</v>
      </c>
    </row>
    <row r="1310" spans="1:11">
      <c r="A1310" s="14" t="s">
        <v>19640</v>
      </c>
      <c r="B1310" s="14" t="s">
        <v>19641</v>
      </c>
      <c r="C1310" s="14" t="s">
        <v>16096</v>
      </c>
      <c r="D1310" s="14">
        <v>13</v>
      </c>
      <c r="E1310" s="14">
        <v>1239</v>
      </c>
      <c r="F1310" s="14">
        <v>235</v>
      </c>
      <c r="G1310" s="14">
        <v>15605</v>
      </c>
      <c r="H1310" s="14">
        <v>0.939219022444094</v>
      </c>
      <c r="I1310" s="14">
        <v>0.999999998981127</v>
      </c>
      <c r="J1310" s="14">
        <v>0.696735527965243</v>
      </c>
      <c r="K1310" s="14" t="s">
        <v>21295</v>
      </c>
    </row>
    <row r="1311" spans="1:11">
      <c r="A1311" s="14" t="s">
        <v>18232</v>
      </c>
      <c r="B1311" s="14" t="s">
        <v>18233</v>
      </c>
      <c r="C1311" s="14" t="s">
        <v>16090</v>
      </c>
      <c r="D1311" s="14">
        <v>2</v>
      </c>
      <c r="E1311" s="14">
        <v>1239</v>
      </c>
      <c r="F1311" s="14">
        <v>55</v>
      </c>
      <c r="G1311" s="14">
        <v>15605</v>
      </c>
      <c r="H1311" s="14">
        <v>0.939616392580372</v>
      </c>
      <c r="I1311" s="14">
        <v>0.999999998981127</v>
      </c>
      <c r="J1311" s="14">
        <v>0.457993983417712</v>
      </c>
      <c r="K1311" s="14" t="s">
        <v>21296</v>
      </c>
    </row>
    <row r="1312" spans="1:11">
      <c r="A1312" s="14" t="s">
        <v>19056</v>
      </c>
      <c r="B1312" s="14" t="s">
        <v>19057</v>
      </c>
      <c r="C1312" s="14" t="s">
        <v>16090</v>
      </c>
      <c r="D1312" s="14">
        <v>1</v>
      </c>
      <c r="E1312" s="14">
        <v>1239</v>
      </c>
      <c r="F1312" s="14">
        <v>34</v>
      </c>
      <c r="G1312" s="14">
        <v>15605</v>
      </c>
      <c r="H1312" s="14">
        <v>0.940144718595271</v>
      </c>
      <c r="I1312" s="14">
        <v>0.999999998981127</v>
      </c>
      <c r="J1312" s="14">
        <v>0.370436310117267</v>
      </c>
      <c r="K1312" s="14" t="s">
        <v>5182</v>
      </c>
    </row>
    <row r="1313" spans="1:11">
      <c r="A1313" s="14" t="s">
        <v>19059</v>
      </c>
      <c r="B1313" s="14" t="s">
        <v>19060</v>
      </c>
      <c r="C1313" s="14" t="s">
        <v>16090</v>
      </c>
      <c r="D1313" s="14">
        <v>1</v>
      </c>
      <c r="E1313" s="14">
        <v>1239</v>
      </c>
      <c r="F1313" s="14">
        <v>34</v>
      </c>
      <c r="G1313" s="14">
        <v>15605</v>
      </c>
      <c r="H1313" s="14">
        <v>0.940144718595271</v>
      </c>
      <c r="I1313" s="14">
        <v>0.999999998981127</v>
      </c>
      <c r="J1313" s="14">
        <v>0.370436310117267</v>
      </c>
      <c r="K1313" s="14" t="s">
        <v>12733</v>
      </c>
    </row>
    <row r="1314" spans="1:11">
      <c r="A1314" s="14" t="s">
        <v>18395</v>
      </c>
      <c r="B1314" s="14" t="s">
        <v>18396</v>
      </c>
      <c r="C1314" s="14" t="s">
        <v>16086</v>
      </c>
      <c r="D1314" s="14">
        <v>1</v>
      </c>
      <c r="E1314" s="14">
        <v>1239</v>
      </c>
      <c r="F1314" s="14">
        <v>34</v>
      </c>
      <c r="G1314" s="14">
        <v>15605</v>
      </c>
      <c r="H1314" s="14">
        <v>0.940144718595271</v>
      </c>
      <c r="I1314" s="14">
        <v>0.999999998981127</v>
      </c>
      <c r="J1314" s="14">
        <v>0.370436310117267</v>
      </c>
      <c r="K1314" s="14" t="s">
        <v>1831</v>
      </c>
    </row>
    <row r="1315" spans="1:11">
      <c r="A1315" s="14" t="s">
        <v>19336</v>
      </c>
      <c r="B1315" s="14" t="s">
        <v>19337</v>
      </c>
      <c r="C1315" s="14" t="s">
        <v>16090</v>
      </c>
      <c r="D1315" s="14">
        <v>4</v>
      </c>
      <c r="E1315" s="14">
        <v>1239</v>
      </c>
      <c r="F1315" s="14">
        <v>92</v>
      </c>
      <c r="G1315" s="14">
        <v>15605</v>
      </c>
      <c r="H1315" s="14">
        <v>0.940805244783941</v>
      </c>
      <c r="I1315" s="14">
        <v>0.999999998981127</v>
      </c>
      <c r="J1315" s="14">
        <v>0.547601501912482</v>
      </c>
      <c r="K1315" s="14" t="s">
        <v>21297</v>
      </c>
    </row>
    <row r="1316" spans="1:11">
      <c r="A1316" s="14" t="s">
        <v>4944</v>
      </c>
      <c r="B1316" s="14" t="s">
        <v>4945</v>
      </c>
      <c r="C1316" s="14" t="s">
        <v>16086</v>
      </c>
      <c r="D1316" s="14">
        <v>10</v>
      </c>
      <c r="E1316" s="14">
        <v>1239</v>
      </c>
      <c r="F1316" s="14">
        <v>191</v>
      </c>
      <c r="G1316" s="14">
        <v>15605</v>
      </c>
      <c r="H1316" s="14">
        <v>0.943852731384742</v>
      </c>
      <c r="I1316" s="14">
        <v>0.999999998981127</v>
      </c>
      <c r="J1316" s="14">
        <v>0.659415421151156</v>
      </c>
      <c r="K1316" s="14" t="s">
        <v>21298</v>
      </c>
    </row>
    <row r="1317" spans="1:11">
      <c r="A1317" s="14" t="s">
        <v>6053</v>
      </c>
      <c r="B1317" s="14" t="s">
        <v>6054</v>
      </c>
      <c r="C1317" s="14" t="s">
        <v>16086</v>
      </c>
      <c r="D1317" s="14">
        <v>12</v>
      </c>
      <c r="E1317" s="14">
        <v>1239</v>
      </c>
      <c r="F1317" s="14">
        <v>222</v>
      </c>
      <c r="G1317" s="14">
        <v>15605</v>
      </c>
      <c r="H1317" s="14">
        <v>0.943994748157678</v>
      </c>
      <c r="I1317" s="14">
        <v>0.999999998981127</v>
      </c>
      <c r="J1317" s="14">
        <v>0.680801867242545</v>
      </c>
      <c r="K1317" s="14" t="s">
        <v>21299</v>
      </c>
    </row>
    <row r="1318" spans="1:11">
      <c r="A1318" s="14" t="s">
        <v>17613</v>
      </c>
      <c r="B1318" s="14" t="s">
        <v>17614</v>
      </c>
      <c r="C1318" s="14" t="s">
        <v>16096</v>
      </c>
      <c r="D1318" s="14">
        <v>1</v>
      </c>
      <c r="E1318" s="14">
        <v>1239</v>
      </c>
      <c r="F1318" s="14">
        <v>35</v>
      </c>
      <c r="G1318" s="14">
        <v>15605</v>
      </c>
      <c r="H1318" s="14">
        <v>0.944907463034322</v>
      </c>
      <c r="I1318" s="14">
        <v>0.999999998981127</v>
      </c>
      <c r="J1318" s="14">
        <v>0.359852415542488</v>
      </c>
      <c r="K1318" s="14" t="s">
        <v>7016</v>
      </c>
    </row>
    <row r="1319" spans="1:11">
      <c r="A1319" s="14" t="s">
        <v>16315</v>
      </c>
      <c r="B1319" s="14" t="s">
        <v>16316</v>
      </c>
      <c r="C1319" s="14" t="s">
        <v>16090</v>
      </c>
      <c r="D1319" s="14">
        <v>1</v>
      </c>
      <c r="E1319" s="14">
        <v>1239</v>
      </c>
      <c r="F1319" s="14">
        <v>35</v>
      </c>
      <c r="G1319" s="14">
        <v>15605</v>
      </c>
      <c r="H1319" s="14">
        <v>0.944907463034322</v>
      </c>
      <c r="I1319" s="14">
        <v>0.999999998981127</v>
      </c>
      <c r="J1319" s="14">
        <v>0.359852415542488</v>
      </c>
      <c r="K1319" s="14" t="s">
        <v>7001</v>
      </c>
    </row>
    <row r="1320" spans="1:11">
      <c r="A1320" s="14" t="s">
        <v>18504</v>
      </c>
      <c r="B1320" s="14" t="s">
        <v>18505</v>
      </c>
      <c r="C1320" s="14" t="s">
        <v>16090</v>
      </c>
      <c r="D1320" s="14">
        <v>1</v>
      </c>
      <c r="E1320" s="14">
        <v>1239</v>
      </c>
      <c r="F1320" s="14">
        <v>35</v>
      </c>
      <c r="G1320" s="14">
        <v>15605</v>
      </c>
      <c r="H1320" s="14">
        <v>0.944907463034322</v>
      </c>
      <c r="I1320" s="14">
        <v>0.999999998981127</v>
      </c>
      <c r="J1320" s="14">
        <v>0.359852415542488</v>
      </c>
      <c r="K1320" s="14" t="s">
        <v>2210</v>
      </c>
    </row>
    <row r="1321" spans="1:11">
      <c r="A1321" s="14" t="s">
        <v>18507</v>
      </c>
      <c r="B1321" s="14" t="s">
        <v>18508</v>
      </c>
      <c r="C1321" s="14" t="s">
        <v>16090</v>
      </c>
      <c r="D1321" s="14">
        <v>1</v>
      </c>
      <c r="E1321" s="14">
        <v>1239</v>
      </c>
      <c r="F1321" s="14">
        <v>35</v>
      </c>
      <c r="G1321" s="14">
        <v>15605</v>
      </c>
      <c r="H1321" s="14">
        <v>0.944907463034322</v>
      </c>
      <c r="I1321" s="14">
        <v>0.999999998981127</v>
      </c>
      <c r="J1321" s="14">
        <v>0.359852415542488</v>
      </c>
      <c r="K1321" s="14" t="s">
        <v>4037</v>
      </c>
    </row>
    <row r="1322" spans="1:11">
      <c r="A1322" s="14" t="s">
        <v>21300</v>
      </c>
      <c r="B1322" s="14" t="s">
        <v>21301</v>
      </c>
      <c r="C1322" s="14" t="s">
        <v>16086</v>
      </c>
      <c r="D1322" s="14">
        <v>5</v>
      </c>
      <c r="E1322" s="14">
        <v>1239</v>
      </c>
      <c r="F1322" s="14">
        <v>112</v>
      </c>
      <c r="G1322" s="14">
        <v>15605</v>
      </c>
      <c r="H1322" s="14">
        <v>0.948844982298272</v>
      </c>
      <c r="I1322" s="14">
        <v>0.999999998981127</v>
      </c>
      <c r="J1322" s="14">
        <v>0.562269399285138</v>
      </c>
      <c r="K1322" s="14" t="s">
        <v>21302</v>
      </c>
    </row>
    <row r="1323" spans="1:11">
      <c r="A1323" s="14" t="s">
        <v>19461</v>
      </c>
      <c r="B1323" s="14" t="s">
        <v>19462</v>
      </c>
      <c r="C1323" s="14" t="s">
        <v>16096</v>
      </c>
      <c r="D1323" s="14">
        <v>5</v>
      </c>
      <c r="E1323" s="14">
        <v>1239</v>
      </c>
      <c r="F1323" s="14">
        <v>112</v>
      </c>
      <c r="G1323" s="14">
        <v>15605</v>
      </c>
      <c r="H1323" s="14">
        <v>0.948844982298272</v>
      </c>
      <c r="I1323" s="14">
        <v>0.999999998981127</v>
      </c>
      <c r="J1323" s="14">
        <v>0.562269399285138</v>
      </c>
      <c r="K1323" s="14" t="s">
        <v>21303</v>
      </c>
    </row>
    <row r="1324" spans="1:11">
      <c r="A1324" s="14" t="s">
        <v>19439</v>
      </c>
      <c r="B1324" s="14" t="s">
        <v>19440</v>
      </c>
      <c r="C1324" s="14" t="s">
        <v>16096</v>
      </c>
      <c r="D1324" s="14">
        <v>1</v>
      </c>
      <c r="E1324" s="14">
        <v>1239</v>
      </c>
      <c r="F1324" s="14">
        <v>36</v>
      </c>
      <c r="G1324" s="14">
        <v>15605</v>
      </c>
      <c r="H1324" s="14">
        <v>0.949291512700376</v>
      </c>
      <c r="I1324" s="14">
        <v>0.999999998981127</v>
      </c>
      <c r="J1324" s="14">
        <v>0.349856515110752</v>
      </c>
      <c r="K1324" s="14" t="s">
        <v>4828</v>
      </c>
    </row>
    <row r="1325" spans="1:11">
      <c r="A1325" s="14" t="s">
        <v>18546</v>
      </c>
      <c r="B1325" s="14" t="s">
        <v>18547</v>
      </c>
      <c r="C1325" s="14" t="s">
        <v>16090</v>
      </c>
      <c r="D1325" s="14">
        <v>1</v>
      </c>
      <c r="E1325" s="14">
        <v>1239</v>
      </c>
      <c r="F1325" s="14">
        <v>36</v>
      </c>
      <c r="G1325" s="14">
        <v>15605</v>
      </c>
      <c r="H1325" s="14">
        <v>0.949291512700376</v>
      </c>
      <c r="I1325" s="14">
        <v>0.999999998981127</v>
      </c>
      <c r="J1325" s="14">
        <v>0.349856515110752</v>
      </c>
      <c r="K1325" s="14" t="s">
        <v>11458</v>
      </c>
    </row>
    <row r="1326" spans="1:11">
      <c r="A1326" s="14" t="s">
        <v>19559</v>
      </c>
      <c r="B1326" s="14" t="s">
        <v>19560</v>
      </c>
      <c r="C1326" s="14" t="s">
        <v>16090</v>
      </c>
      <c r="D1326" s="14">
        <v>4</v>
      </c>
      <c r="E1326" s="14">
        <v>1239</v>
      </c>
      <c r="F1326" s="14">
        <v>95</v>
      </c>
      <c r="G1326" s="14">
        <v>15605</v>
      </c>
      <c r="H1326" s="14">
        <v>0.949816275727228</v>
      </c>
      <c r="I1326" s="14">
        <v>0.999999998981127</v>
      </c>
      <c r="J1326" s="14">
        <v>0.530308822904719</v>
      </c>
      <c r="K1326" s="14" t="s">
        <v>21304</v>
      </c>
    </row>
    <row r="1327" spans="1:11">
      <c r="A1327" s="14" t="s">
        <v>16175</v>
      </c>
      <c r="B1327" s="14" t="s">
        <v>16176</v>
      </c>
      <c r="C1327" s="14" t="s">
        <v>16086</v>
      </c>
      <c r="D1327" s="14">
        <v>16</v>
      </c>
      <c r="E1327" s="14">
        <v>1239</v>
      </c>
      <c r="F1327" s="14">
        <v>286</v>
      </c>
      <c r="G1327" s="14">
        <v>15605</v>
      </c>
      <c r="H1327" s="14">
        <v>0.95019822328255</v>
      </c>
      <c r="I1327" s="14">
        <v>0.999999998981127</v>
      </c>
      <c r="J1327" s="14">
        <v>0.704606128334942</v>
      </c>
      <c r="K1327" s="14" t="s">
        <v>21305</v>
      </c>
    </row>
    <row r="1328" spans="1:11">
      <c r="A1328" s="14" t="s">
        <v>19541</v>
      </c>
      <c r="B1328" s="14" t="s">
        <v>19542</v>
      </c>
      <c r="C1328" s="14" t="s">
        <v>16090</v>
      </c>
      <c r="D1328" s="14">
        <v>2</v>
      </c>
      <c r="E1328" s="14">
        <v>1239</v>
      </c>
      <c r="F1328" s="14">
        <v>58</v>
      </c>
      <c r="G1328" s="14">
        <v>15605</v>
      </c>
      <c r="H1328" s="14">
        <v>0.950801120483184</v>
      </c>
      <c r="I1328" s="14">
        <v>0.999999998981127</v>
      </c>
      <c r="J1328" s="14">
        <v>0.434304639447831</v>
      </c>
      <c r="K1328" s="14" t="s">
        <v>21130</v>
      </c>
    </row>
    <row r="1329" spans="1:11">
      <c r="A1329" s="14" t="s">
        <v>19530</v>
      </c>
      <c r="B1329" s="14" t="s">
        <v>19531</v>
      </c>
      <c r="C1329" s="14" t="s">
        <v>16090</v>
      </c>
      <c r="D1329" s="14">
        <v>3</v>
      </c>
      <c r="E1329" s="14">
        <v>1239</v>
      </c>
      <c r="F1329" s="14">
        <v>78</v>
      </c>
      <c r="G1329" s="14">
        <v>15605</v>
      </c>
      <c r="H1329" s="14">
        <v>0.952994526084494</v>
      </c>
      <c r="I1329" s="14">
        <v>0.999999998981127</v>
      </c>
      <c r="J1329" s="14">
        <v>0.484416713230273</v>
      </c>
      <c r="K1329" s="14" t="s">
        <v>21306</v>
      </c>
    </row>
    <row r="1330" spans="1:11">
      <c r="A1330" s="14" t="s">
        <v>19447</v>
      </c>
      <c r="B1330" s="14" t="s">
        <v>19448</v>
      </c>
      <c r="C1330" s="14" t="s">
        <v>16090</v>
      </c>
      <c r="D1330" s="14">
        <v>1</v>
      </c>
      <c r="E1330" s="14">
        <v>1239</v>
      </c>
      <c r="F1330" s="14">
        <v>37</v>
      </c>
      <c r="G1330" s="14">
        <v>15605</v>
      </c>
      <c r="H1330" s="14">
        <v>0.953326955937851</v>
      </c>
      <c r="I1330" s="14">
        <v>0.999999998981127</v>
      </c>
      <c r="J1330" s="14">
        <v>0.340400933621273</v>
      </c>
      <c r="K1330" s="14" t="s">
        <v>7764</v>
      </c>
    </row>
    <row r="1331" spans="1:11">
      <c r="A1331" s="14" t="s">
        <v>21307</v>
      </c>
      <c r="B1331" s="14" t="s">
        <v>21308</v>
      </c>
      <c r="C1331" s="14" t="s">
        <v>16096</v>
      </c>
      <c r="D1331" s="14">
        <v>1</v>
      </c>
      <c r="E1331" s="14">
        <v>1239</v>
      </c>
      <c r="F1331" s="14">
        <v>37</v>
      </c>
      <c r="G1331" s="14">
        <v>15605</v>
      </c>
      <c r="H1331" s="14">
        <v>0.953326955937851</v>
      </c>
      <c r="I1331" s="14">
        <v>0.999999998981127</v>
      </c>
      <c r="J1331" s="14">
        <v>0.340400933621273</v>
      </c>
      <c r="K1331" s="14" t="s">
        <v>6506</v>
      </c>
    </row>
    <row r="1332" spans="1:11">
      <c r="A1332" s="14" t="s">
        <v>16676</v>
      </c>
      <c r="B1332" s="14" t="s">
        <v>16677</v>
      </c>
      <c r="C1332" s="14" t="s">
        <v>16086</v>
      </c>
      <c r="D1332" s="14">
        <v>6</v>
      </c>
      <c r="E1332" s="14">
        <v>1239</v>
      </c>
      <c r="F1332" s="14">
        <v>132</v>
      </c>
      <c r="G1332" s="14">
        <v>15605</v>
      </c>
      <c r="H1332" s="14">
        <v>0.956099876906872</v>
      </c>
      <c r="I1332" s="14">
        <v>0.999999998981127</v>
      </c>
      <c r="J1332" s="14">
        <v>0.57249247927214</v>
      </c>
      <c r="K1332" s="14" t="s">
        <v>21309</v>
      </c>
    </row>
    <row r="1333" spans="1:11">
      <c r="A1333" s="14" t="s">
        <v>16153</v>
      </c>
      <c r="B1333" s="14" t="s">
        <v>16154</v>
      </c>
      <c r="C1333" s="14" t="s">
        <v>16090</v>
      </c>
      <c r="D1333" s="14">
        <v>12</v>
      </c>
      <c r="E1333" s="14">
        <v>1239</v>
      </c>
      <c r="F1333" s="14">
        <v>229</v>
      </c>
      <c r="G1333" s="14">
        <v>15605</v>
      </c>
      <c r="H1333" s="14">
        <v>0.957037090241539</v>
      </c>
      <c r="I1333" s="14">
        <v>0.999999998981127</v>
      </c>
      <c r="J1333" s="14">
        <v>0.659991329815917</v>
      </c>
      <c r="K1333" s="14" t="s">
        <v>21310</v>
      </c>
    </row>
    <row r="1334" spans="1:11">
      <c r="A1334" s="14" t="s">
        <v>18672</v>
      </c>
      <c r="B1334" s="14" t="s">
        <v>18673</v>
      </c>
      <c r="C1334" s="14" t="s">
        <v>16090</v>
      </c>
      <c r="D1334" s="14">
        <v>1</v>
      </c>
      <c r="E1334" s="14">
        <v>1239</v>
      </c>
      <c r="F1334" s="14">
        <v>38</v>
      </c>
      <c r="G1334" s="14">
        <v>15605</v>
      </c>
      <c r="H1334" s="14">
        <v>0.957041492268336</v>
      </c>
      <c r="I1334" s="14">
        <v>0.999999998981127</v>
      </c>
      <c r="J1334" s="14">
        <v>0.33144301431545</v>
      </c>
      <c r="K1334" s="14" t="s">
        <v>9829</v>
      </c>
    </row>
    <row r="1335" spans="1:11">
      <c r="A1335" s="14" t="s">
        <v>18675</v>
      </c>
      <c r="B1335" s="14" t="s">
        <v>18676</v>
      </c>
      <c r="C1335" s="14" t="s">
        <v>16090</v>
      </c>
      <c r="D1335" s="14">
        <v>1</v>
      </c>
      <c r="E1335" s="14">
        <v>1239</v>
      </c>
      <c r="F1335" s="14">
        <v>38</v>
      </c>
      <c r="G1335" s="14">
        <v>15605</v>
      </c>
      <c r="H1335" s="14">
        <v>0.957041492268336</v>
      </c>
      <c r="I1335" s="14">
        <v>0.999999998981127</v>
      </c>
      <c r="J1335" s="14">
        <v>0.33144301431545</v>
      </c>
      <c r="K1335" s="14" t="s">
        <v>13066</v>
      </c>
    </row>
    <row r="1336" spans="1:11">
      <c r="A1336" s="14" t="s">
        <v>19568</v>
      </c>
      <c r="B1336" s="14" t="s">
        <v>19569</v>
      </c>
      <c r="C1336" s="14" t="s">
        <v>16086</v>
      </c>
      <c r="D1336" s="14">
        <v>4</v>
      </c>
      <c r="E1336" s="14">
        <v>1239</v>
      </c>
      <c r="F1336" s="14">
        <v>98</v>
      </c>
      <c r="G1336" s="14">
        <v>15605</v>
      </c>
      <c r="H1336" s="14">
        <v>0.95755192136471</v>
      </c>
      <c r="I1336" s="14">
        <v>0.999999998981127</v>
      </c>
      <c r="J1336" s="14">
        <v>0.514074879346412</v>
      </c>
      <c r="K1336" s="14" t="s">
        <v>21311</v>
      </c>
    </row>
    <row r="1337" spans="1:11">
      <c r="A1337" s="14" t="s">
        <v>7885</v>
      </c>
      <c r="B1337" s="14" t="s">
        <v>7886</v>
      </c>
      <c r="C1337" s="14" t="s">
        <v>16090</v>
      </c>
      <c r="D1337" s="14">
        <v>34</v>
      </c>
      <c r="E1337" s="14">
        <v>1239</v>
      </c>
      <c r="F1337" s="14">
        <v>556</v>
      </c>
      <c r="G1337" s="14">
        <v>15605</v>
      </c>
      <c r="H1337" s="14">
        <v>0.959569229960874</v>
      </c>
      <c r="I1337" s="14">
        <v>0.999999998981127</v>
      </c>
      <c r="J1337" s="14">
        <v>0.770187723912879</v>
      </c>
      <c r="K1337" s="14" t="s">
        <v>21312</v>
      </c>
    </row>
    <row r="1338" spans="1:11">
      <c r="A1338" s="14" t="s">
        <v>19009</v>
      </c>
      <c r="B1338" s="14" t="s">
        <v>19010</v>
      </c>
      <c r="C1338" s="14" t="s">
        <v>16086</v>
      </c>
      <c r="D1338" s="14">
        <v>2</v>
      </c>
      <c r="E1338" s="14">
        <v>1239</v>
      </c>
      <c r="F1338" s="14">
        <v>61</v>
      </c>
      <c r="G1338" s="14">
        <v>15605</v>
      </c>
      <c r="H1338" s="14">
        <v>0.959990593796501</v>
      </c>
      <c r="I1338" s="14">
        <v>0.999999998981127</v>
      </c>
      <c r="J1338" s="14">
        <v>0.412945394884822</v>
      </c>
      <c r="K1338" s="14" t="s">
        <v>21313</v>
      </c>
    </row>
    <row r="1339" spans="1:11">
      <c r="A1339" s="14" t="s">
        <v>19454</v>
      </c>
      <c r="B1339" s="14" t="s">
        <v>19455</v>
      </c>
      <c r="C1339" s="14" t="s">
        <v>16090</v>
      </c>
      <c r="D1339" s="14">
        <v>1</v>
      </c>
      <c r="E1339" s="14">
        <v>1239</v>
      </c>
      <c r="F1339" s="14">
        <v>39</v>
      </c>
      <c r="G1339" s="14">
        <v>15605</v>
      </c>
      <c r="H1339" s="14">
        <v>0.960460621906644</v>
      </c>
      <c r="I1339" s="14">
        <v>0.999999998981127</v>
      </c>
      <c r="J1339" s="14">
        <v>0.322944475486848</v>
      </c>
      <c r="K1339" s="14" t="s">
        <v>1831</v>
      </c>
    </row>
    <row r="1340" spans="1:11">
      <c r="A1340" s="14" t="s">
        <v>14388</v>
      </c>
      <c r="B1340" s="14" t="s">
        <v>14389</v>
      </c>
      <c r="C1340" s="14" t="s">
        <v>16086</v>
      </c>
      <c r="D1340" s="14">
        <v>1</v>
      </c>
      <c r="E1340" s="14">
        <v>1239</v>
      </c>
      <c r="F1340" s="14">
        <v>39</v>
      </c>
      <c r="G1340" s="14">
        <v>15605</v>
      </c>
      <c r="H1340" s="14">
        <v>0.960460621906644</v>
      </c>
      <c r="I1340" s="14">
        <v>0.999999998981127</v>
      </c>
      <c r="J1340" s="14">
        <v>0.322944475486848</v>
      </c>
      <c r="K1340" s="14" t="s">
        <v>14385</v>
      </c>
    </row>
    <row r="1341" spans="1:11">
      <c r="A1341" s="14" t="s">
        <v>19577</v>
      </c>
      <c r="B1341" s="14" t="s">
        <v>19578</v>
      </c>
      <c r="C1341" s="14" t="s">
        <v>16096</v>
      </c>
      <c r="D1341" s="14">
        <v>10</v>
      </c>
      <c r="E1341" s="14">
        <v>1239</v>
      </c>
      <c r="F1341" s="14">
        <v>201</v>
      </c>
      <c r="G1341" s="14">
        <v>15605</v>
      </c>
      <c r="H1341" s="14">
        <v>0.962672126468787</v>
      </c>
      <c r="I1341" s="14">
        <v>0.999999998981127</v>
      </c>
      <c r="J1341" s="14">
        <v>0.626608683780452</v>
      </c>
      <c r="K1341" s="14" t="s">
        <v>21314</v>
      </c>
    </row>
    <row r="1342" spans="1:11">
      <c r="A1342" s="14" t="s">
        <v>19591</v>
      </c>
      <c r="B1342" s="14" t="s">
        <v>19592</v>
      </c>
      <c r="C1342" s="14" t="s">
        <v>16096</v>
      </c>
      <c r="D1342" s="14">
        <v>3</v>
      </c>
      <c r="E1342" s="14">
        <v>1239</v>
      </c>
      <c r="F1342" s="14">
        <v>82</v>
      </c>
      <c r="G1342" s="14">
        <v>15605</v>
      </c>
      <c r="H1342" s="14">
        <v>0.96323848157632</v>
      </c>
      <c r="I1342" s="14">
        <v>0.999999998981127</v>
      </c>
      <c r="J1342" s="14">
        <v>0.460786629658064</v>
      </c>
      <c r="K1342" s="14" t="s">
        <v>21315</v>
      </c>
    </row>
    <row r="1343" spans="1:11">
      <c r="A1343" s="14" t="s">
        <v>16587</v>
      </c>
      <c r="B1343" s="14" t="s">
        <v>16588</v>
      </c>
      <c r="C1343" s="14" t="s">
        <v>16086</v>
      </c>
      <c r="D1343" s="14">
        <v>1</v>
      </c>
      <c r="E1343" s="14">
        <v>1239</v>
      </c>
      <c r="F1343" s="14">
        <v>40</v>
      </c>
      <c r="G1343" s="14">
        <v>15605</v>
      </c>
      <c r="H1343" s="14">
        <v>0.96360782025289</v>
      </c>
      <c r="I1343" s="14">
        <v>0.999999998981127</v>
      </c>
      <c r="J1343" s="14">
        <v>0.314870863599677</v>
      </c>
      <c r="K1343" s="14" t="s">
        <v>1192</v>
      </c>
    </row>
    <row r="1344" spans="1:11">
      <c r="A1344" s="14" t="s">
        <v>19467</v>
      </c>
      <c r="B1344" s="14" t="s">
        <v>19468</v>
      </c>
      <c r="C1344" s="14" t="s">
        <v>16090</v>
      </c>
      <c r="D1344" s="14">
        <v>1</v>
      </c>
      <c r="E1344" s="14">
        <v>1239</v>
      </c>
      <c r="F1344" s="14">
        <v>40</v>
      </c>
      <c r="G1344" s="14">
        <v>15605</v>
      </c>
      <c r="H1344" s="14">
        <v>0.96360782025289</v>
      </c>
      <c r="I1344" s="14">
        <v>0.999999998981127</v>
      </c>
      <c r="J1344" s="14">
        <v>0.314870863599677</v>
      </c>
      <c r="K1344" s="14" t="s">
        <v>15596</v>
      </c>
    </row>
    <row r="1345" spans="1:11">
      <c r="A1345" s="14" t="s">
        <v>21316</v>
      </c>
      <c r="B1345" s="14" t="s">
        <v>21317</v>
      </c>
      <c r="C1345" s="14" t="s">
        <v>16090</v>
      </c>
      <c r="D1345" s="14">
        <v>1</v>
      </c>
      <c r="E1345" s="14">
        <v>1239</v>
      </c>
      <c r="F1345" s="14">
        <v>40</v>
      </c>
      <c r="G1345" s="14">
        <v>15605</v>
      </c>
      <c r="H1345" s="14">
        <v>0.96360782025289</v>
      </c>
      <c r="I1345" s="14">
        <v>0.999999998981127</v>
      </c>
      <c r="J1345" s="14">
        <v>0.314870863599677</v>
      </c>
      <c r="K1345" s="14" t="s">
        <v>237</v>
      </c>
    </row>
    <row r="1346" spans="1:11">
      <c r="A1346" s="14" t="s">
        <v>19235</v>
      </c>
      <c r="B1346" s="14" t="s">
        <v>19236</v>
      </c>
      <c r="C1346" s="14" t="s">
        <v>16090</v>
      </c>
      <c r="D1346" s="14">
        <v>1</v>
      </c>
      <c r="E1346" s="14">
        <v>1239</v>
      </c>
      <c r="F1346" s="14">
        <v>40</v>
      </c>
      <c r="G1346" s="14">
        <v>15605</v>
      </c>
      <c r="H1346" s="14">
        <v>0.96360782025289</v>
      </c>
      <c r="I1346" s="14">
        <v>0.999999998981127</v>
      </c>
      <c r="J1346" s="14">
        <v>0.314870863599677</v>
      </c>
      <c r="K1346" s="14" t="s">
        <v>9849</v>
      </c>
    </row>
    <row r="1347" spans="1:11">
      <c r="A1347" s="14" t="s">
        <v>19062</v>
      </c>
      <c r="B1347" s="14" t="s">
        <v>19063</v>
      </c>
      <c r="C1347" s="14" t="s">
        <v>16090</v>
      </c>
      <c r="D1347" s="14">
        <v>2</v>
      </c>
      <c r="E1347" s="14">
        <v>1239</v>
      </c>
      <c r="F1347" s="14">
        <v>63</v>
      </c>
      <c r="G1347" s="14">
        <v>15605</v>
      </c>
      <c r="H1347" s="14">
        <v>0.965176536945501</v>
      </c>
      <c r="I1347" s="14">
        <v>0.999999998981127</v>
      </c>
      <c r="J1347" s="14">
        <v>0.399836017269431</v>
      </c>
      <c r="K1347" s="14" t="s">
        <v>21313</v>
      </c>
    </row>
    <row r="1348" spans="1:11">
      <c r="A1348" s="14" t="s">
        <v>19475</v>
      </c>
      <c r="B1348" s="14" t="s">
        <v>19476</v>
      </c>
      <c r="C1348" s="14" t="s">
        <v>16090</v>
      </c>
      <c r="D1348" s="14">
        <v>1</v>
      </c>
      <c r="E1348" s="14">
        <v>1239</v>
      </c>
      <c r="F1348" s="14">
        <v>41</v>
      </c>
      <c r="G1348" s="14">
        <v>15605</v>
      </c>
      <c r="H1348" s="14">
        <v>0.966504698550781</v>
      </c>
      <c r="I1348" s="14">
        <v>0.999999998981127</v>
      </c>
      <c r="J1348" s="14">
        <v>0.307191086438709</v>
      </c>
      <c r="K1348" s="14" t="s">
        <v>15914</v>
      </c>
    </row>
    <row r="1349" spans="1:11">
      <c r="A1349" s="14" t="s">
        <v>16673</v>
      </c>
      <c r="B1349" s="14" t="s">
        <v>16674</v>
      </c>
      <c r="C1349" s="14" t="s">
        <v>16086</v>
      </c>
      <c r="D1349" s="14">
        <v>1</v>
      </c>
      <c r="E1349" s="14">
        <v>1239</v>
      </c>
      <c r="F1349" s="14">
        <v>42</v>
      </c>
      <c r="G1349" s="14">
        <v>15605</v>
      </c>
      <c r="H1349" s="14">
        <v>0.969171151808014</v>
      </c>
      <c r="I1349" s="14">
        <v>0.999999998981127</v>
      </c>
      <c r="J1349" s="14">
        <v>0.299877012952073</v>
      </c>
      <c r="K1349" s="14" t="s">
        <v>12803</v>
      </c>
    </row>
    <row r="1350" spans="1:11">
      <c r="A1350" s="14" t="s">
        <v>16300</v>
      </c>
      <c r="B1350" s="14" t="s">
        <v>16301</v>
      </c>
      <c r="C1350" s="14" t="s">
        <v>16086</v>
      </c>
      <c r="D1350" s="14">
        <v>14</v>
      </c>
      <c r="E1350" s="14">
        <v>1239</v>
      </c>
      <c r="F1350" s="14">
        <v>269</v>
      </c>
      <c r="G1350" s="14">
        <v>15605</v>
      </c>
      <c r="H1350" s="14">
        <v>0.969384263901654</v>
      </c>
      <c r="I1350" s="14">
        <v>0.999999998981127</v>
      </c>
      <c r="J1350" s="14">
        <v>0.655493247642451</v>
      </c>
      <c r="K1350" s="14" t="s">
        <v>21318</v>
      </c>
    </row>
    <row r="1351" spans="1:11">
      <c r="A1351" s="14" t="s">
        <v>19388</v>
      </c>
      <c r="B1351" s="14" t="s">
        <v>19389</v>
      </c>
      <c r="C1351" s="14" t="s">
        <v>16086</v>
      </c>
      <c r="D1351" s="14">
        <v>7</v>
      </c>
      <c r="E1351" s="14">
        <v>1239</v>
      </c>
      <c r="F1351" s="14">
        <v>157</v>
      </c>
      <c r="G1351" s="14">
        <v>15605</v>
      </c>
      <c r="H1351" s="14">
        <v>0.970432282552422</v>
      </c>
      <c r="I1351" s="14">
        <v>0.999999998981127</v>
      </c>
      <c r="J1351" s="14">
        <v>0.561553132534456</v>
      </c>
      <c r="K1351" s="14" t="s">
        <v>21319</v>
      </c>
    </row>
    <row r="1352" spans="1:11">
      <c r="A1352" s="14" t="s">
        <v>17016</v>
      </c>
      <c r="B1352" s="14" t="s">
        <v>17017</v>
      </c>
      <c r="C1352" s="14" t="s">
        <v>16090</v>
      </c>
      <c r="D1352" s="14">
        <v>1</v>
      </c>
      <c r="E1352" s="14">
        <v>1239</v>
      </c>
      <c r="F1352" s="14">
        <v>43</v>
      </c>
      <c r="G1352" s="14">
        <v>15605</v>
      </c>
      <c r="H1352" s="14">
        <v>0.971625494987984</v>
      </c>
      <c r="I1352" s="14">
        <v>0.999999998981127</v>
      </c>
      <c r="J1352" s="14">
        <v>0.292903128929932</v>
      </c>
      <c r="K1352" s="14" t="s">
        <v>14554</v>
      </c>
    </row>
    <row r="1353" spans="1:11">
      <c r="A1353" s="14" t="s">
        <v>19306</v>
      </c>
      <c r="B1353" s="14" t="s">
        <v>19307</v>
      </c>
      <c r="C1353" s="14" t="s">
        <v>16090</v>
      </c>
      <c r="D1353" s="14">
        <v>1</v>
      </c>
      <c r="E1353" s="14">
        <v>1239</v>
      </c>
      <c r="F1353" s="14">
        <v>43</v>
      </c>
      <c r="G1353" s="14">
        <v>15605</v>
      </c>
      <c r="H1353" s="14">
        <v>0.971625494987984</v>
      </c>
      <c r="I1353" s="14">
        <v>0.999999998981127</v>
      </c>
      <c r="J1353" s="14">
        <v>0.292903128929932</v>
      </c>
      <c r="K1353" s="14" t="s">
        <v>2482</v>
      </c>
    </row>
    <row r="1354" spans="1:11">
      <c r="A1354" s="14" t="s">
        <v>16194</v>
      </c>
      <c r="B1354" s="14" t="s">
        <v>16195</v>
      </c>
      <c r="C1354" s="14" t="s">
        <v>16090</v>
      </c>
      <c r="D1354" s="14">
        <v>1</v>
      </c>
      <c r="E1354" s="14">
        <v>1239</v>
      </c>
      <c r="F1354" s="14">
        <v>43</v>
      </c>
      <c r="G1354" s="14">
        <v>15605</v>
      </c>
      <c r="H1354" s="14">
        <v>0.971625494987984</v>
      </c>
      <c r="I1354" s="14">
        <v>0.999999998981127</v>
      </c>
      <c r="J1354" s="14">
        <v>0.292903128929932</v>
      </c>
      <c r="K1354" s="14" t="s">
        <v>560</v>
      </c>
    </row>
    <row r="1355" spans="1:11">
      <c r="A1355" s="14" t="s">
        <v>19377</v>
      </c>
      <c r="B1355" s="14" t="s">
        <v>19378</v>
      </c>
      <c r="C1355" s="14" t="s">
        <v>16090</v>
      </c>
      <c r="D1355" s="14">
        <v>2</v>
      </c>
      <c r="E1355" s="14">
        <v>1239</v>
      </c>
      <c r="F1355" s="14">
        <v>66</v>
      </c>
      <c r="G1355" s="14">
        <v>15605</v>
      </c>
      <c r="H1355" s="14">
        <v>0.971761718793175</v>
      </c>
      <c r="I1355" s="14">
        <v>0.999999998981127</v>
      </c>
      <c r="J1355" s="14">
        <v>0.381661652848094</v>
      </c>
      <c r="K1355" s="14" t="s">
        <v>20324</v>
      </c>
    </row>
    <row r="1356" spans="1:11">
      <c r="A1356" s="14" t="s">
        <v>19380</v>
      </c>
      <c r="B1356" s="14" t="s">
        <v>19381</v>
      </c>
      <c r="C1356" s="14" t="s">
        <v>16096</v>
      </c>
      <c r="D1356" s="14">
        <v>2</v>
      </c>
      <c r="E1356" s="14">
        <v>1239</v>
      </c>
      <c r="F1356" s="14">
        <v>66</v>
      </c>
      <c r="G1356" s="14">
        <v>15605</v>
      </c>
      <c r="H1356" s="14">
        <v>0.971761718793175</v>
      </c>
      <c r="I1356" s="14">
        <v>0.999999998981127</v>
      </c>
      <c r="J1356" s="14">
        <v>0.381661652848094</v>
      </c>
      <c r="K1356" s="14" t="s">
        <v>21320</v>
      </c>
    </row>
    <row r="1357" spans="1:11">
      <c r="A1357" s="14" t="s">
        <v>16109</v>
      </c>
      <c r="B1357" s="14" t="s">
        <v>16110</v>
      </c>
      <c r="C1357" s="14" t="s">
        <v>16090</v>
      </c>
      <c r="D1357" s="14">
        <v>19</v>
      </c>
      <c r="E1357" s="14">
        <v>1239</v>
      </c>
      <c r="F1357" s="14">
        <v>348</v>
      </c>
      <c r="G1357" s="14">
        <v>15605</v>
      </c>
      <c r="H1357" s="14">
        <v>0.971769603362634</v>
      </c>
      <c r="I1357" s="14">
        <v>0.999999998981127</v>
      </c>
      <c r="J1357" s="14">
        <v>0.687649012459065</v>
      </c>
      <c r="K1357" s="14" t="s">
        <v>21321</v>
      </c>
    </row>
    <row r="1358" spans="1:11">
      <c r="A1358" s="14" t="s">
        <v>18640</v>
      </c>
      <c r="B1358" s="14" t="s">
        <v>18641</v>
      </c>
      <c r="C1358" s="14" t="s">
        <v>16090</v>
      </c>
      <c r="D1358" s="14">
        <v>12</v>
      </c>
      <c r="E1358" s="14">
        <v>1239</v>
      </c>
      <c r="F1358" s="14">
        <v>240</v>
      </c>
      <c r="G1358" s="14">
        <v>15605</v>
      </c>
      <c r="H1358" s="14">
        <v>0.972159007638402</v>
      </c>
      <c r="I1358" s="14">
        <v>0.999999998981127</v>
      </c>
      <c r="J1358" s="14">
        <v>0.629741727199354</v>
      </c>
      <c r="K1358" s="14" t="s">
        <v>21322</v>
      </c>
    </row>
    <row r="1359" spans="1:11">
      <c r="A1359" s="14" t="s">
        <v>18812</v>
      </c>
      <c r="B1359" s="14" t="s">
        <v>18813</v>
      </c>
      <c r="C1359" s="14" t="s">
        <v>16090</v>
      </c>
      <c r="D1359" s="14">
        <v>2</v>
      </c>
      <c r="E1359" s="14">
        <v>1239</v>
      </c>
      <c r="F1359" s="14">
        <v>67</v>
      </c>
      <c r="G1359" s="14">
        <v>15605</v>
      </c>
      <c r="H1359" s="14">
        <v>0.973676594923567</v>
      </c>
      <c r="I1359" s="14">
        <v>0.999999998981127</v>
      </c>
      <c r="J1359" s="14">
        <v>0.375965210268271</v>
      </c>
      <c r="K1359" s="14" t="s">
        <v>21323</v>
      </c>
    </row>
    <row r="1360" spans="1:11">
      <c r="A1360" s="14" t="s">
        <v>19479</v>
      </c>
      <c r="B1360" s="14" t="s">
        <v>19480</v>
      </c>
      <c r="C1360" s="14" t="s">
        <v>16090</v>
      </c>
      <c r="D1360" s="14">
        <v>26</v>
      </c>
      <c r="E1360" s="14">
        <v>1239</v>
      </c>
      <c r="F1360" s="14">
        <v>455</v>
      </c>
      <c r="G1360" s="14">
        <v>15605</v>
      </c>
      <c r="H1360" s="14">
        <v>0.973727102258465</v>
      </c>
      <c r="I1360" s="14">
        <v>0.999999998981127</v>
      </c>
      <c r="J1360" s="14">
        <v>0.719704831084976</v>
      </c>
      <c r="K1360" s="14" t="s">
        <v>21324</v>
      </c>
    </row>
    <row r="1361" spans="1:11">
      <c r="A1361" s="14" t="s">
        <v>16714</v>
      </c>
      <c r="B1361" s="14" t="s">
        <v>16715</v>
      </c>
      <c r="C1361" s="14" t="s">
        <v>16090</v>
      </c>
      <c r="D1361" s="14">
        <v>1</v>
      </c>
      <c r="E1361" s="14">
        <v>1239</v>
      </c>
      <c r="F1361" s="14">
        <v>44</v>
      </c>
      <c r="G1361" s="14">
        <v>15605</v>
      </c>
      <c r="H1361" s="14">
        <v>0.973884588402062</v>
      </c>
      <c r="I1361" s="14">
        <v>0.999999998981127</v>
      </c>
      <c r="J1361" s="14">
        <v>0.28624623963607</v>
      </c>
      <c r="K1361" s="14" t="s">
        <v>1260</v>
      </c>
    </row>
    <row r="1362" spans="1:11">
      <c r="A1362" s="14" t="s">
        <v>18380</v>
      </c>
      <c r="B1362" s="14" t="s">
        <v>18381</v>
      </c>
      <c r="C1362" s="14" t="s">
        <v>16086</v>
      </c>
      <c r="D1362" s="14">
        <v>1</v>
      </c>
      <c r="E1362" s="14">
        <v>1239</v>
      </c>
      <c r="F1362" s="14">
        <v>45</v>
      </c>
      <c r="G1362" s="14">
        <v>15605</v>
      </c>
      <c r="H1362" s="14">
        <v>0.975963953158174</v>
      </c>
      <c r="I1362" s="14">
        <v>0.999999998981127</v>
      </c>
      <c r="J1362" s="14">
        <v>0.279885212088602</v>
      </c>
      <c r="K1362" s="14" t="s">
        <v>3300</v>
      </c>
    </row>
    <row r="1363" spans="1:11">
      <c r="A1363" s="14" t="s">
        <v>16093</v>
      </c>
      <c r="B1363" s="14" t="s">
        <v>16094</v>
      </c>
      <c r="C1363" s="14" t="s">
        <v>16086</v>
      </c>
      <c r="D1363" s="14">
        <v>29</v>
      </c>
      <c r="E1363" s="14">
        <v>1239</v>
      </c>
      <c r="F1363" s="14">
        <v>503</v>
      </c>
      <c r="G1363" s="14">
        <v>15605</v>
      </c>
      <c r="H1363" s="14">
        <v>0.976511464421442</v>
      </c>
      <c r="I1363" s="14">
        <v>0.999999998981127</v>
      </c>
      <c r="J1363" s="14">
        <v>0.726143542297466</v>
      </c>
      <c r="K1363" s="14" t="s">
        <v>21325</v>
      </c>
    </row>
    <row r="1364" spans="1:11">
      <c r="A1364" s="14" t="s">
        <v>19339</v>
      </c>
      <c r="B1364" s="14" t="s">
        <v>19340</v>
      </c>
      <c r="C1364" s="14" t="s">
        <v>16086</v>
      </c>
      <c r="D1364" s="14">
        <v>1</v>
      </c>
      <c r="E1364" s="14">
        <v>1239</v>
      </c>
      <c r="F1364" s="14">
        <v>46</v>
      </c>
      <c r="G1364" s="14">
        <v>15605</v>
      </c>
      <c r="H1364" s="14">
        <v>0.977877877453612</v>
      </c>
      <c r="I1364" s="14">
        <v>0.999999998981127</v>
      </c>
      <c r="J1364" s="14">
        <v>0.273800750956241</v>
      </c>
      <c r="K1364" s="14" t="s">
        <v>12583</v>
      </c>
    </row>
    <row r="1365" spans="1:11">
      <c r="A1365" s="14" t="s">
        <v>18420</v>
      </c>
      <c r="B1365" s="14" t="s">
        <v>18421</v>
      </c>
      <c r="C1365" s="14" t="s">
        <v>16090</v>
      </c>
      <c r="D1365" s="14">
        <v>2</v>
      </c>
      <c r="E1365" s="14">
        <v>1239</v>
      </c>
      <c r="F1365" s="14">
        <v>70</v>
      </c>
      <c r="G1365" s="14">
        <v>15605</v>
      </c>
      <c r="H1365" s="14">
        <v>0.978697814445377</v>
      </c>
      <c r="I1365" s="14">
        <v>0.999999998981127</v>
      </c>
      <c r="J1365" s="14">
        <v>0.359852415542488</v>
      </c>
      <c r="K1365" s="14" t="s">
        <v>21326</v>
      </c>
    </row>
    <row r="1366" spans="1:11">
      <c r="A1366" s="14" t="s">
        <v>16201</v>
      </c>
      <c r="B1366" s="14" t="s">
        <v>16202</v>
      </c>
      <c r="C1366" s="14" t="s">
        <v>16086</v>
      </c>
      <c r="D1366" s="14">
        <v>46</v>
      </c>
      <c r="E1366" s="14">
        <v>1239</v>
      </c>
      <c r="F1366" s="14">
        <v>753</v>
      </c>
      <c r="G1366" s="14">
        <v>15605</v>
      </c>
      <c r="H1366" s="14">
        <v>0.978907541620545</v>
      </c>
      <c r="I1366" s="14">
        <v>0.999999998981127</v>
      </c>
      <c r="J1366" s="14">
        <v>0.769405563112093</v>
      </c>
      <c r="K1366" s="14" t="s">
        <v>21327</v>
      </c>
    </row>
    <row r="1367" spans="1:11">
      <c r="A1367" s="14" t="s">
        <v>21328</v>
      </c>
      <c r="B1367" s="14" t="s">
        <v>21329</v>
      </c>
      <c r="C1367" s="14" t="s">
        <v>16096</v>
      </c>
      <c r="D1367" s="14">
        <v>1</v>
      </c>
      <c r="E1367" s="14">
        <v>1239</v>
      </c>
      <c r="F1367" s="14">
        <v>47</v>
      </c>
      <c r="G1367" s="14">
        <v>15605</v>
      </c>
      <c r="H1367" s="14">
        <v>0.979639514437671</v>
      </c>
      <c r="I1367" s="14">
        <v>0.999999998981127</v>
      </c>
      <c r="J1367" s="14">
        <v>0.267975203063555</v>
      </c>
      <c r="K1367" s="14" t="s">
        <v>2692</v>
      </c>
    </row>
    <row r="1368" spans="1:11">
      <c r="A1368" s="14" t="s">
        <v>16816</v>
      </c>
      <c r="B1368" s="14" t="s">
        <v>16817</v>
      </c>
      <c r="C1368" s="14" t="s">
        <v>16086</v>
      </c>
      <c r="D1368" s="14">
        <v>4</v>
      </c>
      <c r="E1368" s="14">
        <v>1239</v>
      </c>
      <c r="F1368" s="14">
        <v>112</v>
      </c>
      <c r="G1368" s="14">
        <v>15605</v>
      </c>
      <c r="H1368" s="14">
        <v>0.981082150542466</v>
      </c>
      <c r="I1368" s="14">
        <v>0.999999998981127</v>
      </c>
      <c r="J1368" s="14">
        <v>0.44981551942811</v>
      </c>
      <c r="K1368" s="14" t="s">
        <v>21330</v>
      </c>
    </row>
    <row r="1369" spans="1:11">
      <c r="A1369" s="14" t="s">
        <v>19139</v>
      </c>
      <c r="B1369" s="14" t="s">
        <v>19140</v>
      </c>
      <c r="C1369" s="14" t="s">
        <v>16090</v>
      </c>
      <c r="D1369" s="14">
        <v>3</v>
      </c>
      <c r="E1369" s="14">
        <v>1239</v>
      </c>
      <c r="F1369" s="14">
        <v>94</v>
      </c>
      <c r="G1369" s="14">
        <v>15605</v>
      </c>
      <c r="H1369" s="14">
        <v>0.982773395256985</v>
      </c>
      <c r="I1369" s="14">
        <v>0.999999998981127</v>
      </c>
      <c r="J1369" s="14">
        <v>0.401962804595333</v>
      </c>
      <c r="K1369" s="14" t="s">
        <v>21331</v>
      </c>
    </row>
    <row r="1370" spans="1:11">
      <c r="A1370" s="14" t="s">
        <v>16133</v>
      </c>
      <c r="B1370" s="14" t="s">
        <v>16134</v>
      </c>
      <c r="C1370" s="14" t="s">
        <v>16090</v>
      </c>
      <c r="D1370" s="14">
        <v>7</v>
      </c>
      <c r="E1370" s="14">
        <v>1239</v>
      </c>
      <c r="F1370" s="14">
        <v>168</v>
      </c>
      <c r="G1370" s="14">
        <v>15605</v>
      </c>
      <c r="H1370" s="14">
        <v>0.982816597985575</v>
      </c>
      <c r="I1370" s="14">
        <v>0.999999998981127</v>
      </c>
      <c r="J1370" s="14">
        <v>0.524784772666129</v>
      </c>
      <c r="K1370" s="14" t="s">
        <v>21332</v>
      </c>
    </row>
    <row r="1371" spans="1:11">
      <c r="A1371" s="14" t="s">
        <v>17393</v>
      </c>
      <c r="B1371" s="14" t="s">
        <v>17394</v>
      </c>
      <c r="C1371" s="14" t="s">
        <v>16086</v>
      </c>
      <c r="D1371" s="14">
        <v>157</v>
      </c>
      <c r="E1371" s="14">
        <v>1239</v>
      </c>
      <c r="F1371" s="14">
        <v>2285</v>
      </c>
      <c r="G1371" s="14">
        <v>15605</v>
      </c>
      <c r="H1371" s="14">
        <v>0.982887935079716</v>
      </c>
      <c r="I1371" s="14">
        <v>0.999999998981127</v>
      </c>
      <c r="J1371" s="14">
        <v>0.86537812840524</v>
      </c>
      <c r="K1371" s="14" t="s">
        <v>21333</v>
      </c>
    </row>
    <row r="1372" spans="1:11">
      <c r="A1372" s="14" t="s">
        <v>19303</v>
      </c>
      <c r="B1372" s="14" t="s">
        <v>19304</v>
      </c>
      <c r="C1372" s="14" t="s">
        <v>16086</v>
      </c>
      <c r="D1372" s="14">
        <v>2</v>
      </c>
      <c r="E1372" s="14">
        <v>1239</v>
      </c>
      <c r="F1372" s="14">
        <v>74</v>
      </c>
      <c r="G1372" s="14">
        <v>15605</v>
      </c>
      <c r="H1372" s="14">
        <v>0.983970254198264</v>
      </c>
      <c r="I1372" s="14">
        <v>0.999999998981127</v>
      </c>
      <c r="J1372" s="14">
        <v>0.340400933621273</v>
      </c>
      <c r="K1372" s="14" t="s">
        <v>21334</v>
      </c>
    </row>
    <row r="1373" spans="1:11">
      <c r="A1373" s="14" t="s">
        <v>16452</v>
      </c>
      <c r="B1373" s="14" t="s">
        <v>16453</v>
      </c>
      <c r="C1373" s="14" t="s">
        <v>16090</v>
      </c>
      <c r="D1373" s="14">
        <v>1</v>
      </c>
      <c r="E1373" s="14">
        <v>1239</v>
      </c>
      <c r="F1373" s="14">
        <v>50</v>
      </c>
      <c r="G1373" s="14">
        <v>15605</v>
      </c>
      <c r="H1373" s="14">
        <v>0.984127049944218</v>
      </c>
      <c r="I1373" s="14">
        <v>0.999999998981127</v>
      </c>
      <c r="J1373" s="14">
        <v>0.251896690879742</v>
      </c>
      <c r="K1373" s="14" t="s">
        <v>14937</v>
      </c>
    </row>
    <row r="1374" spans="1:11">
      <c r="A1374" s="14" t="s">
        <v>16156</v>
      </c>
      <c r="B1374" s="14" t="s">
        <v>16157</v>
      </c>
      <c r="C1374" s="14" t="s">
        <v>16090</v>
      </c>
      <c r="D1374" s="14">
        <v>9</v>
      </c>
      <c r="E1374" s="14">
        <v>1239</v>
      </c>
      <c r="F1374" s="14">
        <v>204</v>
      </c>
      <c r="G1374" s="14">
        <v>15605</v>
      </c>
      <c r="H1374" s="14">
        <v>0.984205190365332</v>
      </c>
      <c r="I1374" s="14">
        <v>0.999999998981127</v>
      </c>
      <c r="J1374" s="14">
        <v>0.555654465175901</v>
      </c>
      <c r="K1374" s="14" t="s">
        <v>21335</v>
      </c>
    </row>
    <row r="1375" spans="1:11">
      <c r="A1375" s="14" t="s">
        <v>19604</v>
      </c>
      <c r="B1375" s="14" t="s">
        <v>19605</v>
      </c>
      <c r="C1375" s="14" t="s">
        <v>16096</v>
      </c>
      <c r="D1375" s="14">
        <v>37</v>
      </c>
      <c r="E1375" s="14">
        <v>1239</v>
      </c>
      <c r="F1375" s="14">
        <v>636</v>
      </c>
      <c r="G1375" s="14">
        <v>15605</v>
      </c>
      <c r="H1375" s="14">
        <v>0.985077782776521</v>
      </c>
      <c r="I1375" s="14">
        <v>0.999999998981127</v>
      </c>
      <c r="J1375" s="14">
        <v>0.732718361835727</v>
      </c>
      <c r="K1375" s="14" t="s">
        <v>21336</v>
      </c>
    </row>
    <row r="1376" spans="1:11">
      <c r="A1376" s="14" t="s">
        <v>17333</v>
      </c>
      <c r="B1376" s="14" t="s">
        <v>17334</v>
      </c>
      <c r="C1376" s="14" t="s">
        <v>16090</v>
      </c>
      <c r="D1376" s="14">
        <v>1</v>
      </c>
      <c r="E1376" s="14">
        <v>1239</v>
      </c>
      <c r="F1376" s="14">
        <v>51</v>
      </c>
      <c r="G1376" s="14">
        <v>15605</v>
      </c>
      <c r="H1376" s="14">
        <v>0.985391375570647</v>
      </c>
      <c r="I1376" s="14">
        <v>0.999999998981127</v>
      </c>
      <c r="J1376" s="14">
        <v>0.246957540078178</v>
      </c>
      <c r="K1376" s="14" t="s">
        <v>14154</v>
      </c>
    </row>
    <row r="1377" spans="1:11">
      <c r="A1377" s="14" t="s">
        <v>19623</v>
      </c>
      <c r="B1377" s="14" t="s">
        <v>19624</v>
      </c>
      <c r="C1377" s="14" t="s">
        <v>16096</v>
      </c>
      <c r="D1377" s="14">
        <v>20</v>
      </c>
      <c r="E1377" s="14">
        <v>1239</v>
      </c>
      <c r="F1377" s="14">
        <v>384</v>
      </c>
      <c r="G1377" s="14">
        <v>15605</v>
      </c>
      <c r="H1377" s="14">
        <v>0.986327599282127</v>
      </c>
      <c r="I1377" s="14">
        <v>0.999999998981127</v>
      </c>
      <c r="J1377" s="14">
        <v>0.655980965832661</v>
      </c>
      <c r="K1377" s="14" t="s">
        <v>21337</v>
      </c>
    </row>
    <row r="1378" spans="1:11">
      <c r="A1378" s="14" t="s">
        <v>19145</v>
      </c>
      <c r="B1378" s="14" t="s">
        <v>19146</v>
      </c>
      <c r="C1378" s="14" t="s">
        <v>16086</v>
      </c>
      <c r="D1378" s="14">
        <v>1</v>
      </c>
      <c r="E1378" s="14">
        <v>1239</v>
      </c>
      <c r="F1378" s="14">
        <v>52</v>
      </c>
      <c r="G1378" s="14">
        <v>15605</v>
      </c>
      <c r="H1378" s="14">
        <v>0.986555068875776</v>
      </c>
      <c r="I1378" s="14">
        <v>0.999999998981127</v>
      </c>
      <c r="J1378" s="14">
        <v>0.242208356615136</v>
      </c>
      <c r="K1378" s="14" t="s">
        <v>1831</v>
      </c>
    </row>
    <row r="1379" spans="1:11">
      <c r="A1379" s="14" t="s">
        <v>19410</v>
      </c>
      <c r="B1379" s="14" t="s">
        <v>19411</v>
      </c>
      <c r="C1379" s="14" t="s">
        <v>16090</v>
      </c>
      <c r="D1379" s="14">
        <v>1</v>
      </c>
      <c r="E1379" s="14">
        <v>1239</v>
      </c>
      <c r="F1379" s="14">
        <v>52</v>
      </c>
      <c r="G1379" s="14">
        <v>15605</v>
      </c>
      <c r="H1379" s="14">
        <v>0.986555068875776</v>
      </c>
      <c r="I1379" s="14">
        <v>0.999999998981127</v>
      </c>
      <c r="J1379" s="14">
        <v>0.242208356615136</v>
      </c>
      <c r="K1379" s="14" t="s">
        <v>12583</v>
      </c>
    </row>
    <row r="1380" spans="1:11">
      <c r="A1380" s="14" t="s">
        <v>21338</v>
      </c>
      <c r="B1380" s="14" t="s">
        <v>21339</v>
      </c>
      <c r="C1380" s="14" t="s">
        <v>16090</v>
      </c>
      <c r="D1380" s="14">
        <v>1</v>
      </c>
      <c r="E1380" s="14">
        <v>1239</v>
      </c>
      <c r="F1380" s="14">
        <v>52</v>
      </c>
      <c r="G1380" s="14">
        <v>15605</v>
      </c>
      <c r="H1380" s="14">
        <v>0.986555068875776</v>
      </c>
      <c r="I1380" s="14">
        <v>0.999999998981127</v>
      </c>
      <c r="J1380" s="14">
        <v>0.242208356615136</v>
      </c>
      <c r="K1380" s="14" t="s">
        <v>12583</v>
      </c>
    </row>
    <row r="1381" spans="1:11">
      <c r="A1381" s="14" t="s">
        <v>19151</v>
      </c>
      <c r="B1381" s="14" t="s">
        <v>19152</v>
      </c>
      <c r="C1381" s="14" t="s">
        <v>16090</v>
      </c>
      <c r="D1381" s="14">
        <v>1</v>
      </c>
      <c r="E1381" s="14">
        <v>1239</v>
      </c>
      <c r="F1381" s="14">
        <v>52</v>
      </c>
      <c r="G1381" s="14">
        <v>15605</v>
      </c>
      <c r="H1381" s="14">
        <v>0.986555068875776</v>
      </c>
      <c r="I1381" s="14">
        <v>0.999999998981127</v>
      </c>
      <c r="J1381" s="14">
        <v>0.242208356615136</v>
      </c>
      <c r="K1381" s="14" t="s">
        <v>4828</v>
      </c>
    </row>
    <row r="1382" spans="1:11">
      <c r="A1382" s="14" t="s">
        <v>19562</v>
      </c>
      <c r="B1382" s="14" t="s">
        <v>19563</v>
      </c>
      <c r="C1382" s="14" t="s">
        <v>16090</v>
      </c>
      <c r="D1382" s="14">
        <v>4</v>
      </c>
      <c r="E1382" s="14">
        <v>1239</v>
      </c>
      <c r="F1382" s="14">
        <v>119</v>
      </c>
      <c r="G1382" s="14">
        <v>15605</v>
      </c>
      <c r="H1382" s="14">
        <v>0.987555105883578</v>
      </c>
      <c r="I1382" s="14">
        <v>0.999999998981127</v>
      </c>
      <c r="J1382" s="14">
        <v>0.423355782991163</v>
      </c>
      <c r="K1382" s="14" t="s">
        <v>21340</v>
      </c>
    </row>
    <row r="1383" spans="1:11">
      <c r="A1383" s="14" t="s">
        <v>18801</v>
      </c>
      <c r="B1383" s="14" t="s">
        <v>18802</v>
      </c>
      <c r="C1383" s="14" t="s">
        <v>16086</v>
      </c>
      <c r="D1383" s="14">
        <v>1</v>
      </c>
      <c r="E1383" s="14">
        <v>1239</v>
      </c>
      <c r="F1383" s="14">
        <v>53</v>
      </c>
      <c r="G1383" s="14">
        <v>15605</v>
      </c>
      <c r="H1383" s="14">
        <v>0.987626133600454</v>
      </c>
      <c r="I1383" s="14">
        <v>0.999999998981127</v>
      </c>
      <c r="J1383" s="14">
        <v>0.237638387622398</v>
      </c>
      <c r="K1383" s="14" t="s">
        <v>2399</v>
      </c>
    </row>
    <row r="1384" spans="1:11">
      <c r="A1384" s="14" t="s">
        <v>19614</v>
      </c>
      <c r="B1384" s="14" t="s">
        <v>19615</v>
      </c>
      <c r="C1384" s="14" t="s">
        <v>16090</v>
      </c>
      <c r="D1384" s="14">
        <v>16</v>
      </c>
      <c r="E1384" s="14">
        <v>1239</v>
      </c>
      <c r="F1384" s="14">
        <v>324</v>
      </c>
      <c r="G1384" s="14">
        <v>15605</v>
      </c>
      <c r="H1384" s="14">
        <v>0.98764751445963</v>
      </c>
      <c r="I1384" s="14">
        <v>0.999999998981127</v>
      </c>
      <c r="J1384" s="14">
        <v>0.621967137974671</v>
      </c>
      <c r="K1384" s="14" t="s">
        <v>21341</v>
      </c>
    </row>
    <row r="1385" spans="1:11">
      <c r="A1385" s="14" t="s">
        <v>19433</v>
      </c>
      <c r="B1385" s="14" t="s">
        <v>19434</v>
      </c>
      <c r="C1385" s="14" t="s">
        <v>16096</v>
      </c>
      <c r="D1385" s="14">
        <v>1</v>
      </c>
      <c r="E1385" s="14">
        <v>1239</v>
      </c>
      <c r="F1385" s="14">
        <v>55</v>
      </c>
      <c r="G1385" s="14">
        <v>15605</v>
      </c>
      <c r="H1385" s="14">
        <v>0.98951926228956</v>
      </c>
      <c r="I1385" s="14">
        <v>0.999999998981127</v>
      </c>
      <c r="J1385" s="14">
        <v>0.228996991708856</v>
      </c>
      <c r="K1385" s="14" t="s">
        <v>15484</v>
      </c>
    </row>
    <row r="1386" spans="1:11">
      <c r="A1386" s="14" t="s">
        <v>6857</v>
      </c>
      <c r="B1386" s="14" t="s">
        <v>6858</v>
      </c>
      <c r="C1386" s="14" t="s">
        <v>16086</v>
      </c>
      <c r="D1386" s="14">
        <v>57</v>
      </c>
      <c r="E1386" s="14">
        <v>1239</v>
      </c>
      <c r="F1386" s="14">
        <v>940</v>
      </c>
      <c r="G1386" s="14">
        <v>15605</v>
      </c>
      <c r="H1386" s="14">
        <v>0.99004750541131</v>
      </c>
      <c r="I1386" s="14">
        <v>0.999999998981127</v>
      </c>
      <c r="J1386" s="14">
        <v>0.763729328731132</v>
      </c>
      <c r="K1386" s="14" t="s">
        <v>21342</v>
      </c>
    </row>
    <row r="1387" spans="1:11">
      <c r="A1387" s="14" t="s">
        <v>19527</v>
      </c>
      <c r="B1387" s="14" t="s">
        <v>19528</v>
      </c>
      <c r="C1387" s="14" t="s">
        <v>16090</v>
      </c>
      <c r="D1387" s="14">
        <v>10</v>
      </c>
      <c r="E1387" s="14">
        <v>1239</v>
      </c>
      <c r="F1387" s="14">
        <v>231</v>
      </c>
      <c r="G1387" s="14">
        <v>15605</v>
      </c>
      <c r="H1387" s="14">
        <v>0.990134525464297</v>
      </c>
      <c r="I1387" s="14">
        <v>0.999999998981127</v>
      </c>
      <c r="J1387" s="14">
        <v>0.545230932640134</v>
      </c>
      <c r="K1387" s="14" t="s">
        <v>21343</v>
      </c>
    </row>
    <row r="1388" spans="1:11">
      <c r="A1388" s="14" t="s">
        <v>17610</v>
      </c>
      <c r="B1388" s="14" t="s">
        <v>17611</v>
      </c>
      <c r="C1388" s="14" t="s">
        <v>16096</v>
      </c>
      <c r="D1388" s="14">
        <v>1</v>
      </c>
      <c r="E1388" s="14">
        <v>1239</v>
      </c>
      <c r="F1388" s="14">
        <v>56</v>
      </c>
      <c r="G1388" s="14">
        <v>15605</v>
      </c>
      <c r="H1388" s="14">
        <v>0.99035435129427</v>
      </c>
      <c r="I1388" s="14">
        <v>0.999999998981127</v>
      </c>
      <c r="J1388" s="14">
        <v>0.224907759714055</v>
      </c>
      <c r="K1388" s="14" t="s">
        <v>12930</v>
      </c>
    </row>
    <row r="1389" spans="1:11">
      <c r="A1389" s="14" t="s">
        <v>18386</v>
      </c>
      <c r="B1389" s="14" t="s">
        <v>18387</v>
      </c>
      <c r="C1389" s="14" t="s">
        <v>16086</v>
      </c>
      <c r="D1389" s="14">
        <v>8</v>
      </c>
      <c r="E1389" s="14">
        <v>1239</v>
      </c>
      <c r="F1389" s="14">
        <v>197</v>
      </c>
      <c r="G1389" s="14">
        <v>15605</v>
      </c>
      <c r="H1389" s="14">
        <v>0.990369676837969</v>
      </c>
      <c r="I1389" s="14">
        <v>0.999999998981127</v>
      </c>
      <c r="J1389" s="14">
        <v>0.511465362192369</v>
      </c>
      <c r="K1389" s="14" t="s">
        <v>21344</v>
      </c>
    </row>
    <row r="1390" spans="1:11">
      <c r="A1390" s="14" t="s">
        <v>15129</v>
      </c>
      <c r="B1390" s="14" t="s">
        <v>15130</v>
      </c>
      <c r="C1390" s="14" t="s">
        <v>16096</v>
      </c>
      <c r="D1390" s="14">
        <v>25</v>
      </c>
      <c r="E1390" s="14">
        <v>1239</v>
      </c>
      <c r="F1390" s="14">
        <v>473</v>
      </c>
      <c r="G1390" s="14">
        <v>15605</v>
      </c>
      <c r="H1390" s="14">
        <v>0.991037255723981</v>
      </c>
      <c r="I1390" s="14">
        <v>0.999999998981127</v>
      </c>
      <c r="J1390" s="14">
        <v>0.66568892938621</v>
      </c>
      <c r="K1390" s="14" t="s">
        <v>21345</v>
      </c>
    </row>
    <row r="1391" spans="1:11">
      <c r="A1391" s="14" t="s">
        <v>19597</v>
      </c>
      <c r="B1391" s="14" t="s">
        <v>19598</v>
      </c>
      <c r="C1391" s="14" t="s">
        <v>16096</v>
      </c>
      <c r="D1391" s="14">
        <v>2</v>
      </c>
      <c r="E1391" s="14">
        <v>1239</v>
      </c>
      <c r="F1391" s="14">
        <v>84</v>
      </c>
      <c r="G1391" s="14">
        <v>15605</v>
      </c>
      <c r="H1391" s="14">
        <v>0.992201002034746</v>
      </c>
      <c r="I1391" s="14">
        <v>0.999999998981127</v>
      </c>
      <c r="J1391" s="14">
        <v>0.299877012952073</v>
      </c>
      <c r="K1391" s="14" t="s">
        <v>21346</v>
      </c>
    </row>
    <row r="1392" spans="1:11">
      <c r="A1392" s="14" t="s">
        <v>19284</v>
      </c>
      <c r="B1392" s="14" t="s">
        <v>19285</v>
      </c>
      <c r="C1392" s="14" t="s">
        <v>16096</v>
      </c>
      <c r="D1392" s="14">
        <v>33</v>
      </c>
      <c r="E1392" s="14">
        <v>1239</v>
      </c>
      <c r="F1392" s="14">
        <v>601</v>
      </c>
      <c r="G1392" s="14">
        <v>15605</v>
      </c>
      <c r="H1392" s="14">
        <v>0.992808806727844</v>
      </c>
      <c r="I1392" s="14">
        <v>0.999999998981127</v>
      </c>
      <c r="J1392" s="14">
        <v>0.691563294428575</v>
      </c>
      <c r="K1392" s="14" t="s">
        <v>21347</v>
      </c>
    </row>
    <row r="1393" spans="1:11">
      <c r="A1393" s="14" t="s">
        <v>16980</v>
      </c>
      <c r="B1393" s="14" t="s">
        <v>16981</v>
      </c>
      <c r="C1393" s="14" t="s">
        <v>16086</v>
      </c>
      <c r="D1393" s="14">
        <v>1</v>
      </c>
      <c r="E1393" s="14">
        <v>1239</v>
      </c>
      <c r="F1393" s="14">
        <v>60</v>
      </c>
      <c r="G1393" s="14">
        <v>15605</v>
      </c>
      <c r="H1393" s="14">
        <v>0.993080645052752</v>
      </c>
      <c r="I1393" s="14">
        <v>0.999999998981127</v>
      </c>
      <c r="J1393" s="14">
        <v>0.209913909066451</v>
      </c>
      <c r="K1393" s="14" t="s">
        <v>3874</v>
      </c>
    </row>
    <row r="1394" spans="1:11">
      <c r="A1394" s="14" t="s">
        <v>19549</v>
      </c>
      <c r="B1394" s="14" t="s">
        <v>19550</v>
      </c>
      <c r="C1394" s="14" t="s">
        <v>16086</v>
      </c>
      <c r="D1394" s="14">
        <v>1</v>
      </c>
      <c r="E1394" s="14">
        <v>1239</v>
      </c>
      <c r="F1394" s="14">
        <v>60</v>
      </c>
      <c r="G1394" s="14">
        <v>15605</v>
      </c>
      <c r="H1394" s="14">
        <v>0.993080645052752</v>
      </c>
      <c r="I1394" s="14">
        <v>0.999999998981127</v>
      </c>
      <c r="J1394" s="14">
        <v>0.209913909066451</v>
      </c>
      <c r="K1394" s="14" t="s">
        <v>2373</v>
      </c>
    </row>
    <row r="1395" spans="1:11">
      <c r="A1395" s="14" t="s">
        <v>21348</v>
      </c>
      <c r="B1395" s="14" t="s">
        <v>21349</v>
      </c>
      <c r="C1395" s="14" t="s">
        <v>16096</v>
      </c>
      <c r="D1395" s="14">
        <v>1</v>
      </c>
      <c r="E1395" s="14">
        <v>1239</v>
      </c>
      <c r="F1395" s="14">
        <v>60</v>
      </c>
      <c r="G1395" s="14">
        <v>15605</v>
      </c>
      <c r="H1395" s="14">
        <v>0.993080645052752</v>
      </c>
      <c r="I1395" s="14">
        <v>0.999999998981127</v>
      </c>
      <c r="J1395" s="14">
        <v>0.209913909066451</v>
      </c>
      <c r="K1395" s="14" t="s">
        <v>9140</v>
      </c>
    </row>
    <row r="1396" spans="1:11">
      <c r="A1396" s="14" t="s">
        <v>16084</v>
      </c>
      <c r="B1396" s="14" t="s">
        <v>16085</v>
      </c>
      <c r="C1396" s="14" t="s">
        <v>16086</v>
      </c>
      <c r="D1396" s="14">
        <v>65</v>
      </c>
      <c r="E1396" s="14">
        <v>1239</v>
      </c>
      <c r="F1396" s="14">
        <v>1070</v>
      </c>
      <c r="G1396" s="14">
        <v>15605</v>
      </c>
      <c r="H1396" s="14">
        <v>0.993298842760151</v>
      </c>
      <c r="I1396" s="14">
        <v>0.999999998981127</v>
      </c>
      <c r="J1396" s="14">
        <v>0.765106771363701</v>
      </c>
      <c r="K1396" s="14" t="s">
        <v>21350</v>
      </c>
    </row>
    <row r="1397" spans="1:11">
      <c r="A1397" s="14" t="s">
        <v>17173</v>
      </c>
      <c r="B1397" s="14" t="s">
        <v>17174</v>
      </c>
      <c r="C1397" s="14" t="s">
        <v>16090</v>
      </c>
      <c r="D1397" s="14">
        <v>2</v>
      </c>
      <c r="E1397" s="14">
        <v>1239</v>
      </c>
      <c r="F1397" s="14">
        <v>87</v>
      </c>
      <c r="G1397" s="14">
        <v>15605</v>
      </c>
      <c r="H1397" s="14">
        <v>0.993731710116679</v>
      </c>
      <c r="I1397" s="14">
        <v>0.999999998981127</v>
      </c>
      <c r="J1397" s="14">
        <v>0.289536426298554</v>
      </c>
      <c r="K1397" s="14" t="s">
        <v>21351</v>
      </c>
    </row>
    <row r="1398" spans="1:11">
      <c r="A1398" s="14" t="s">
        <v>19203</v>
      </c>
      <c r="B1398" s="14" t="s">
        <v>19204</v>
      </c>
      <c r="C1398" s="14" t="s">
        <v>16096</v>
      </c>
      <c r="D1398" s="14">
        <v>5</v>
      </c>
      <c r="E1398" s="14">
        <v>1239</v>
      </c>
      <c r="F1398" s="14">
        <v>151</v>
      </c>
      <c r="G1398" s="14">
        <v>15605</v>
      </c>
      <c r="H1398" s="14">
        <v>0.994122390884963</v>
      </c>
      <c r="I1398" s="14">
        <v>0.999999998981127</v>
      </c>
      <c r="J1398" s="14">
        <v>0.417047501456526</v>
      </c>
      <c r="K1398" s="14" t="s">
        <v>21352</v>
      </c>
    </row>
    <row r="1399" spans="1:11">
      <c r="A1399" s="14" t="s">
        <v>21353</v>
      </c>
      <c r="B1399" s="14" t="s">
        <v>21354</v>
      </c>
      <c r="C1399" s="14" t="s">
        <v>16096</v>
      </c>
      <c r="D1399" s="14">
        <v>1</v>
      </c>
      <c r="E1399" s="14">
        <v>1239</v>
      </c>
      <c r="F1399" s="14">
        <v>62</v>
      </c>
      <c r="G1399" s="14">
        <v>15605</v>
      </c>
      <c r="H1399" s="14">
        <v>0.994139722542458</v>
      </c>
      <c r="I1399" s="14">
        <v>0.999999998981127</v>
      </c>
      <c r="J1399" s="14">
        <v>0.203142492644953</v>
      </c>
      <c r="K1399" s="14" t="s">
        <v>3127</v>
      </c>
    </row>
    <row r="1400" spans="1:11">
      <c r="A1400" s="14" t="s">
        <v>19419</v>
      </c>
      <c r="B1400" s="14" t="s">
        <v>19420</v>
      </c>
      <c r="C1400" s="14" t="s">
        <v>16096</v>
      </c>
      <c r="D1400" s="14">
        <v>7</v>
      </c>
      <c r="E1400" s="14">
        <v>1239</v>
      </c>
      <c r="F1400" s="14">
        <v>191</v>
      </c>
      <c r="G1400" s="14">
        <v>15605</v>
      </c>
      <c r="H1400" s="14">
        <v>0.994836771449077</v>
      </c>
      <c r="I1400" s="14">
        <v>0.999999998981127</v>
      </c>
      <c r="J1400" s="14">
        <v>0.461590794805809</v>
      </c>
      <c r="K1400" s="14" t="s">
        <v>21355</v>
      </c>
    </row>
    <row r="1401" spans="1:11">
      <c r="A1401" s="14" t="s">
        <v>19601</v>
      </c>
      <c r="B1401" s="14" t="s">
        <v>19602</v>
      </c>
      <c r="C1401" s="14" t="s">
        <v>16090</v>
      </c>
      <c r="D1401" s="14">
        <v>9</v>
      </c>
      <c r="E1401" s="14">
        <v>1239</v>
      </c>
      <c r="F1401" s="14">
        <v>228</v>
      </c>
      <c r="G1401" s="14">
        <v>15605</v>
      </c>
      <c r="H1401" s="14">
        <v>0.995083718172346</v>
      </c>
      <c r="I1401" s="14">
        <v>0.999999998981127</v>
      </c>
      <c r="J1401" s="14">
        <v>0.497164521473175</v>
      </c>
      <c r="K1401" s="14" t="s">
        <v>21356</v>
      </c>
    </row>
    <row r="1402" spans="1:11">
      <c r="A1402" s="14" t="s">
        <v>19090</v>
      </c>
      <c r="B1402" s="14" t="s">
        <v>19091</v>
      </c>
      <c r="C1402" s="14" t="s">
        <v>16096</v>
      </c>
      <c r="D1402" s="14">
        <v>1</v>
      </c>
      <c r="E1402" s="14">
        <v>1239</v>
      </c>
      <c r="F1402" s="14">
        <v>65</v>
      </c>
      <c r="G1402" s="14">
        <v>15605</v>
      </c>
      <c r="H1402" s="14">
        <v>0.995432496591683</v>
      </c>
      <c r="I1402" s="14">
        <v>0.999999998981127</v>
      </c>
      <c r="J1402" s="14">
        <v>0.193766685292109</v>
      </c>
      <c r="K1402" s="14" t="s">
        <v>1574</v>
      </c>
    </row>
    <row r="1403" spans="1:11">
      <c r="A1403" s="14" t="s">
        <v>16197</v>
      </c>
      <c r="B1403" s="14" t="s">
        <v>16198</v>
      </c>
      <c r="C1403" s="14" t="s">
        <v>16086</v>
      </c>
      <c r="D1403" s="14">
        <v>45</v>
      </c>
      <c r="E1403" s="14">
        <v>1239</v>
      </c>
      <c r="F1403" s="14">
        <v>797</v>
      </c>
      <c r="G1403" s="14">
        <v>15605</v>
      </c>
      <c r="H1403" s="14">
        <v>0.995760341581986</v>
      </c>
      <c r="I1403" s="14">
        <v>0.999999998981127</v>
      </c>
      <c r="J1403" s="14">
        <v>0.711126166222608</v>
      </c>
      <c r="K1403" s="14" t="s">
        <v>21357</v>
      </c>
    </row>
    <row r="1404" spans="1:11">
      <c r="A1404" s="14" t="s">
        <v>16231</v>
      </c>
      <c r="B1404" s="14" t="s">
        <v>16232</v>
      </c>
      <c r="C1404" s="14" t="s">
        <v>16090</v>
      </c>
      <c r="D1404" s="14">
        <v>37</v>
      </c>
      <c r="E1404" s="14">
        <v>1239</v>
      </c>
      <c r="F1404" s="14">
        <v>681</v>
      </c>
      <c r="G1404" s="14">
        <v>15605</v>
      </c>
      <c r="H1404" s="14">
        <v>0.99617796228868</v>
      </c>
      <c r="I1404" s="14">
        <v>0.999999998981127</v>
      </c>
      <c r="J1404" s="14">
        <v>0.684300848939093</v>
      </c>
      <c r="K1404" s="14" t="s">
        <v>21358</v>
      </c>
    </row>
    <row r="1405" spans="1:11">
      <c r="A1405" s="14" t="s">
        <v>16402</v>
      </c>
      <c r="B1405" s="14" t="s">
        <v>16403</v>
      </c>
      <c r="C1405" s="14" t="s">
        <v>16096</v>
      </c>
      <c r="D1405" s="14">
        <v>2</v>
      </c>
      <c r="E1405" s="14">
        <v>1239</v>
      </c>
      <c r="F1405" s="14">
        <v>96</v>
      </c>
      <c r="G1405" s="14">
        <v>15605</v>
      </c>
      <c r="H1405" s="14">
        <v>0.996763859684715</v>
      </c>
      <c r="I1405" s="14">
        <v>0.999999998981127</v>
      </c>
      <c r="J1405" s="14">
        <v>0.262392386333064</v>
      </c>
      <c r="K1405" s="14" t="s">
        <v>21359</v>
      </c>
    </row>
    <row r="1406" spans="1:11">
      <c r="A1406" s="14" t="s">
        <v>19643</v>
      </c>
      <c r="B1406" s="14" t="s">
        <v>19644</v>
      </c>
      <c r="C1406" s="14" t="s">
        <v>16090</v>
      </c>
      <c r="D1406" s="14">
        <v>8</v>
      </c>
      <c r="E1406" s="14">
        <v>1239</v>
      </c>
      <c r="F1406" s="14">
        <v>219</v>
      </c>
      <c r="G1406" s="14">
        <v>15605</v>
      </c>
      <c r="H1406" s="14">
        <v>0.996921185986623</v>
      </c>
      <c r="I1406" s="14">
        <v>0.999999998981127</v>
      </c>
      <c r="J1406" s="14">
        <v>0.460085280145647</v>
      </c>
      <c r="K1406" s="14" t="s">
        <v>21360</v>
      </c>
    </row>
    <row r="1407" spans="1:11">
      <c r="A1407" s="14" t="s">
        <v>19510</v>
      </c>
      <c r="B1407" s="14" t="s">
        <v>19511</v>
      </c>
      <c r="C1407" s="14" t="s">
        <v>16090</v>
      </c>
      <c r="D1407" s="14">
        <v>5</v>
      </c>
      <c r="E1407" s="14">
        <v>1239</v>
      </c>
      <c r="F1407" s="14">
        <v>162</v>
      </c>
      <c r="G1407" s="14">
        <v>15605</v>
      </c>
      <c r="H1407" s="14">
        <v>0.996952978996772</v>
      </c>
      <c r="I1407" s="14">
        <v>0.999999998981127</v>
      </c>
      <c r="J1407" s="14">
        <v>0.388729461234169</v>
      </c>
      <c r="K1407" s="14" t="s">
        <v>21361</v>
      </c>
    </row>
    <row r="1408" spans="1:11">
      <c r="A1408" s="14" t="s">
        <v>18525</v>
      </c>
      <c r="B1408" s="14" t="s">
        <v>18526</v>
      </c>
      <c r="C1408" s="14" t="s">
        <v>16090</v>
      </c>
      <c r="D1408" s="14">
        <v>1</v>
      </c>
      <c r="E1408" s="14">
        <v>1239</v>
      </c>
      <c r="F1408" s="14">
        <v>72</v>
      </c>
      <c r="G1408" s="14">
        <v>15605</v>
      </c>
      <c r="H1408" s="14">
        <v>0.997447088471717</v>
      </c>
      <c r="I1408" s="14">
        <v>0.999999998981127</v>
      </c>
      <c r="J1408" s="14">
        <v>0.174928257555376</v>
      </c>
      <c r="K1408" s="14" t="s">
        <v>11328</v>
      </c>
    </row>
    <row r="1409" spans="1:11">
      <c r="A1409" s="14" t="s">
        <v>19355</v>
      </c>
      <c r="B1409" s="14" t="s">
        <v>19356</v>
      </c>
      <c r="C1409" s="14" t="s">
        <v>16096</v>
      </c>
      <c r="D1409" s="14">
        <v>3</v>
      </c>
      <c r="E1409" s="14">
        <v>1239</v>
      </c>
      <c r="F1409" s="14">
        <v>125</v>
      </c>
      <c r="G1409" s="14">
        <v>15605</v>
      </c>
      <c r="H1409" s="14">
        <v>0.997820498673523</v>
      </c>
      <c r="I1409" s="14">
        <v>0.999999998981127</v>
      </c>
      <c r="J1409" s="14">
        <v>0.30227602905569</v>
      </c>
      <c r="K1409" s="14" t="s">
        <v>21362</v>
      </c>
    </row>
    <row r="1410" spans="1:11">
      <c r="A1410" s="14" t="s">
        <v>11450</v>
      </c>
      <c r="B1410" s="14" t="s">
        <v>11451</v>
      </c>
      <c r="C1410" s="14" t="s">
        <v>16090</v>
      </c>
      <c r="D1410" s="14">
        <v>18</v>
      </c>
      <c r="E1410" s="14">
        <v>1239</v>
      </c>
      <c r="F1410" s="14">
        <v>399</v>
      </c>
      <c r="G1410" s="14">
        <v>15605</v>
      </c>
      <c r="H1410" s="14">
        <v>0.997843724576926</v>
      </c>
      <c r="I1410" s="14">
        <v>0.999999998981127</v>
      </c>
      <c r="J1410" s="14">
        <v>0.568188024540771</v>
      </c>
      <c r="K1410" s="14" t="s">
        <v>21363</v>
      </c>
    </row>
    <row r="1411" spans="1:11">
      <c r="A1411" s="14" t="s">
        <v>19485</v>
      </c>
      <c r="B1411" s="14" t="s">
        <v>19486</v>
      </c>
      <c r="C1411" s="14" t="s">
        <v>16086</v>
      </c>
      <c r="D1411" s="14">
        <v>4</v>
      </c>
      <c r="E1411" s="14">
        <v>1239</v>
      </c>
      <c r="F1411" s="14">
        <v>147</v>
      </c>
      <c r="G1411" s="14">
        <v>15605</v>
      </c>
      <c r="H1411" s="14">
        <v>0.997844557573224</v>
      </c>
      <c r="I1411" s="14">
        <v>0.999999998981127</v>
      </c>
      <c r="J1411" s="14">
        <v>0.342716586230941</v>
      </c>
      <c r="K1411" s="14" t="s">
        <v>21364</v>
      </c>
    </row>
    <row r="1412" spans="1:11">
      <c r="A1412" s="14" t="s">
        <v>17010</v>
      </c>
      <c r="B1412" s="14" t="s">
        <v>17011</v>
      </c>
      <c r="C1412" s="14" t="s">
        <v>16090</v>
      </c>
      <c r="D1412" s="14">
        <v>4</v>
      </c>
      <c r="E1412" s="14">
        <v>1239</v>
      </c>
      <c r="F1412" s="14">
        <v>149</v>
      </c>
      <c r="G1412" s="14">
        <v>15605</v>
      </c>
      <c r="H1412" s="14">
        <v>0.998106015973387</v>
      </c>
      <c r="I1412" s="14">
        <v>0.999999998981127</v>
      </c>
      <c r="J1412" s="14">
        <v>0.338116363596969</v>
      </c>
      <c r="K1412" s="14" t="s">
        <v>21365</v>
      </c>
    </row>
    <row r="1413" spans="1:11">
      <c r="A1413" s="14" t="s">
        <v>19586</v>
      </c>
      <c r="B1413" s="14" t="s">
        <v>19587</v>
      </c>
      <c r="C1413" s="14" t="s">
        <v>16096</v>
      </c>
      <c r="D1413" s="14">
        <v>1</v>
      </c>
      <c r="E1413" s="14">
        <v>1239</v>
      </c>
      <c r="F1413" s="14">
        <v>78</v>
      </c>
      <c r="G1413" s="14">
        <v>15605</v>
      </c>
      <c r="H1413" s="14">
        <v>0.998449791849789</v>
      </c>
      <c r="I1413" s="14">
        <v>0.999999998981127</v>
      </c>
      <c r="J1413" s="14">
        <v>0.161472237743424</v>
      </c>
      <c r="K1413" s="14" t="s">
        <v>11977</v>
      </c>
    </row>
    <row r="1414" spans="1:11">
      <c r="A1414" s="14" t="s">
        <v>19464</v>
      </c>
      <c r="B1414" s="14" t="s">
        <v>19465</v>
      </c>
      <c r="C1414" s="14" t="s">
        <v>16096</v>
      </c>
      <c r="D1414" s="14">
        <v>1</v>
      </c>
      <c r="E1414" s="14">
        <v>1239</v>
      </c>
      <c r="F1414" s="14">
        <v>79</v>
      </c>
      <c r="G1414" s="14">
        <v>15605</v>
      </c>
      <c r="H1414" s="14">
        <v>0.998573493008938</v>
      </c>
      <c r="I1414" s="14">
        <v>0.999999998981127</v>
      </c>
      <c r="J1414" s="14">
        <v>0.159428285366925</v>
      </c>
      <c r="K1414" s="14" t="s">
        <v>1989</v>
      </c>
    </row>
    <row r="1415" spans="1:11">
      <c r="A1415" s="14" t="s">
        <v>18862</v>
      </c>
      <c r="B1415" s="14" t="s">
        <v>18863</v>
      </c>
      <c r="C1415" s="14" t="s">
        <v>16086</v>
      </c>
      <c r="D1415" s="14">
        <v>1</v>
      </c>
      <c r="E1415" s="14">
        <v>1239</v>
      </c>
      <c r="F1415" s="14">
        <v>81</v>
      </c>
      <c r="G1415" s="14">
        <v>15605</v>
      </c>
      <c r="H1415" s="14">
        <v>0.998792090479666</v>
      </c>
      <c r="I1415" s="14">
        <v>0.999999998981127</v>
      </c>
      <c r="J1415" s="14">
        <v>0.155491784493668</v>
      </c>
      <c r="K1415" s="14" t="s">
        <v>1831</v>
      </c>
    </row>
    <row r="1416" spans="1:11">
      <c r="A1416" s="14" t="s">
        <v>16115</v>
      </c>
      <c r="B1416" s="14" t="s">
        <v>16116</v>
      </c>
      <c r="C1416" s="14" t="s">
        <v>16090</v>
      </c>
      <c r="D1416" s="14">
        <v>39</v>
      </c>
      <c r="E1416" s="14">
        <v>1239</v>
      </c>
      <c r="F1416" s="14">
        <v>753</v>
      </c>
      <c r="G1416" s="14">
        <v>15605</v>
      </c>
      <c r="H1416" s="14">
        <v>0.999040995193171</v>
      </c>
      <c r="I1416" s="14">
        <v>0.999999998981127</v>
      </c>
      <c r="J1416" s="14">
        <v>0.652322107855905</v>
      </c>
      <c r="K1416" s="14" t="s">
        <v>21366</v>
      </c>
    </row>
    <row r="1417" spans="1:11">
      <c r="A1417" s="14" t="s">
        <v>19583</v>
      </c>
      <c r="B1417" s="14" t="s">
        <v>19584</v>
      </c>
      <c r="C1417" s="14" t="s">
        <v>16090</v>
      </c>
      <c r="D1417" s="14">
        <v>4</v>
      </c>
      <c r="E1417" s="14">
        <v>1239</v>
      </c>
      <c r="F1417" s="14">
        <v>166</v>
      </c>
      <c r="G1417" s="14">
        <v>15605</v>
      </c>
      <c r="H1417" s="14">
        <v>0.999380402422778</v>
      </c>
      <c r="I1417" s="14">
        <v>0.999999998981127</v>
      </c>
      <c r="J1417" s="14">
        <v>0.303489989011737</v>
      </c>
      <c r="K1417" s="14" t="s">
        <v>21367</v>
      </c>
    </row>
    <row r="1418" spans="1:11">
      <c r="A1418" s="14" t="s">
        <v>19599</v>
      </c>
      <c r="B1418" s="14" t="s">
        <v>19600</v>
      </c>
      <c r="C1418" s="14" t="s">
        <v>16090</v>
      </c>
      <c r="D1418" s="14">
        <v>2</v>
      </c>
      <c r="E1418" s="14">
        <v>1239</v>
      </c>
      <c r="F1418" s="14">
        <v>120</v>
      </c>
      <c r="G1418" s="14">
        <v>15605</v>
      </c>
      <c r="H1418" s="14">
        <v>0.999463350477319</v>
      </c>
      <c r="I1418" s="14">
        <v>0.999999998981127</v>
      </c>
      <c r="J1418" s="14">
        <v>0.209913909066451</v>
      </c>
      <c r="K1418" s="14" t="s">
        <v>21368</v>
      </c>
    </row>
    <row r="1419" spans="1:11">
      <c r="A1419" s="14" t="s">
        <v>5581</v>
      </c>
      <c r="B1419" s="14" t="s">
        <v>5582</v>
      </c>
      <c r="C1419" s="14" t="s">
        <v>16096</v>
      </c>
      <c r="D1419" s="14">
        <v>28</v>
      </c>
      <c r="E1419" s="14">
        <v>1239</v>
      </c>
      <c r="F1419" s="14">
        <v>602</v>
      </c>
      <c r="G1419" s="14">
        <v>15605</v>
      </c>
      <c r="H1419" s="14">
        <v>0.999580035255798</v>
      </c>
      <c r="I1419" s="14">
        <v>0.999999998981127</v>
      </c>
      <c r="J1419" s="14">
        <v>0.585806257859865</v>
      </c>
      <c r="K1419" s="14" t="s">
        <v>21369</v>
      </c>
    </row>
    <row r="1420" spans="1:11">
      <c r="A1420" s="14" t="s">
        <v>19635</v>
      </c>
      <c r="B1420" s="14" t="s">
        <v>19636</v>
      </c>
      <c r="C1420" s="14" t="s">
        <v>16090</v>
      </c>
      <c r="D1420" s="14">
        <v>2</v>
      </c>
      <c r="E1420" s="14">
        <v>1239</v>
      </c>
      <c r="F1420" s="14">
        <v>124</v>
      </c>
      <c r="G1420" s="14">
        <v>15605</v>
      </c>
      <c r="H1420" s="14">
        <v>0.999603787389664</v>
      </c>
      <c r="I1420" s="14">
        <v>0.999999998981127</v>
      </c>
      <c r="J1420" s="14">
        <v>0.203142492644953</v>
      </c>
      <c r="K1420" s="14" t="s">
        <v>20718</v>
      </c>
    </row>
    <row r="1421" spans="1:11">
      <c r="A1421" s="14" t="s">
        <v>19632</v>
      </c>
      <c r="B1421" s="14" t="s">
        <v>19633</v>
      </c>
      <c r="C1421" s="14" t="s">
        <v>16086</v>
      </c>
      <c r="D1421" s="14">
        <v>13</v>
      </c>
      <c r="E1421" s="14">
        <v>1239</v>
      </c>
      <c r="F1421" s="14">
        <v>352</v>
      </c>
      <c r="G1421" s="14">
        <v>15605</v>
      </c>
      <c r="H1421" s="14">
        <v>0.999653212288459</v>
      </c>
      <c r="I1421" s="14">
        <v>0.999999998981127</v>
      </c>
      <c r="J1421" s="14">
        <v>0.465150139408614</v>
      </c>
      <c r="K1421" s="14" t="s">
        <v>21370</v>
      </c>
    </row>
    <row r="1422" spans="1:11">
      <c r="A1422" s="14" t="s">
        <v>19385</v>
      </c>
      <c r="B1422" s="14" t="s">
        <v>19386</v>
      </c>
      <c r="C1422" s="14" t="s">
        <v>16086</v>
      </c>
      <c r="D1422" s="14">
        <v>2</v>
      </c>
      <c r="E1422" s="14">
        <v>1239</v>
      </c>
      <c r="F1422" s="14">
        <v>127</v>
      </c>
      <c r="G1422" s="14">
        <v>15605</v>
      </c>
      <c r="H1422" s="14">
        <v>0.999684621878304</v>
      </c>
      <c r="I1422" s="14">
        <v>0.999999998981127</v>
      </c>
      <c r="J1422" s="14">
        <v>0.198343851086411</v>
      </c>
      <c r="K1422" s="14" t="s">
        <v>21313</v>
      </c>
    </row>
    <row r="1423" spans="1:11">
      <c r="A1423" s="14" t="s">
        <v>19655</v>
      </c>
      <c r="B1423" s="14" t="s">
        <v>19656</v>
      </c>
      <c r="C1423" s="14" t="s">
        <v>16086</v>
      </c>
      <c r="D1423" s="14">
        <v>12</v>
      </c>
      <c r="E1423" s="14">
        <v>1239</v>
      </c>
      <c r="F1423" s="14">
        <v>337</v>
      </c>
      <c r="G1423" s="14">
        <v>15605</v>
      </c>
      <c r="H1423" s="14">
        <v>0.999706376180651</v>
      </c>
      <c r="I1423" s="14">
        <v>0.999999998981127</v>
      </c>
      <c r="J1423" s="14">
        <v>0.448480755275505</v>
      </c>
      <c r="K1423" s="14" t="s">
        <v>21371</v>
      </c>
    </row>
    <row r="1424" spans="1:11">
      <c r="A1424" s="14" t="s">
        <v>19626</v>
      </c>
      <c r="B1424" s="14" t="s">
        <v>19627</v>
      </c>
      <c r="C1424" s="14" t="s">
        <v>16086</v>
      </c>
      <c r="D1424" s="14">
        <v>5</v>
      </c>
      <c r="E1424" s="14">
        <v>1239</v>
      </c>
      <c r="F1424" s="14">
        <v>219</v>
      </c>
      <c r="G1424" s="14">
        <v>15605</v>
      </c>
      <c r="H1424" s="14">
        <v>0.999919203210735</v>
      </c>
      <c r="I1424" s="14">
        <v>0.999999998981127</v>
      </c>
      <c r="J1424" s="14">
        <v>0.287553300091029</v>
      </c>
      <c r="K1424" s="14" t="s">
        <v>21372</v>
      </c>
    </row>
    <row r="1425" spans="1:11">
      <c r="A1425" s="14" t="s">
        <v>19629</v>
      </c>
      <c r="B1425" s="14" t="s">
        <v>19630</v>
      </c>
      <c r="C1425" s="14" t="s">
        <v>16086</v>
      </c>
      <c r="D1425" s="14">
        <v>5</v>
      </c>
      <c r="E1425" s="14">
        <v>1239</v>
      </c>
      <c r="F1425" s="14">
        <v>219</v>
      </c>
      <c r="G1425" s="14">
        <v>15605</v>
      </c>
      <c r="H1425" s="14">
        <v>0.999919203210735</v>
      </c>
      <c r="I1425" s="14">
        <v>0.999999998981127</v>
      </c>
      <c r="J1425" s="14">
        <v>0.287553300091029</v>
      </c>
      <c r="K1425" s="14" t="s">
        <v>21373</v>
      </c>
    </row>
    <row r="1426" spans="1:11">
      <c r="A1426" s="14" t="s">
        <v>19657</v>
      </c>
      <c r="B1426" s="14" t="s">
        <v>19658</v>
      </c>
      <c r="C1426" s="14" t="s">
        <v>16086</v>
      </c>
      <c r="D1426" s="14">
        <v>33</v>
      </c>
      <c r="E1426" s="14">
        <v>1239</v>
      </c>
      <c r="F1426" s="14">
        <v>750</v>
      </c>
      <c r="G1426" s="14">
        <v>15605</v>
      </c>
      <c r="H1426" s="14">
        <v>0.999972837288541</v>
      </c>
      <c r="I1426" s="14">
        <v>0.999999998981127</v>
      </c>
      <c r="J1426" s="14">
        <v>0.554172719935432</v>
      </c>
      <c r="K1426" s="14" t="s">
        <v>21374</v>
      </c>
    </row>
    <row r="1427" spans="1:11">
      <c r="A1427" s="14" t="s">
        <v>19551</v>
      </c>
      <c r="B1427" s="14" t="s">
        <v>19552</v>
      </c>
      <c r="C1427" s="14" t="s">
        <v>16090</v>
      </c>
      <c r="D1427" s="14">
        <v>2</v>
      </c>
      <c r="E1427" s="14">
        <v>1239</v>
      </c>
      <c r="F1427" s="14">
        <v>160</v>
      </c>
      <c r="G1427" s="14">
        <v>15605</v>
      </c>
      <c r="H1427" s="14">
        <v>0.999975138199967</v>
      </c>
      <c r="I1427" s="14">
        <v>0.999999998981127</v>
      </c>
      <c r="J1427" s="14">
        <v>0.157435431799839</v>
      </c>
      <c r="K1427" s="14" t="s">
        <v>21375</v>
      </c>
    </row>
    <row r="1428" spans="1:11">
      <c r="A1428" s="14" t="s">
        <v>19611</v>
      </c>
      <c r="B1428" s="14" t="s">
        <v>19612</v>
      </c>
      <c r="C1428" s="14" t="s">
        <v>16090</v>
      </c>
      <c r="D1428" s="14">
        <v>3</v>
      </c>
      <c r="E1428" s="14">
        <v>1239</v>
      </c>
      <c r="F1428" s="14">
        <v>189</v>
      </c>
      <c r="G1428" s="14">
        <v>15605</v>
      </c>
      <c r="H1428" s="14">
        <v>0.99997753431682</v>
      </c>
      <c r="I1428" s="14">
        <v>0.999999998981127</v>
      </c>
      <c r="J1428" s="14">
        <v>0.199918008634716</v>
      </c>
      <c r="K1428" s="14" t="s">
        <v>21376</v>
      </c>
    </row>
    <row r="1429" spans="1:11">
      <c r="A1429" s="14" t="s">
        <v>19594</v>
      </c>
      <c r="B1429" s="14" t="s">
        <v>19595</v>
      </c>
      <c r="C1429" s="14" t="s">
        <v>16086</v>
      </c>
      <c r="D1429" s="14">
        <v>5</v>
      </c>
      <c r="E1429" s="14">
        <v>1239</v>
      </c>
      <c r="F1429" s="14">
        <v>245</v>
      </c>
      <c r="G1429" s="14">
        <v>15605</v>
      </c>
      <c r="H1429" s="14">
        <v>0.999985971995236</v>
      </c>
      <c r="I1429" s="14">
        <v>0.999999998981127</v>
      </c>
      <c r="J1429" s="14">
        <v>0.257037439673206</v>
      </c>
      <c r="K1429" s="14" t="s">
        <v>21377</v>
      </c>
    </row>
    <row r="1430" spans="1:11">
      <c r="A1430" s="14" t="s">
        <v>549</v>
      </c>
      <c r="B1430" s="14" t="s">
        <v>550</v>
      </c>
      <c r="C1430" s="14" t="s">
        <v>16096</v>
      </c>
      <c r="D1430" s="14">
        <v>231</v>
      </c>
      <c r="E1430" s="14">
        <v>1239</v>
      </c>
      <c r="F1430" s="14">
        <v>3814</v>
      </c>
      <c r="G1430" s="14">
        <v>15605</v>
      </c>
      <c r="H1430" s="14">
        <v>0.999999845725867</v>
      </c>
      <c r="I1430" s="14">
        <v>0.999999998981127</v>
      </c>
      <c r="J1430" s="14">
        <v>0.762822962679868</v>
      </c>
      <c r="K1430" s="14" t="s">
        <v>21378</v>
      </c>
    </row>
    <row r="1431" spans="1:11">
      <c r="A1431" s="14" t="s">
        <v>19458</v>
      </c>
      <c r="B1431" s="14" t="s">
        <v>19459</v>
      </c>
      <c r="C1431" s="14" t="s">
        <v>16096</v>
      </c>
      <c r="D1431" s="14">
        <v>2</v>
      </c>
      <c r="E1431" s="14">
        <v>1239</v>
      </c>
      <c r="F1431" s="14">
        <v>287</v>
      </c>
      <c r="G1431" s="14">
        <v>15605</v>
      </c>
      <c r="H1431" s="14">
        <v>0.999999998981127</v>
      </c>
      <c r="I1431" s="14">
        <v>0.999999998981127</v>
      </c>
      <c r="J1431" s="14">
        <v>0.0877688818396313</v>
      </c>
      <c r="K1431" s="14" t="s">
        <v>21379</v>
      </c>
    </row>
  </sheetData>
  <mergeCells count="1">
    <mergeCell ref="A1:J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3"/>
  <sheetViews>
    <sheetView workbookViewId="0">
      <selection activeCell="B8" sqref="B8"/>
    </sheetView>
  </sheetViews>
  <sheetFormatPr defaultColWidth="8.88888888888889" defaultRowHeight="13.8"/>
  <cols>
    <col min="1" max="1" width="8.88888888888889" style="14"/>
    <col min="2" max="2" width="54.7777777777778" style="14" customWidth="1"/>
    <col min="3" max="3" width="25.5555555555556" style="14" customWidth="1"/>
    <col min="4" max="16384" width="8.88888888888889" style="14"/>
  </cols>
  <sheetData>
    <row r="1" s="33" customFormat="1" ht="13.2" spans="1:11">
      <c r="A1" s="34" t="s">
        <v>21380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>
      <c r="A2" s="22" t="s">
        <v>16075</v>
      </c>
      <c r="B2" s="22" t="s">
        <v>16076</v>
      </c>
      <c r="C2" s="22" t="s">
        <v>21381</v>
      </c>
      <c r="D2" s="22" t="s">
        <v>21382</v>
      </c>
      <c r="E2" s="22" t="s">
        <v>16078</v>
      </c>
      <c r="F2" s="22" t="s">
        <v>16079</v>
      </c>
      <c r="G2" s="22" t="s">
        <v>16080</v>
      </c>
      <c r="H2" s="22" t="s">
        <v>16081</v>
      </c>
      <c r="I2" s="22" t="s">
        <v>130</v>
      </c>
      <c r="J2" s="22" t="s">
        <v>131</v>
      </c>
      <c r="K2" s="22" t="s">
        <v>16082</v>
      </c>
      <c r="L2" s="22" t="s">
        <v>16083</v>
      </c>
      <c r="M2" s="22" t="s">
        <v>21383</v>
      </c>
    </row>
    <row r="3" spans="1:13">
      <c r="A3" s="14" t="s">
        <v>5978</v>
      </c>
      <c r="B3" s="14" t="s">
        <v>5979</v>
      </c>
      <c r="C3" s="14" t="s">
        <v>21384</v>
      </c>
      <c r="D3" s="14" t="s">
        <v>21385</v>
      </c>
      <c r="E3" s="14">
        <v>4</v>
      </c>
      <c r="F3" s="14">
        <v>362</v>
      </c>
      <c r="G3" s="14">
        <v>107</v>
      </c>
      <c r="H3" s="14">
        <v>4984</v>
      </c>
      <c r="I3" s="14">
        <v>0.957863550673777</v>
      </c>
      <c r="J3" s="14">
        <v>0.999993588513658</v>
      </c>
      <c r="K3" s="14">
        <v>0.514689936489905</v>
      </c>
      <c r="L3" s="14" t="s">
        <v>21386</v>
      </c>
      <c r="M3" s="14" t="s">
        <v>5978</v>
      </c>
    </row>
    <row r="4" spans="1:13">
      <c r="A4" s="14" t="s">
        <v>2789</v>
      </c>
      <c r="B4" s="14" t="s">
        <v>2790</v>
      </c>
      <c r="C4" s="14" t="s">
        <v>21384</v>
      </c>
      <c r="D4" s="14" t="s">
        <v>21385</v>
      </c>
      <c r="E4" s="14">
        <v>5</v>
      </c>
      <c r="F4" s="14">
        <v>362</v>
      </c>
      <c r="G4" s="14">
        <v>57</v>
      </c>
      <c r="H4" s="14">
        <v>4984</v>
      </c>
      <c r="I4" s="14">
        <v>0.399538109625767</v>
      </c>
      <c r="J4" s="14">
        <v>0.999993588513658</v>
      </c>
      <c r="K4" s="14">
        <v>1.20771542114956</v>
      </c>
      <c r="L4" s="14" t="s">
        <v>21387</v>
      </c>
      <c r="M4" s="14" t="s">
        <v>2789</v>
      </c>
    </row>
    <row r="5" spans="1:13">
      <c r="A5" s="14" t="s">
        <v>1056</v>
      </c>
      <c r="B5" s="14" t="s">
        <v>1057</v>
      </c>
      <c r="C5" s="14" t="s">
        <v>21384</v>
      </c>
      <c r="D5" s="14" t="s">
        <v>21385</v>
      </c>
      <c r="E5" s="14">
        <v>11</v>
      </c>
      <c r="F5" s="14">
        <v>362</v>
      </c>
      <c r="G5" s="14">
        <v>98</v>
      </c>
      <c r="H5" s="14">
        <v>4984</v>
      </c>
      <c r="I5" s="14">
        <v>0.0968314285344268</v>
      </c>
      <c r="J5" s="14">
        <v>0.703457546239056</v>
      </c>
      <c r="K5" s="14">
        <v>1.54538279400158</v>
      </c>
      <c r="L5" s="14" t="s">
        <v>21388</v>
      </c>
      <c r="M5" s="14" t="s">
        <v>1056</v>
      </c>
    </row>
    <row r="6" spans="1:13">
      <c r="A6" s="14" t="s">
        <v>1239</v>
      </c>
      <c r="B6" s="14" t="s">
        <v>1240</v>
      </c>
      <c r="C6" s="14" t="s">
        <v>21384</v>
      </c>
      <c r="D6" s="14" t="s">
        <v>21385</v>
      </c>
      <c r="E6" s="14">
        <v>4</v>
      </c>
      <c r="F6" s="14">
        <v>362</v>
      </c>
      <c r="G6" s="14">
        <v>49</v>
      </c>
      <c r="H6" s="14">
        <v>4984</v>
      </c>
      <c r="I6" s="14">
        <v>0.481072362364747</v>
      </c>
      <c r="J6" s="14">
        <v>0.999993588513658</v>
      </c>
      <c r="K6" s="14">
        <v>1.12391475927388</v>
      </c>
      <c r="L6" s="14" t="s">
        <v>21389</v>
      </c>
      <c r="M6" s="14" t="s">
        <v>1239</v>
      </c>
    </row>
    <row r="7" spans="1:13">
      <c r="A7" s="14" t="s">
        <v>1128</v>
      </c>
      <c r="B7" s="14" t="s">
        <v>1129</v>
      </c>
      <c r="C7" s="14" t="s">
        <v>21384</v>
      </c>
      <c r="D7" s="14" t="s">
        <v>21385</v>
      </c>
      <c r="E7" s="14">
        <v>5</v>
      </c>
      <c r="F7" s="14">
        <v>362</v>
      </c>
      <c r="G7" s="14">
        <v>41</v>
      </c>
      <c r="H7" s="14">
        <v>4984</v>
      </c>
      <c r="I7" s="14">
        <v>0.17365224489713</v>
      </c>
      <c r="J7" s="14">
        <v>0.85607510203673</v>
      </c>
      <c r="K7" s="14">
        <v>1.67901900013475</v>
      </c>
      <c r="L7" s="14" t="s">
        <v>21390</v>
      </c>
      <c r="M7" s="14" t="s">
        <v>1128</v>
      </c>
    </row>
    <row r="8" spans="1:13">
      <c r="A8" s="14" t="s">
        <v>10129</v>
      </c>
      <c r="B8" s="14" t="s">
        <v>10130</v>
      </c>
      <c r="C8" s="14" t="s">
        <v>21384</v>
      </c>
      <c r="D8" s="14" t="s">
        <v>21385</v>
      </c>
      <c r="E8" s="14">
        <v>6</v>
      </c>
      <c r="F8" s="14">
        <v>362</v>
      </c>
      <c r="G8" s="14">
        <v>46</v>
      </c>
      <c r="H8" s="14">
        <v>4984</v>
      </c>
      <c r="I8" s="14">
        <v>0.113330778551036</v>
      </c>
      <c r="J8" s="14">
        <v>0.728228376073847</v>
      </c>
      <c r="K8" s="14">
        <v>1.79582032188326</v>
      </c>
      <c r="L8" s="14" t="s">
        <v>21391</v>
      </c>
      <c r="M8" s="14" t="s">
        <v>10129</v>
      </c>
    </row>
    <row r="9" spans="1:13">
      <c r="A9" s="14" t="s">
        <v>21392</v>
      </c>
      <c r="B9" s="14" t="s">
        <v>21393</v>
      </c>
      <c r="C9" s="14" t="s">
        <v>21384</v>
      </c>
      <c r="D9" s="14" t="s">
        <v>21394</v>
      </c>
      <c r="E9" s="14">
        <v>1</v>
      </c>
      <c r="F9" s="14">
        <v>362</v>
      </c>
      <c r="G9" s="14">
        <v>42</v>
      </c>
      <c r="H9" s="14">
        <v>4984</v>
      </c>
      <c r="I9" s="14">
        <v>0.95844053844932</v>
      </c>
      <c r="J9" s="14">
        <v>0.999993588513658</v>
      </c>
      <c r="K9" s="14">
        <v>0.32780847145488</v>
      </c>
      <c r="L9" s="14" t="s">
        <v>15577</v>
      </c>
      <c r="M9" s="14" t="s">
        <v>21392</v>
      </c>
    </row>
    <row r="10" spans="1:13">
      <c r="A10" s="14" t="s">
        <v>21395</v>
      </c>
      <c r="B10" s="14" t="s">
        <v>21396</v>
      </c>
      <c r="C10" s="14" t="s">
        <v>21384</v>
      </c>
      <c r="D10" s="14" t="s">
        <v>21394</v>
      </c>
      <c r="E10" s="14">
        <v>2</v>
      </c>
      <c r="F10" s="14">
        <v>362</v>
      </c>
      <c r="G10" s="14">
        <v>26</v>
      </c>
      <c r="H10" s="14">
        <v>4984</v>
      </c>
      <c r="I10" s="14">
        <v>0.573168661188382</v>
      </c>
      <c r="J10" s="14">
        <v>0.999993588513658</v>
      </c>
      <c r="K10" s="14">
        <v>1.05907352316192</v>
      </c>
      <c r="L10" s="14" t="s">
        <v>21397</v>
      </c>
      <c r="M10" s="14" t="s">
        <v>21395</v>
      </c>
    </row>
    <row r="11" spans="1:13">
      <c r="A11" s="14" t="s">
        <v>12631</v>
      </c>
      <c r="B11" s="14" t="s">
        <v>12632</v>
      </c>
      <c r="C11" s="14" t="s">
        <v>21384</v>
      </c>
      <c r="D11" s="14" t="s">
        <v>21394</v>
      </c>
      <c r="E11" s="14">
        <v>6</v>
      </c>
      <c r="F11" s="14">
        <v>362</v>
      </c>
      <c r="G11" s="14">
        <v>41</v>
      </c>
      <c r="H11" s="14">
        <v>4984</v>
      </c>
      <c r="I11" s="14">
        <v>0.0732633744869213</v>
      </c>
      <c r="J11" s="14">
        <v>0.664097039704028</v>
      </c>
      <c r="K11" s="14">
        <v>2.0148228001617</v>
      </c>
      <c r="L11" s="14" t="s">
        <v>21398</v>
      </c>
      <c r="M11" s="14" t="s">
        <v>12631</v>
      </c>
    </row>
    <row r="12" spans="1:13">
      <c r="A12" s="14" t="s">
        <v>5574</v>
      </c>
      <c r="B12" s="14" t="s">
        <v>5575</v>
      </c>
      <c r="C12" s="14" t="s">
        <v>21384</v>
      </c>
      <c r="D12" s="14" t="s">
        <v>21394</v>
      </c>
      <c r="E12" s="14">
        <v>5</v>
      </c>
      <c r="F12" s="14">
        <v>362</v>
      </c>
      <c r="G12" s="14">
        <v>28</v>
      </c>
      <c r="H12" s="14">
        <v>4984</v>
      </c>
      <c r="I12" s="14">
        <v>0.0483346192860612</v>
      </c>
      <c r="J12" s="14">
        <v>0.5223856930532</v>
      </c>
      <c r="K12" s="14">
        <v>2.4585635359116</v>
      </c>
      <c r="L12" s="14" t="s">
        <v>21399</v>
      </c>
      <c r="M12" s="14" t="s">
        <v>5574</v>
      </c>
    </row>
    <row r="13" spans="1:13">
      <c r="A13" s="14" t="s">
        <v>6467</v>
      </c>
      <c r="B13" s="14" t="s">
        <v>6468</v>
      </c>
      <c r="C13" s="14" t="s">
        <v>21384</v>
      </c>
      <c r="D13" s="14" t="s">
        <v>21394</v>
      </c>
      <c r="E13" s="14">
        <v>1</v>
      </c>
      <c r="F13" s="14">
        <v>362</v>
      </c>
      <c r="G13" s="14">
        <v>29</v>
      </c>
      <c r="H13" s="14">
        <v>4984</v>
      </c>
      <c r="I13" s="14">
        <v>0.888436159858074</v>
      </c>
      <c r="J13" s="14">
        <v>0.999993588513658</v>
      </c>
      <c r="K13" s="14">
        <v>0.474757096589827</v>
      </c>
      <c r="L13" s="14" t="s">
        <v>6464</v>
      </c>
      <c r="M13" s="14" t="s">
        <v>6467</v>
      </c>
    </row>
    <row r="14" spans="1:13">
      <c r="A14" s="14" t="s">
        <v>180</v>
      </c>
      <c r="B14" s="14" t="s">
        <v>181</v>
      </c>
      <c r="C14" s="14" t="s">
        <v>21384</v>
      </c>
      <c r="D14" s="14" t="s">
        <v>21400</v>
      </c>
      <c r="E14" s="14">
        <v>15</v>
      </c>
      <c r="F14" s="14">
        <v>362</v>
      </c>
      <c r="G14" s="14">
        <v>175</v>
      </c>
      <c r="H14" s="14">
        <v>4984</v>
      </c>
      <c r="I14" s="14">
        <v>0.288199638784105</v>
      </c>
      <c r="J14" s="14">
        <v>0.999993588513658</v>
      </c>
      <c r="K14" s="14">
        <v>1.18011049723757</v>
      </c>
      <c r="L14" s="14" t="s">
        <v>21401</v>
      </c>
      <c r="M14" s="14" t="s">
        <v>180</v>
      </c>
    </row>
    <row r="15" s="32" customFormat="1" spans="1:13">
      <c r="A15" s="32" t="s">
        <v>2754</v>
      </c>
      <c r="B15" s="32" t="s">
        <v>2755</v>
      </c>
      <c r="C15" s="32" t="s">
        <v>21384</v>
      </c>
      <c r="D15" s="32" t="s">
        <v>21400</v>
      </c>
      <c r="E15" s="32">
        <v>13</v>
      </c>
      <c r="F15" s="32">
        <v>362</v>
      </c>
      <c r="G15" s="32">
        <v>133</v>
      </c>
      <c r="H15" s="32">
        <v>4984</v>
      </c>
      <c r="I15" s="32">
        <v>0.166590556917423</v>
      </c>
      <c r="J15" s="32">
        <v>0.85607510203673</v>
      </c>
      <c r="K15" s="32">
        <v>1.34574004070951</v>
      </c>
      <c r="L15" s="32" t="s">
        <v>21402</v>
      </c>
      <c r="M15" s="32" t="s">
        <v>2754</v>
      </c>
    </row>
    <row r="16" spans="1:13">
      <c r="A16" s="14" t="s">
        <v>1065</v>
      </c>
      <c r="B16" s="14" t="s">
        <v>1066</v>
      </c>
      <c r="C16" s="14" t="s">
        <v>21384</v>
      </c>
      <c r="D16" s="14" t="s">
        <v>21403</v>
      </c>
      <c r="E16" s="14">
        <v>2</v>
      </c>
      <c r="F16" s="14">
        <v>362</v>
      </c>
      <c r="G16" s="14">
        <v>76</v>
      </c>
      <c r="H16" s="14">
        <v>4984</v>
      </c>
      <c r="I16" s="14">
        <v>0.978136838254828</v>
      </c>
      <c r="J16" s="14">
        <v>0.999993588513658</v>
      </c>
      <c r="K16" s="14">
        <v>0.362314626344868</v>
      </c>
      <c r="L16" s="14" t="s">
        <v>21404</v>
      </c>
      <c r="M16" s="14" t="s">
        <v>1065</v>
      </c>
    </row>
    <row r="17" spans="1:13">
      <c r="A17" s="14" t="s">
        <v>6420</v>
      </c>
      <c r="B17" s="14" t="s">
        <v>6421</v>
      </c>
      <c r="C17" s="14" t="s">
        <v>21384</v>
      </c>
      <c r="D17" s="14" t="s">
        <v>21403</v>
      </c>
      <c r="E17" s="14">
        <v>2</v>
      </c>
      <c r="F17" s="14">
        <v>362</v>
      </c>
      <c r="G17" s="14">
        <v>50</v>
      </c>
      <c r="H17" s="14">
        <v>4984</v>
      </c>
      <c r="I17" s="14">
        <v>0.887931152420122</v>
      </c>
      <c r="J17" s="14">
        <v>0.999993588513658</v>
      </c>
      <c r="K17" s="14">
        <v>0.550718232044199</v>
      </c>
      <c r="L17" s="14" t="s">
        <v>21405</v>
      </c>
      <c r="M17" s="14" t="s">
        <v>6420</v>
      </c>
    </row>
    <row r="18" spans="1:13">
      <c r="A18" s="14" t="s">
        <v>2222</v>
      </c>
      <c r="B18" s="14" t="s">
        <v>2223</v>
      </c>
      <c r="C18" s="14" t="s">
        <v>21384</v>
      </c>
      <c r="D18" s="14" t="s">
        <v>21406</v>
      </c>
      <c r="E18" s="14">
        <v>3</v>
      </c>
      <c r="F18" s="14">
        <v>362</v>
      </c>
      <c r="G18" s="14">
        <v>38</v>
      </c>
      <c r="H18" s="14">
        <v>4984</v>
      </c>
      <c r="I18" s="14">
        <v>0.528542431655981</v>
      </c>
      <c r="J18" s="14">
        <v>0.999993588513658</v>
      </c>
      <c r="K18" s="14">
        <v>1.0869438790346</v>
      </c>
      <c r="L18" s="14" t="s">
        <v>21407</v>
      </c>
      <c r="M18" s="14" t="s">
        <v>2222</v>
      </c>
    </row>
    <row r="19" spans="1:13">
      <c r="A19" s="14" t="s">
        <v>5021</v>
      </c>
      <c r="B19" s="14" t="s">
        <v>5022</v>
      </c>
      <c r="C19" s="14" t="s">
        <v>21384</v>
      </c>
      <c r="D19" s="14" t="s">
        <v>21406</v>
      </c>
      <c r="E19" s="14">
        <v>4</v>
      </c>
      <c r="F19" s="14">
        <v>362</v>
      </c>
      <c r="G19" s="14">
        <v>49</v>
      </c>
      <c r="H19" s="14">
        <v>4984</v>
      </c>
      <c r="I19" s="14">
        <v>0.481072362364747</v>
      </c>
      <c r="J19" s="14">
        <v>0.999993588513658</v>
      </c>
      <c r="K19" s="14">
        <v>1.12391475927388</v>
      </c>
      <c r="L19" s="14" t="s">
        <v>21408</v>
      </c>
      <c r="M19" s="14" t="s">
        <v>5021</v>
      </c>
    </row>
    <row r="20" spans="1:13">
      <c r="A20" s="14" t="s">
        <v>9450</v>
      </c>
      <c r="B20" s="14" t="s">
        <v>9451</v>
      </c>
      <c r="C20" s="14" t="s">
        <v>21384</v>
      </c>
      <c r="D20" s="14" t="s">
        <v>21406</v>
      </c>
      <c r="E20" s="14">
        <v>6</v>
      </c>
      <c r="F20" s="14">
        <v>362</v>
      </c>
      <c r="G20" s="14">
        <v>91</v>
      </c>
      <c r="H20" s="14">
        <v>4984</v>
      </c>
      <c r="I20" s="14">
        <v>0.657384006651667</v>
      </c>
      <c r="J20" s="14">
        <v>0.999993588513658</v>
      </c>
      <c r="K20" s="14">
        <v>0.907777305567361</v>
      </c>
      <c r="L20" s="14" t="s">
        <v>21409</v>
      </c>
      <c r="M20" s="14" t="s">
        <v>9450</v>
      </c>
    </row>
    <row r="21" spans="1:13">
      <c r="A21" s="14" t="s">
        <v>21410</v>
      </c>
      <c r="B21" s="14" t="s">
        <v>21411</v>
      </c>
      <c r="C21" s="14" t="s">
        <v>21384</v>
      </c>
      <c r="D21" s="14" t="s">
        <v>21406</v>
      </c>
      <c r="E21" s="14">
        <v>4</v>
      </c>
      <c r="F21" s="14">
        <v>362</v>
      </c>
      <c r="G21" s="14">
        <v>45</v>
      </c>
      <c r="H21" s="14">
        <v>4984</v>
      </c>
      <c r="I21" s="14">
        <v>0.415075005037203</v>
      </c>
      <c r="J21" s="14">
        <v>0.999993588513658</v>
      </c>
      <c r="K21" s="14">
        <v>1.22381829343155</v>
      </c>
      <c r="L21" s="14" t="s">
        <v>21412</v>
      </c>
      <c r="M21" s="14" t="s">
        <v>21410</v>
      </c>
    </row>
    <row r="22" spans="1:13">
      <c r="A22" s="14" t="s">
        <v>21413</v>
      </c>
      <c r="B22" s="14" t="s">
        <v>21414</v>
      </c>
      <c r="C22" s="14" t="s">
        <v>21384</v>
      </c>
      <c r="D22" s="14" t="s">
        <v>21406</v>
      </c>
      <c r="E22" s="14">
        <v>1</v>
      </c>
      <c r="F22" s="14">
        <v>362</v>
      </c>
      <c r="G22" s="14">
        <v>15</v>
      </c>
      <c r="H22" s="14">
        <v>4984</v>
      </c>
      <c r="I22" s="14">
        <v>0.677848194945947</v>
      </c>
      <c r="J22" s="14">
        <v>0.999993588513658</v>
      </c>
      <c r="K22" s="14">
        <v>0.917863720073665</v>
      </c>
      <c r="L22" s="14" t="s">
        <v>12946</v>
      </c>
      <c r="M22" s="14" t="s">
        <v>21413</v>
      </c>
    </row>
    <row r="23" spans="1:13">
      <c r="A23" s="14" t="s">
        <v>2818</v>
      </c>
      <c r="B23" s="14" t="s">
        <v>2819</v>
      </c>
      <c r="C23" s="14" t="s">
        <v>21384</v>
      </c>
      <c r="D23" s="14" t="s">
        <v>21406</v>
      </c>
      <c r="E23" s="14">
        <v>1</v>
      </c>
      <c r="F23" s="14">
        <v>362</v>
      </c>
      <c r="G23" s="14">
        <v>10</v>
      </c>
      <c r="H23" s="14">
        <v>4984</v>
      </c>
      <c r="I23" s="14">
        <v>0.529876937786533</v>
      </c>
      <c r="J23" s="14">
        <v>0.999993588513658</v>
      </c>
      <c r="K23" s="14">
        <v>1.3767955801105</v>
      </c>
      <c r="L23" s="14" t="s">
        <v>2814</v>
      </c>
      <c r="M23" s="14" t="s">
        <v>2818</v>
      </c>
    </row>
    <row r="24" spans="1:13">
      <c r="A24" s="14" t="s">
        <v>21415</v>
      </c>
      <c r="B24" s="14" t="s">
        <v>21416</v>
      </c>
      <c r="C24" s="14" t="s">
        <v>21384</v>
      </c>
      <c r="D24" s="14" t="s">
        <v>21406</v>
      </c>
      <c r="E24" s="14">
        <v>2</v>
      </c>
      <c r="F24" s="14">
        <v>362</v>
      </c>
      <c r="G24" s="14">
        <v>22</v>
      </c>
      <c r="H24" s="14">
        <v>4984</v>
      </c>
      <c r="I24" s="14">
        <v>0.482070096241945</v>
      </c>
      <c r="J24" s="14">
        <v>0.999993588513658</v>
      </c>
      <c r="K24" s="14">
        <v>1.251632345555</v>
      </c>
      <c r="L24" s="14" t="s">
        <v>21417</v>
      </c>
      <c r="M24" s="14" t="s">
        <v>21415</v>
      </c>
    </row>
    <row r="25" spans="1:13">
      <c r="A25" s="14" t="s">
        <v>10390</v>
      </c>
      <c r="B25" s="14" t="s">
        <v>10391</v>
      </c>
      <c r="C25" s="14" t="s">
        <v>21384</v>
      </c>
      <c r="D25" s="14" t="s">
        <v>21406</v>
      </c>
      <c r="E25" s="14">
        <v>6</v>
      </c>
      <c r="F25" s="14">
        <v>362</v>
      </c>
      <c r="G25" s="14">
        <v>52</v>
      </c>
      <c r="H25" s="14">
        <v>4984</v>
      </c>
      <c r="I25" s="14">
        <v>0.173089501004299</v>
      </c>
      <c r="J25" s="14">
        <v>0.85607510203673</v>
      </c>
      <c r="K25" s="14">
        <v>1.58861028474288</v>
      </c>
      <c r="L25" s="14" t="s">
        <v>21418</v>
      </c>
      <c r="M25" s="14" t="s">
        <v>10390</v>
      </c>
    </row>
    <row r="26" spans="1:13">
      <c r="A26" s="14" t="s">
        <v>21419</v>
      </c>
      <c r="B26" s="14" t="s">
        <v>21420</v>
      </c>
      <c r="C26" s="14" t="s">
        <v>21384</v>
      </c>
      <c r="D26" s="14" t="s">
        <v>21421</v>
      </c>
      <c r="E26" s="14">
        <v>1</v>
      </c>
      <c r="F26" s="14">
        <v>362</v>
      </c>
      <c r="G26" s="14">
        <v>5</v>
      </c>
      <c r="H26" s="14">
        <v>4984</v>
      </c>
      <c r="I26" s="14">
        <v>0.314209842931513</v>
      </c>
      <c r="J26" s="14">
        <v>0.999993588513658</v>
      </c>
      <c r="K26" s="14">
        <v>2.75359116022099</v>
      </c>
      <c r="L26" s="14" t="s">
        <v>15577</v>
      </c>
      <c r="M26" s="14" t="s">
        <v>21419</v>
      </c>
    </row>
    <row r="27" spans="1:13">
      <c r="A27" s="14" t="s">
        <v>21422</v>
      </c>
      <c r="B27" s="14" t="s">
        <v>21423</v>
      </c>
      <c r="C27" s="14" t="s">
        <v>21384</v>
      </c>
      <c r="D27" s="14" t="s">
        <v>21406</v>
      </c>
      <c r="E27" s="14">
        <v>1</v>
      </c>
      <c r="F27" s="14">
        <v>362</v>
      </c>
      <c r="G27" s="14">
        <v>13</v>
      </c>
      <c r="H27" s="14">
        <v>4984</v>
      </c>
      <c r="I27" s="14">
        <v>0.625250085509274</v>
      </c>
      <c r="J27" s="14">
        <v>0.999993588513658</v>
      </c>
      <c r="K27" s="14">
        <v>1.05907352316192</v>
      </c>
      <c r="L27" s="14" t="s">
        <v>11209</v>
      </c>
      <c r="M27" s="14" t="s">
        <v>21422</v>
      </c>
    </row>
    <row r="28" spans="1:13">
      <c r="A28" s="14" t="s">
        <v>21424</v>
      </c>
      <c r="B28" s="14" t="s">
        <v>21425</v>
      </c>
      <c r="C28" s="14" t="s">
        <v>21384</v>
      </c>
      <c r="D28" s="14" t="s">
        <v>21406</v>
      </c>
      <c r="E28" s="14">
        <v>1</v>
      </c>
      <c r="F28" s="14">
        <v>362</v>
      </c>
      <c r="G28" s="14">
        <v>38</v>
      </c>
      <c r="H28" s="14">
        <v>4984</v>
      </c>
      <c r="I28" s="14">
        <v>0.943668729064354</v>
      </c>
      <c r="J28" s="14">
        <v>0.999993588513658</v>
      </c>
      <c r="K28" s="14">
        <v>0.362314626344868</v>
      </c>
      <c r="L28" s="14" t="s">
        <v>15339</v>
      </c>
      <c r="M28" s="14" t="s">
        <v>21424</v>
      </c>
    </row>
    <row r="29" spans="1:13">
      <c r="A29" s="14" t="s">
        <v>21426</v>
      </c>
      <c r="B29" s="14" t="s">
        <v>21427</v>
      </c>
      <c r="C29" s="14" t="s">
        <v>21384</v>
      </c>
      <c r="D29" s="14" t="s">
        <v>21406</v>
      </c>
      <c r="E29" s="14">
        <v>3</v>
      </c>
      <c r="F29" s="14">
        <v>362</v>
      </c>
      <c r="G29" s="14">
        <v>41</v>
      </c>
      <c r="H29" s="14">
        <v>4984</v>
      </c>
      <c r="I29" s="14">
        <v>0.581062958413031</v>
      </c>
      <c r="J29" s="14">
        <v>0.999993588513658</v>
      </c>
      <c r="K29" s="14">
        <v>1.00741140008085</v>
      </c>
      <c r="L29" s="14" t="s">
        <v>21428</v>
      </c>
      <c r="M29" s="14" t="s">
        <v>21426</v>
      </c>
    </row>
    <row r="30" spans="1:13">
      <c r="A30" s="14" t="s">
        <v>4179</v>
      </c>
      <c r="B30" s="14" t="s">
        <v>4180</v>
      </c>
      <c r="C30" s="14" t="s">
        <v>21384</v>
      </c>
      <c r="D30" s="14" t="s">
        <v>21406</v>
      </c>
      <c r="E30" s="14">
        <v>8</v>
      </c>
      <c r="F30" s="14">
        <v>362</v>
      </c>
      <c r="G30" s="14">
        <v>62</v>
      </c>
      <c r="H30" s="14">
        <v>4984</v>
      </c>
      <c r="I30" s="14">
        <v>0.0777846798273475</v>
      </c>
      <c r="J30" s="14">
        <v>0.6671774126306</v>
      </c>
      <c r="K30" s="14">
        <v>1.77651042594903</v>
      </c>
      <c r="L30" s="14" t="s">
        <v>21429</v>
      </c>
      <c r="M30" s="14" t="s">
        <v>4179</v>
      </c>
    </row>
    <row r="31" spans="1:13">
      <c r="A31" s="14" t="s">
        <v>3667</v>
      </c>
      <c r="B31" s="14" t="s">
        <v>3668</v>
      </c>
      <c r="C31" s="14" t="s">
        <v>21384</v>
      </c>
      <c r="D31" s="14" t="s">
        <v>21406</v>
      </c>
      <c r="E31" s="14">
        <v>4</v>
      </c>
      <c r="F31" s="14">
        <v>362</v>
      </c>
      <c r="G31" s="14">
        <v>38</v>
      </c>
      <c r="H31" s="14">
        <v>4984</v>
      </c>
      <c r="I31" s="14">
        <v>0.296748392415739</v>
      </c>
      <c r="J31" s="14">
        <v>0.999993588513658</v>
      </c>
      <c r="K31" s="14">
        <v>1.44925850537947</v>
      </c>
      <c r="L31" s="14" t="s">
        <v>21430</v>
      </c>
      <c r="M31" s="14" t="s">
        <v>3667</v>
      </c>
    </row>
    <row r="32" spans="1:13">
      <c r="A32" s="14" t="s">
        <v>21431</v>
      </c>
      <c r="B32" s="14" t="s">
        <v>21432</v>
      </c>
      <c r="C32" s="14" t="s">
        <v>21384</v>
      </c>
      <c r="D32" s="14" t="s">
        <v>21433</v>
      </c>
      <c r="E32" s="14">
        <v>5</v>
      </c>
      <c r="F32" s="14">
        <v>362</v>
      </c>
      <c r="G32" s="14">
        <v>40</v>
      </c>
      <c r="H32" s="14">
        <v>4984</v>
      </c>
      <c r="I32" s="14">
        <v>0.161409699725153</v>
      </c>
      <c r="J32" s="14">
        <v>0.85607510203673</v>
      </c>
      <c r="K32" s="14">
        <v>1.72099447513812</v>
      </c>
      <c r="L32" s="14" t="s">
        <v>21434</v>
      </c>
      <c r="M32" s="14" t="s">
        <v>21431</v>
      </c>
    </row>
    <row r="33" spans="1:13">
      <c r="A33" s="14" t="s">
        <v>21435</v>
      </c>
      <c r="B33" s="14" t="s">
        <v>21436</v>
      </c>
      <c r="C33" s="14" t="s">
        <v>21384</v>
      </c>
      <c r="D33" s="14" t="s">
        <v>21433</v>
      </c>
      <c r="E33" s="14">
        <v>1</v>
      </c>
      <c r="F33" s="14">
        <v>362</v>
      </c>
      <c r="G33" s="14">
        <v>11</v>
      </c>
      <c r="H33" s="14">
        <v>4984</v>
      </c>
      <c r="I33" s="14">
        <v>0.564091764590167</v>
      </c>
      <c r="J33" s="14">
        <v>0.999993588513658</v>
      </c>
      <c r="K33" s="14">
        <v>1.251632345555</v>
      </c>
      <c r="L33" s="14" t="s">
        <v>8271</v>
      </c>
      <c r="M33" s="14" t="s">
        <v>21435</v>
      </c>
    </row>
    <row r="34" spans="1:13">
      <c r="A34" s="14" t="s">
        <v>14860</v>
      </c>
      <c r="B34" s="14" t="s">
        <v>14861</v>
      </c>
      <c r="C34" s="14" t="s">
        <v>21384</v>
      </c>
      <c r="D34" s="14" t="s">
        <v>21433</v>
      </c>
      <c r="E34" s="14">
        <v>1</v>
      </c>
      <c r="F34" s="14">
        <v>362</v>
      </c>
      <c r="G34" s="14">
        <v>14</v>
      </c>
      <c r="H34" s="14">
        <v>4984</v>
      </c>
      <c r="I34" s="14">
        <v>0.652540262344045</v>
      </c>
      <c r="J34" s="14">
        <v>0.999993588513658</v>
      </c>
      <c r="K34" s="14">
        <v>0.983425414364641</v>
      </c>
      <c r="L34" s="14" t="s">
        <v>7122</v>
      </c>
      <c r="M34" s="14" t="s">
        <v>14860</v>
      </c>
    </row>
    <row r="35" spans="1:13">
      <c r="A35" s="14" t="s">
        <v>21437</v>
      </c>
      <c r="B35" s="14" t="s">
        <v>21438</v>
      </c>
      <c r="C35" s="14" t="s">
        <v>21384</v>
      </c>
      <c r="D35" s="14" t="s">
        <v>21433</v>
      </c>
      <c r="E35" s="14">
        <v>6</v>
      </c>
      <c r="F35" s="14">
        <v>362</v>
      </c>
      <c r="G35" s="14">
        <v>31</v>
      </c>
      <c r="H35" s="14">
        <v>4984</v>
      </c>
      <c r="I35" s="14">
        <v>0.0219553283942046</v>
      </c>
      <c r="J35" s="14">
        <v>0.362908663457146</v>
      </c>
      <c r="K35" s="14">
        <v>2.66476563892354</v>
      </c>
      <c r="L35" s="14" t="s">
        <v>21439</v>
      </c>
      <c r="M35" s="14" t="s">
        <v>21437</v>
      </c>
    </row>
    <row r="36" spans="1:13">
      <c r="A36" s="14" t="s">
        <v>21440</v>
      </c>
      <c r="B36" s="14" t="s">
        <v>21441</v>
      </c>
      <c r="C36" s="14" t="s">
        <v>21384</v>
      </c>
      <c r="D36" s="14" t="s">
        <v>21433</v>
      </c>
      <c r="E36" s="14">
        <v>10</v>
      </c>
      <c r="F36" s="14">
        <v>362</v>
      </c>
      <c r="G36" s="14">
        <v>78</v>
      </c>
      <c r="H36" s="14">
        <v>4984</v>
      </c>
      <c r="I36" s="14">
        <v>0.0542197967419093</v>
      </c>
      <c r="J36" s="14">
        <v>0.526002860653458</v>
      </c>
      <c r="K36" s="14">
        <v>1.7651225386032</v>
      </c>
      <c r="L36" s="14" t="s">
        <v>21442</v>
      </c>
      <c r="M36" s="14" t="s">
        <v>21440</v>
      </c>
    </row>
    <row r="37" spans="1:13">
      <c r="A37" s="14" t="s">
        <v>771</v>
      </c>
      <c r="B37" s="14" t="s">
        <v>772</v>
      </c>
      <c r="C37" s="14" t="s">
        <v>21384</v>
      </c>
      <c r="D37" s="14" t="s">
        <v>21385</v>
      </c>
      <c r="E37" s="14">
        <v>18</v>
      </c>
      <c r="F37" s="14">
        <v>362</v>
      </c>
      <c r="G37" s="14">
        <v>130</v>
      </c>
      <c r="H37" s="14">
        <v>4984</v>
      </c>
      <c r="I37" s="14">
        <v>0.00559740747675262</v>
      </c>
      <c r="J37" s="14">
        <v>0.142988318269771</v>
      </c>
      <c r="K37" s="14">
        <v>1.90633234169146</v>
      </c>
      <c r="L37" s="14" t="s">
        <v>21443</v>
      </c>
      <c r="M37" s="14" t="s">
        <v>771</v>
      </c>
    </row>
    <row r="38" spans="1:13">
      <c r="A38" s="14" t="s">
        <v>1086</v>
      </c>
      <c r="B38" s="14" t="s">
        <v>1087</v>
      </c>
      <c r="C38" s="14" t="s">
        <v>21384</v>
      </c>
      <c r="D38" s="14" t="s">
        <v>21385</v>
      </c>
      <c r="E38" s="14">
        <v>4</v>
      </c>
      <c r="F38" s="14">
        <v>362</v>
      </c>
      <c r="G38" s="14">
        <v>99</v>
      </c>
      <c r="H38" s="14">
        <v>4984</v>
      </c>
      <c r="I38" s="14">
        <v>0.936634253421727</v>
      </c>
      <c r="J38" s="14">
        <v>0.999993588513658</v>
      </c>
      <c r="K38" s="14">
        <v>0.556281042468888</v>
      </c>
      <c r="L38" s="14" t="s">
        <v>21444</v>
      </c>
      <c r="M38" s="14" t="s">
        <v>1086</v>
      </c>
    </row>
    <row r="39" spans="1:13">
      <c r="A39" s="14" t="s">
        <v>4592</v>
      </c>
      <c r="B39" s="14" t="s">
        <v>4593</v>
      </c>
      <c r="C39" s="14" t="s">
        <v>21384</v>
      </c>
      <c r="D39" s="14" t="s">
        <v>21394</v>
      </c>
      <c r="E39" s="14">
        <v>5</v>
      </c>
      <c r="F39" s="14">
        <v>362</v>
      </c>
      <c r="G39" s="14">
        <v>60</v>
      </c>
      <c r="H39" s="14">
        <v>4984</v>
      </c>
      <c r="I39" s="14">
        <v>0.44364316886068</v>
      </c>
      <c r="J39" s="14">
        <v>0.999993588513658</v>
      </c>
      <c r="K39" s="14">
        <v>1.14732965009208</v>
      </c>
      <c r="L39" s="14" t="s">
        <v>21445</v>
      </c>
      <c r="M39" s="14" t="s">
        <v>4592</v>
      </c>
    </row>
    <row r="40" spans="1:13">
      <c r="A40" s="14" t="s">
        <v>6898</v>
      </c>
      <c r="B40" s="14" t="s">
        <v>6899</v>
      </c>
      <c r="C40" s="14" t="s">
        <v>21384</v>
      </c>
      <c r="D40" s="14" t="s">
        <v>21385</v>
      </c>
      <c r="E40" s="14">
        <v>2</v>
      </c>
      <c r="F40" s="14">
        <v>362</v>
      </c>
      <c r="G40" s="14">
        <v>51</v>
      </c>
      <c r="H40" s="14">
        <v>4984</v>
      </c>
      <c r="I40" s="14">
        <v>0.894476949675081</v>
      </c>
      <c r="J40" s="14">
        <v>0.999993588513658</v>
      </c>
      <c r="K40" s="14">
        <v>0.53991983533745</v>
      </c>
      <c r="L40" s="14" t="s">
        <v>21446</v>
      </c>
      <c r="M40" s="14" t="s">
        <v>6898</v>
      </c>
    </row>
    <row r="41" spans="1:13">
      <c r="A41" s="14" t="s">
        <v>2596</v>
      </c>
      <c r="B41" s="14" t="s">
        <v>2597</v>
      </c>
      <c r="C41" s="14" t="s">
        <v>21384</v>
      </c>
      <c r="D41" s="14" t="s">
        <v>21394</v>
      </c>
      <c r="E41" s="14">
        <v>9</v>
      </c>
      <c r="F41" s="14">
        <v>362</v>
      </c>
      <c r="G41" s="14">
        <v>86</v>
      </c>
      <c r="H41" s="14">
        <v>4984</v>
      </c>
      <c r="I41" s="14">
        <v>0.169916417268961</v>
      </c>
      <c r="J41" s="14">
        <v>0.85607510203673</v>
      </c>
      <c r="K41" s="14">
        <v>1.44083258383657</v>
      </c>
      <c r="L41" s="14" t="s">
        <v>21447</v>
      </c>
      <c r="M41" s="14" t="s">
        <v>2596</v>
      </c>
    </row>
    <row r="42" spans="1:13">
      <c r="A42" s="14" t="s">
        <v>21448</v>
      </c>
      <c r="B42" s="14" t="s">
        <v>21449</v>
      </c>
      <c r="C42" s="14" t="s">
        <v>21384</v>
      </c>
      <c r="D42" s="14" t="s">
        <v>21394</v>
      </c>
      <c r="E42" s="14">
        <v>4</v>
      </c>
      <c r="F42" s="14">
        <v>362</v>
      </c>
      <c r="G42" s="14">
        <v>26</v>
      </c>
      <c r="H42" s="14">
        <v>4984</v>
      </c>
      <c r="I42" s="14">
        <v>0.115491276004592</v>
      </c>
      <c r="J42" s="14">
        <v>0.728228376073847</v>
      </c>
      <c r="K42" s="14">
        <v>2.11814704632384</v>
      </c>
      <c r="L42" s="14" t="s">
        <v>21450</v>
      </c>
      <c r="M42" s="14" t="s">
        <v>21448</v>
      </c>
    </row>
    <row r="43" spans="1:13">
      <c r="A43" s="14" t="s">
        <v>21451</v>
      </c>
      <c r="B43" s="14" t="s">
        <v>21452</v>
      </c>
      <c r="C43" s="14" t="s">
        <v>21384</v>
      </c>
      <c r="D43" s="14" t="s">
        <v>21394</v>
      </c>
      <c r="E43" s="14">
        <v>3</v>
      </c>
      <c r="F43" s="14">
        <v>362</v>
      </c>
      <c r="G43" s="14">
        <v>7</v>
      </c>
      <c r="H43" s="14">
        <v>4984</v>
      </c>
      <c r="I43" s="14">
        <v>0.0106690335245433</v>
      </c>
      <c r="J43" s="14">
        <v>0.230615263107436</v>
      </c>
      <c r="K43" s="14">
        <v>5.90055248618784</v>
      </c>
      <c r="L43" s="14" t="s">
        <v>21453</v>
      </c>
      <c r="M43" s="14" t="s">
        <v>21451</v>
      </c>
    </row>
    <row r="44" spans="1:13">
      <c r="A44" s="14" t="s">
        <v>9343</v>
      </c>
      <c r="B44" s="14" t="s">
        <v>9344</v>
      </c>
      <c r="C44" s="14" t="s">
        <v>21384</v>
      </c>
      <c r="D44" s="14" t="s">
        <v>21394</v>
      </c>
      <c r="E44" s="14">
        <v>5</v>
      </c>
      <c r="F44" s="14">
        <v>362</v>
      </c>
      <c r="G44" s="14">
        <v>15</v>
      </c>
      <c r="H44" s="14">
        <v>4984</v>
      </c>
      <c r="I44" s="14">
        <v>0.00321060304070801</v>
      </c>
      <c r="J44" s="14">
        <v>0.112772431804869</v>
      </c>
      <c r="K44" s="14">
        <v>4.58931860036832</v>
      </c>
      <c r="L44" s="14" t="s">
        <v>21454</v>
      </c>
      <c r="M44" s="14" t="s">
        <v>9343</v>
      </c>
    </row>
    <row r="45" spans="1:13">
      <c r="A45" s="14" t="s">
        <v>3188</v>
      </c>
      <c r="B45" s="14" t="s">
        <v>3189</v>
      </c>
      <c r="C45" s="14" t="s">
        <v>21384</v>
      </c>
      <c r="D45" s="14" t="s">
        <v>21394</v>
      </c>
      <c r="E45" s="14">
        <v>14</v>
      </c>
      <c r="F45" s="14">
        <v>362</v>
      </c>
      <c r="G45" s="14">
        <v>50</v>
      </c>
      <c r="H45" s="14">
        <v>4984</v>
      </c>
      <c r="I45" s="36">
        <v>7.44178013776253e-6</v>
      </c>
      <c r="J45" s="14">
        <v>0.000697046739570424</v>
      </c>
      <c r="K45" s="14">
        <v>3.85502762430939</v>
      </c>
      <c r="L45" s="14" t="s">
        <v>21455</v>
      </c>
      <c r="M45" s="14" t="s">
        <v>3188</v>
      </c>
    </row>
    <row r="46" spans="1:13">
      <c r="A46" s="14" t="s">
        <v>21456</v>
      </c>
      <c r="B46" s="14" t="s">
        <v>21457</v>
      </c>
      <c r="C46" s="14" t="s">
        <v>21384</v>
      </c>
      <c r="D46" s="14" t="s">
        <v>21394</v>
      </c>
      <c r="E46" s="14">
        <v>1</v>
      </c>
      <c r="F46" s="14">
        <v>362</v>
      </c>
      <c r="G46" s="14">
        <v>26</v>
      </c>
      <c r="H46" s="14">
        <v>4984</v>
      </c>
      <c r="I46" s="14">
        <v>0.859936921656292</v>
      </c>
      <c r="J46" s="14">
        <v>0.999993588513658</v>
      </c>
      <c r="K46" s="14">
        <v>0.52953676158096</v>
      </c>
      <c r="L46" s="14" t="s">
        <v>15253</v>
      </c>
      <c r="M46" s="14" t="s">
        <v>21456</v>
      </c>
    </row>
    <row r="47" spans="1:13">
      <c r="A47" s="14" t="s">
        <v>21458</v>
      </c>
      <c r="B47" s="14" t="s">
        <v>21459</v>
      </c>
      <c r="C47" s="14" t="s">
        <v>21384</v>
      </c>
      <c r="D47" s="14" t="s">
        <v>21460</v>
      </c>
      <c r="E47" s="14">
        <v>1</v>
      </c>
      <c r="F47" s="14">
        <v>362</v>
      </c>
      <c r="G47" s="14">
        <v>12</v>
      </c>
      <c r="H47" s="14">
        <v>4984</v>
      </c>
      <c r="I47" s="14">
        <v>0.595822868796554</v>
      </c>
      <c r="J47" s="14">
        <v>0.999993588513658</v>
      </c>
      <c r="K47" s="14">
        <v>1.14732965009208</v>
      </c>
      <c r="L47" s="14" t="s">
        <v>8151</v>
      </c>
      <c r="M47" s="14" t="s">
        <v>21458</v>
      </c>
    </row>
    <row r="48" spans="1:13">
      <c r="A48" s="14" t="s">
        <v>3844</v>
      </c>
      <c r="B48" s="14" t="s">
        <v>3845</v>
      </c>
      <c r="C48" s="14" t="s">
        <v>21384</v>
      </c>
      <c r="D48" s="14" t="s">
        <v>21385</v>
      </c>
      <c r="E48" s="14">
        <v>3</v>
      </c>
      <c r="F48" s="14">
        <v>362</v>
      </c>
      <c r="G48" s="14">
        <v>85</v>
      </c>
      <c r="H48" s="14">
        <v>4984</v>
      </c>
      <c r="I48" s="14">
        <v>0.952678267971396</v>
      </c>
      <c r="J48" s="14">
        <v>0.999993588513658</v>
      </c>
      <c r="K48" s="14">
        <v>0.485927851803705</v>
      </c>
      <c r="L48" s="14" t="s">
        <v>21461</v>
      </c>
      <c r="M48" s="14" t="s">
        <v>3844</v>
      </c>
    </row>
    <row r="49" spans="1:13">
      <c r="A49" s="14" t="s">
        <v>21462</v>
      </c>
      <c r="B49" s="14" t="s">
        <v>21463</v>
      </c>
      <c r="C49" s="14" t="s">
        <v>21384</v>
      </c>
      <c r="D49" s="14" t="s">
        <v>21464</v>
      </c>
      <c r="E49" s="14">
        <v>2</v>
      </c>
      <c r="F49" s="14">
        <v>362</v>
      </c>
      <c r="G49" s="14">
        <v>14</v>
      </c>
      <c r="H49" s="14">
        <v>4984</v>
      </c>
      <c r="I49" s="14">
        <v>0.270477786657261</v>
      </c>
      <c r="J49" s="14">
        <v>0.999993588513658</v>
      </c>
      <c r="K49" s="14">
        <v>1.96685082872928</v>
      </c>
      <c r="L49" s="14" t="s">
        <v>21465</v>
      </c>
      <c r="M49" s="14" t="s">
        <v>21462</v>
      </c>
    </row>
    <row r="50" spans="1:13">
      <c r="A50" s="14" t="s">
        <v>5329</v>
      </c>
      <c r="B50" s="14" t="s">
        <v>5330</v>
      </c>
      <c r="C50" s="14" t="s">
        <v>21384</v>
      </c>
      <c r="D50" s="14" t="s">
        <v>21385</v>
      </c>
      <c r="E50" s="14">
        <v>2</v>
      </c>
      <c r="F50" s="14">
        <v>362</v>
      </c>
      <c r="G50" s="14">
        <v>61</v>
      </c>
      <c r="H50" s="14">
        <v>4984</v>
      </c>
      <c r="I50" s="14">
        <v>0.942955309341996</v>
      </c>
      <c r="J50" s="14">
        <v>0.999993588513658</v>
      </c>
      <c r="K50" s="14">
        <v>0.451408386921475</v>
      </c>
      <c r="L50" s="14" t="s">
        <v>21466</v>
      </c>
      <c r="M50" s="14" t="s">
        <v>5329</v>
      </c>
    </row>
    <row r="51" spans="1:13">
      <c r="A51" s="14" t="s">
        <v>21467</v>
      </c>
      <c r="B51" s="14" t="s">
        <v>21468</v>
      </c>
      <c r="C51" s="14" t="s">
        <v>21384</v>
      </c>
      <c r="D51" s="14" t="s">
        <v>21385</v>
      </c>
      <c r="E51" s="14">
        <v>2</v>
      </c>
      <c r="F51" s="14">
        <v>362</v>
      </c>
      <c r="G51" s="14">
        <v>37</v>
      </c>
      <c r="H51" s="14">
        <v>4984</v>
      </c>
      <c r="I51" s="14">
        <v>0.761708935602253</v>
      </c>
      <c r="J51" s="14">
        <v>0.999993588513658</v>
      </c>
      <c r="K51" s="14">
        <v>0.744213827086755</v>
      </c>
      <c r="L51" s="14" t="s">
        <v>21469</v>
      </c>
      <c r="M51" s="14" t="s">
        <v>21467</v>
      </c>
    </row>
    <row r="52" spans="1:13">
      <c r="A52" s="14" t="s">
        <v>21470</v>
      </c>
      <c r="B52" s="14" t="s">
        <v>21471</v>
      </c>
      <c r="C52" s="14" t="s">
        <v>21384</v>
      </c>
      <c r="D52" s="14" t="s">
        <v>21464</v>
      </c>
      <c r="E52" s="14">
        <v>2</v>
      </c>
      <c r="F52" s="14">
        <v>362</v>
      </c>
      <c r="G52" s="14">
        <v>16</v>
      </c>
      <c r="H52" s="14">
        <v>4984</v>
      </c>
      <c r="I52" s="14">
        <v>0.325808689724875</v>
      </c>
      <c r="J52" s="14">
        <v>0.999993588513658</v>
      </c>
      <c r="K52" s="14">
        <v>1.72099447513812</v>
      </c>
      <c r="L52" s="14" t="s">
        <v>21465</v>
      </c>
      <c r="M52" s="14" t="s">
        <v>21470</v>
      </c>
    </row>
    <row r="53" spans="1:13">
      <c r="A53" s="14" t="s">
        <v>21472</v>
      </c>
      <c r="B53" s="14" t="s">
        <v>21473</v>
      </c>
      <c r="C53" s="14" t="s">
        <v>21384</v>
      </c>
      <c r="D53" s="14" t="s">
        <v>21385</v>
      </c>
      <c r="E53" s="14">
        <v>2</v>
      </c>
      <c r="F53" s="14">
        <v>362</v>
      </c>
      <c r="G53" s="14">
        <v>19</v>
      </c>
      <c r="H53" s="14">
        <v>4984</v>
      </c>
      <c r="I53" s="14">
        <v>0.406393793757281</v>
      </c>
      <c r="J53" s="14">
        <v>0.999993588513658</v>
      </c>
      <c r="K53" s="14">
        <v>1.44925850537947</v>
      </c>
      <c r="L53" s="14" t="s">
        <v>21474</v>
      </c>
      <c r="M53" s="14" t="s">
        <v>21472</v>
      </c>
    </row>
    <row r="54" spans="1:13">
      <c r="A54" s="14" t="s">
        <v>21475</v>
      </c>
      <c r="B54" s="14" t="s">
        <v>21476</v>
      </c>
      <c r="C54" s="14" t="s">
        <v>21384</v>
      </c>
      <c r="D54" s="14" t="s">
        <v>21385</v>
      </c>
      <c r="E54" s="14">
        <v>1</v>
      </c>
      <c r="F54" s="14">
        <v>362</v>
      </c>
      <c r="G54" s="14">
        <v>6</v>
      </c>
      <c r="H54" s="14">
        <v>4984</v>
      </c>
      <c r="I54" s="14">
        <v>0.364070464915605</v>
      </c>
      <c r="J54" s="14">
        <v>0.999993588513658</v>
      </c>
      <c r="K54" s="14">
        <v>2.29465930018416</v>
      </c>
      <c r="L54" s="14" t="s">
        <v>12946</v>
      </c>
      <c r="M54" s="14" t="s">
        <v>21475</v>
      </c>
    </row>
    <row r="55" spans="1:13">
      <c r="A55" s="14" t="s">
        <v>21477</v>
      </c>
      <c r="B55" s="14" t="s">
        <v>21478</v>
      </c>
      <c r="C55" s="14" t="s">
        <v>21384</v>
      </c>
      <c r="D55" s="14" t="s">
        <v>21400</v>
      </c>
      <c r="E55" s="14">
        <v>2</v>
      </c>
      <c r="F55" s="14">
        <v>362</v>
      </c>
      <c r="G55" s="14">
        <v>46</v>
      </c>
      <c r="H55" s="14">
        <v>4984</v>
      </c>
      <c r="I55" s="14">
        <v>0.857823509771243</v>
      </c>
      <c r="J55" s="14">
        <v>0.999993588513658</v>
      </c>
      <c r="K55" s="14">
        <v>0.598606773961086</v>
      </c>
      <c r="L55" s="14" t="s">
        <v>21479</v>
      </c>
      <c r="M55" s="14" t="s">
        <v>21477</v>
      </c>
    </row>
    <row r="56" spans="1:13">
      <c r="A56" s="14" t="s">
        <v>3487</v>
      </c>
      <c r="B56" s="14" t="s">
        <v>3488</v>
      </c>
      <c r="C56" s="14" t="s">
        <v>21384</v>
      </c>
      <c r="D56" s="14" t="s">
        <v>21400</v>
      </c>
      <c r="E56" s="14">
        <v>4</v>
      </c>
      <c r="F56" s="14">
        <v>362</v>
      </c>
      <c r="G56" s="14">
        <v>68</v>
      </c>
      <c r="H56" s="14">
        <v>4984</v>
      </c>
      <c r="I56" s="14">
        <v>0.738684961772919</v>
      </c>
      <c r="J56" s="14">
        <v>0.999993588513658</v>
      </c>
      <c r="K56" s="14">
        <v>0.809879753006175</v>
      </c>
      <c r="L56" s="14" t="s">
        <v>21480</v>
      </c>
      <c r="M56" s="14" t="s">
        <v>3487</v>
      </c>
    </row>
    <row r="57" spans="1:13">
      <c r="A57" s="14" t="s">
        <v>21481</v>
      </c>
      <c r="B57" s="14" t="s">
        <v>21482</v>
      </c>
      <c r="C57" s="14" t="s">
        <v>21384</v>
      </c>
      <c r="D57" s="14" t="s">
        <v>21400</v>
      </c>
      <c r="E57" s="14">
        <v>1</v>
      </c>
      <c r="F57" s="14">
        <v>362</v>
      </c>
      <c r="G57" s="14">
        <v>31</v>
      </c>
      <c r="H57" s="14">
        <v>4984</v>
      </c>
      <c r="I57" s="14">
        <v>0.904143378415085</v>
      </c>
      <c r="J57" s="14">
        <v>0.999993588513658</v>
      </c>
      <c r="K57" s="14">
        <v>0.444127606487257</v>
      </c>
      <c r="L57" s="14" t="s">
        <v>9095</v>
      </c>
      <c r="M57" s="14" t="s">
        <v>21481</v>
      </c>
    </row>
    <row r="58" spans="1:13">
      <c r="A58" s="14" t="s">
        <v>2019</v>
      </c>
      <c r="B58" s="14" t="s">
        <v>2020</v>
      </c>
      <c r="C58" s="14" t="s">
        <v>21384</v>
      </c>
      <c r="D58" s="14" t="s">
        <v>21483</v>
      </c>
      <c r="E58" s="14">
        <v>3</v>
      </c>
      <c r="F58" s="14">
        <v>362</v>
      </c>
      <c r="G58" s="14">
        <v>22</v>
      </c>
      <c r="H58" s="14">
        <v>4984</v>
      </c>
      <c r="I58" s="14">
        <v>0.211680715152213</v>
      </c>
      <c r="J58" s="14">
        <v>0.994298645306563</v>
      </c>
      <c r="K58" s="14">
        <v>1.8774485183325</v>
      </c>
      <c r="L58" s="14" t="s">
        <v>21484</v>
      </c>
      <c r="M58" s="14" t="s">
        <v>2019</v>
      </c>
    </row>
    <row r="59" spans="1:13">
      <c r="A59" s="14" t="s">
        <v>1219</v>
      </c>
      <c r="B59" s="14" t="s">
        <v>1220</v>
      </c>
      <c r="C59" s="14" t="s">
        <v>21384</v>
      </c>
      <c r="D59" s="14" t="s">
        <v>21483</v>
      </c>
      <c r="E59" s="14">
        <v>1</v>
      </c>
      <c r="F59" s="14">
        <v>362</v>
      </c>
      <c r="G59" s="14">
        <v>21</v>
      </c>
      <c r="H59" s="14">
        <v>4984</v>
      </c>
      <c r="I59" s="14">
        <v>0.795424901523977</v>
      </c>
      <c r="J59" s="14">
        <v>0.999993588513658</v>
      </c>
      <c r="K59" s="14">
        <v>0.655616942909761</v>
      </c>
      <c r="L59" s="14" t="s">
        <v>7152</v>
      </c>
      <c r="M59" s="14" t="s">
        <v>1219</v>
      </c>
    </row>
    <row r="60" spans="1:13">
      <c r="A60" s="14" t="s">
        <v>21485</v>
      </c>
      <c r="B60" s="14" t="s">
        <v>21486</v>
      </c>
      <c r="C60" s="14" t="s">
        <v>21384</v>
      </c>
      <c r="D60" s="14" t="s">
        <v>21483</v>
      </c>
      <c r="E60" s="14">
        <v>1</v>
      </c>
      <c r="F60" s="14">
        <v>362</v>
      </c>
      <c r="G60" s="14">
        <v>28</v>
      </c>
      <c r="H60" s="14">
        <v>4984</v>
      </c>
      <c r="I60" s="14">
        <v>0.879645104104618</v>
      </c>
      <c r="J60" s="14">
        <v>0.999993588513658</v>
      </c>
      <c r="K60" s="14">
        <v>0.49171270718232</v>
      </c>
      <c r="L60" s="14" t="s">
        <v>12946</v>
      </c>
      <c r="M60" s="14" t="s">
        <v>21485</v>
      </c>
    </row>
    <row r="61" spans="1:13">
      <c r="A61" s="14" t="s">
        <v>2782</v>
      </c>
      <c r="B61" s="14" t="s">
        <v>2783</v>
      </c>
      <c r="C61" s="14" t="s">
        <v>21384</v>
      </c>
      <c r="D61" s="14" t="s">
        <v>21483</v>
      </c>
      <c r="E61" s="14">
        <v>1</v>
      </c>
      <c r="F61" s="14">
        <v>362</v>
      </c>
      <c r="G61" s="14">
        <v>21</v>
      </c>
      <c r="H61" s="14">
        <v>4984</v>
      </c>
      <c r="I61" s="14">
        <v>0.795424901523977</v>
      </c>
      <c r="J61" s="14">
        <v>0.999993588513658</v>
      </c>
      <c r="K61" s="14">
        <v>0.655616942909761</v>
      </c>
      <c r="L61" s="14" t="s">
        <v>15577</v>
      </c>
      <c r="M61" s="14" t="s">
        <v>2782</v>
      </c>
    </row>
    <row r="62" spans="1:13">
      <c r="A62" s="14" t="s">
        <v>3823</v>
      </c>
      <c r="B62" s="14" t="s">
        <v>3824</v>
      </c>
      <c r="C62" s="14" t="s">
        <v>21384</v>
      </c>
      <c r="D62" s="14" t="s">
        <v>21483</v>
      </c>
      <c r="E62" s="14">
        <v>3</v>
      </c>
      <c r="F62" s="14">
        <v>362</v>
      </c>
      <c r="G62" s="14">
        <v>24</v>
      </c>
      <c r="H62" s="14">
        <v>4984</v>
      </c>
      <c r="I62" s="14">
        <v>0.251228483333687</v>
      </c>
      <c r="J62" s="14">
        <v>0.994298645306563</v>
      </c>
      <c r="K62" s="14">
        <v>1.72099447513812</v>
      </c>
      <c r="L62" s="14" t="s">
        <v>21487</v>
      </c>
      <c r="M62" s="14" t="s">
        <v>3823</v>
      </c>
    </row>
    <row r="63" spans="1:13">
      <c r="A63" s="14" t="s">
        <v>841</v>
      </c>
      <c r="B63" s="14" t="s">
        <v>842</v>
      </c>
      <c r="C63" s="14" t="s">
        <v>21384</v>
      </c>
      <c r="D63" s="14" t="s">
        <v>21483</v>
      </c>
      <c r="E63" s="14">
        <v>3</v>
      </c>
      <c r="F63" s="14">
        <v>362</v>
      </c>
      <c r="G63" s="14">
        <v>47</v>
      </c>
      <c r="H63" s="14">
        <v>4984</v>
      </c>
      <c r="I63" s="14">
        <v>0.674379603969123</v>
      </c>
      <c r="J63" s="14">
        <v>0.999993588513658</v>
      </c>
      <c r="K63" s="14">
        <v>0.878805689432232</v>
      </c>
      <c r="L63" s="14" t="s">
        <v>17344</v>
      </c>
      <c r="M63" s="14" t="s">
        <v>841</v>
      </c>
    </row>
    <row r="64" spans="1:13">
      <c r="A64" s="14" t="s">
        <v>565</v>
      </c>
      <c r="B64" s="14" t="s">
        <v>566</v>
      </c>
      <c r="C64" s="14" t="s">
        <v>21384</v>
      </c>
      <c r="D64" s="14" t="s">
        <v>21488</v>
      </c>
      <c r="E64" s="14">
        <v>6</v>
      </c>
      <c r="F64" s="14">
        <v>362</v>
      </c>
      <c r="G64" s="14">
        <v>51</v>
      </c>
      <c r="H64" s="14">
        <v>4984</v>
      </c>
      <c r="I64" s="14">
        <v>0.162335985707774</v>
      </c>
      <c r="J64" s="14">
        <v>0.85607510203673</v>
      </c>
      <c r="K64" s="14">
        <v>1.61975950601235</v>
      </c>
      <c r="L64" s="14" t="s">
        <v>21489</v>
      </c>
      <c r="M64" s="14" t="s">
        <v>565</v>
      </c>
    </row>
    <row r="65" spans="1:13">
      <c r="A65" s="14" t="s">
        <v>294</v>
      </c>
      <c r="B65" s="14" t="s">
        <v>295</v>
      </c>
      <c r="C65" s="14" t="s">
        <v>21384</v>
      </c>
      <c r="D65" s="14" t="s">
        <v>21488</v>
      </c>
      <c r="E65" s="14">
        <v>4</v>
      </c>
      <c r="F65" s="14">
        <v>362</v>
      </c>
      <c r="G65" s="14">
        <v>23</v>
      </c>
      <c r="H65" s="14">
        <v>4984</v>
      </c>
      <c r="I65" s="14">
        <v>0.080899877865764</v>
      </c>
      <c r="J65" s="14">
        <v>0.668613696478814</v>
      </c>
      <c r="K65" s="14">
        <v>2.39442709584434</v>
      </c>
      <c r="L65" s="14" t="s">
        <v>21490</v>
      </c>
      <c r="M65" s="14" t="s">
        <v>294</v>
      </c>
    </row>
    <row r="66" spans="1:13">
      <c r="A66" s="14" t="s">
        <v>8085</v>
      </c>
      <c r="B66" s="14" t="s">
        <v>8086</v>
      </c>
      <c r="C66" s="14" t="s">
        <v>21384</v>
      </c>
      <c r="D66" s="14" t="s">
        <v>21488</v>
      </c>
      <c r="E66" s="14">
        <v>3</v>
      </c>
      <c r="F66" s="14">
        <v>362</v>
      </c>
      <c r="G66" s="14">
        <v>10</v>
      </c>
      <c r="H66" s="14">
        <v>4984</v>
      </c>
      <c r="I66" s="14">
        <v>0.0310622172322914</v>
      </c>
      <c r="J66" s="14">
        <v>0.37949926270756</v>
      </c>
      <c r="K66" s="14">
        <v>4.13038674033149</v>
      </c>
      <c r="L66" s="14" t="s">
        <v>21491</v>
      </c>
      <c r="M66" s="14" t="s">
        <v>8085</v>
      </c>
    </row>
    <row r="67" spans="1:13">
      <c r="A67" s="14" t="s">
        <v>798</v>
      </c>
      <c r="B67" s="14" t="s">
        <v>799</v>
      </c>
      <c r="C67" s="14" t="s">
        <v>21384</v>
      </c>
      <c r="D67" s="14" t="s">
        <v>21488</v>
      </c>
      <c r="E67" s="14">
        <v>6</v>
      </c>
      <c r="F67" s="14">
        <v>362</v>
      </c>
      <c r="G67" s="14">
        <v>36</v>
      </c>
      <c r="H67" s="14">
        <v>4984</v>
      </c>
      <c r="I67" s="14">
        <v>0.042871980531951</v>
      </c>
      <c r="J67" s="14">
        <v>0.481881061179129</v>
      </c>
      <c r="K67" s="14">
        <v>2.29465930018416</v>
      </c>
      <c r="L67" s="14" t="s">
        <v>21492</v>
      </c>
      <c r="M67" s="14" t="s">
        <v>798</v>
      </c>
    </row>
    <row r="68" spans="1:13">
      <c r="A68" s="14" t="s">
        <v>907</v>
      </c>
      <c r="B68" s="14" t="s">
        <v>908</v>
      </c>
      <c r="C68" s="14" t="s">
        <v>21384</v>
      </c>
      <c r="D68" s="14" t="s">
        <v>21488</v>
      </c>
      <c r="E68" s="14">
        <v>3</v>
      </c>
      <c r="F68" s="14">
        <v>362</v>
      </c>
      <c r="G68" s="14">
        <v>23</v>
      </c>
      <c r="H68" s="14">
        <v>4984</v>
      </c>
      <c r="I68" s="14">
        <v>0.23129784074518</v>
      </c>
      <c r="J68" s="14">
        <v>0.994298645306563</v>
      </c>
      <c r="K68" s="14">
        <v>1.79582032188326</v>
      </c>
      <c r="L68" s="14" t="s">
        <v>21493</v>
      </c>
      <c r="M68" s="14" t="s">
        <v>907</v>
      </c>
    </row>
    <row r="69" spans="1:13">
      <c r="A69" s="14" t="s">
        <v>2361</v>
      </c>
      <c r="B69" s="14" t="s">
        <v>2362</v>
      </c>
      <c r="C69" s="14" t="s">
        <v>21384</v>
      </c>
      <c r="D69" s="14" t="s">
        <v>21488</v>
      </c>
      <c r="E69" s="14">
        <v>3</v>
      </c>
      <c r="F69" s="14">
        <v>362</v>
      </c>
      <c r="G69" s="14">
        <v>23</v>
      </c>
      <c r="H69" s="14">
        <v>4984</v>
      </c>
      <c r="I69" s="14">
        <v>0.23129784074518</v>
      </c>
      <c r="J69" s="14">
        <v>0.994298645306563</v>
      </c>
      <c r="K69" s="14">
        <v>1.79582032188326</v>
      </c>
      <c r="L69" s="14" t="s">
        <v>21494</v>
      </c>
      <c r="M69" s="14" t="s">
        <v>2361</v>
      </c>
    </row>
    <row r="70" spans="1:13">
      <c r="A70" s="14" t="s">
        <v>5747</v>
      </c>
      <c r="B70" s="14" t="s">
        <v>5748</v>
      </c>
      <c r="C70" s="14" t="s">
        <v>21384</v>
      </c>
      <c r="D70" s="14" t="s">
        <v>21400</v>
      </c>
      <c r="E70" s="14">
        <v>5</v>
      </c>
      <c r="F70" s="14">
        <v>362</v>
      </c>
      <c r="G70" s="14">
        <v>32</v>
      </c>
      <c r="H70" s="14">
        <v>4984</v>
      </c>
      <c r="I70" s="14">
        <v>0.0783517957893588</v>
      </c>
      <c r="J70" s="14">
        <v>0.6671774126306</v>
      </c>
      <c r="K70" s="14">
        <v>2.15124309392265</v>
      </c>
      <c r="L70" s="14" t="s">
        <v>21495</v>
      </c>
      <c r="M70" s="14" t="s">
        <v>5747</v>
      </c>
    </row>
    <row r="71" spans="1:13">
      <c r="A71" s="14" t="s">
        <v>6555</v>
      </c>
      <c r="B71" s="14" t="s">
        <v>6556</v>
      </c>
      <c r="C71" s="14" t="s">
        <v>21384</v>
      </c>
      <c r="D71" s="14" t="s">
        <v>21400</v>
      </c>
      <c r="E71" s="14">
        <v>1</v>
      </c>
      <c r="F71" s="14">
        <v>362</v>
      </c>
      <c r="G71" s="14">
        <v>30</v>
      </c>
      <c r="H71" s="14">
        <v>4984</v>
      </c>
      <c r="I71" s="14">
        <v>0.896586737079341</v>
      </c>
      <c r="J71" s="14">
        <v>0.999993588513658</v>
      </c>
      <c r="K71" s="14">
        <v>0.458931860036832</v>
      </c>
      <c r="L71" s="14" t="s">
        <v>15717</v>
      </c>
      <c r="M71" s="14" t="s">
        <v>6555</v>
      </c>
    </row>
    <row r="72" spans="1:13">
      <c r="A72" s="14" t="s">
        <v>556</v>
      </c>
      <c r="B72" s="14" t="s">
        <v>557</v>
      </c>
      <c r="C72" s="14" t="s">
        <v>21384</v>
      </c>
      <c r="D72" s="14" t="s">
        <v>21421</v>
      </c>
      <c r="E72" s="14">
        <v>23</v>
      </c>
      <c r="F72" s="14">
        <v>362</v>
      </c>
      <c r="G72" s="14">
        <v>110</v>
      </c>
      <c r="H72" s="14">
        <v>4984</v>
      </c>
      <c r="I72" s="36">
        <v>2.61975384943282e-6</v>
      </c>
      <c r="J72" s="14">
        <v>0.000368075415845311</v>
      </c>
      <c r="K72" s="14">
        <v>2.87875439477649</v>
      </c>
      <c r="L72" s="14" t="s">
        <v>21496</v>
      </c>
      <c r="M72" s="14" t="s">
        <v>556</v>
      </c>
    </row>
    <row r="73" spans="1:13">
      <c r="A73" s="14" t="s">
        <v>3258</v>
      </c>
      <c r="B73" s="14" t="s">
        <v>3259</v>
      </c>
      <c r="C73" s="14" t="s">
        <v>21384</v>
      </c>
      <c r="D73" s="14" t="s">
        <v>21421</v>
      </c>
      <c r="E73" s="14">
        <v>7</v>
      </c>
      <c r="F73" s="14">
        <v>362</v>
      </c>
      <c r="G73" s="14">
        <v>41</v>
      </c>
      <c r="H73" s="14">
        <v>4984</v>
      </c>
      <c r="I73" s="14">
        <v>0.0263845952371573</v>
      </c>
      <c r="J73" s="14">
        <v>0.370688958492956</v>
      </c>
      <c r="K73" s="14">
        <v>2.35062660018865</v>
      </c>
      <c r="L73" s="14" t="s">
        <v>21497</v>
      </c>
      <c r="M73" s="14" t="s">
        <v>3258</v>
      </c>
    </row>
    <row r="74" spans="1:13">
      <c r="A74" s="14" t="s">
        <v>21498</v>
      </c>
      <c r="B74" s="14" t="s">
        <v>21499</v>
      </c>
      <c r="C74" s="14" t="s">
        <v>21384</v>
      </c>
      <c r="D74" s="14" t="s">
        <v>21421</v>
      </c>
      <c r="E74" s="14">
        <v>4</v>
      </c>
      <c r="F74" s="14">
        <v>362</v>
      </c>
      <c r="G74" s="14">
        <v>22</v>
      </c>
      <c r="H74" s="14">
        <v>4984</v>
      </c>
      <c r="I74" s="14">
        <v>0.0706999385683851</v>
      </c>
      <c r="J74" s="14">
        <v>0.662222757923874</v>
      </c>
      <c r="K74" s="14">
        <v>2.50326469110999</v>
      </c>
      <c r="L74" s="14" t="s">
        <v>21500</v>
      </c>
      <c r="M74" s="14" t="s">
        <v>21498</v>
      </c>
    </row>
    <row r="75" spans="1:13">
      <c r="A75" s="14" t="s">
        <v>21501</v>
      </c>
      <c r="B75" s="14" t="s">
        <v>21502</v>
      </c>
      <c r="C75" s="14" t="s">
        <v>21384</v>
      </c>
      <c r="D75" s="14" t="s">
        <v>21421</v>
      </c>
      <c r="E75" s="14">
        <v>3</v>
      </c>
      <c r="F75" s="14">
        <v>362</v>
      </c>
      <c r="G75" s="14">
        <v>8</v>
      </c>
      <c r="H75" s="14">
        <v>4984</v>
      </c>
      <c r="I75" s="14">
        <v>0.0161614587890002</v>
      </c>
      <c r="J75" s="14">
        <v>0.30275799464727</v>
      </c>
      <c r="K75" s="14">
        <v>5.16298342541436</v>
      </c>
      <c r="L75" s="14" t="s">
        <v>21503</v>
      </c>
      <c r="M75" s="14" t="s">
        <v>21501</v>
      </c>
    </row>
    <row r="76" spans="1:13">
      <c r="A76" s="14" t="s">
        <v>1936</v>
      </c>
      <c r="B76" s="14" t="s">
        <v>1937</v>
      </c>
      <c r="C76" s="14" t="s">
        <v>21384</v>
      </c>
      <c r="D76" s="14" t="s">
        <v>21421</v>
      </c>
      <c r="E76" s="14">
        <v>2</v>
      </c>
      <c r="F76" s="14">
        <v>362</v>
      </c>
      <c r="G76" s="14">
        <v>26</v>
      </c>
      <c r="H76" s="14">
        <v>4984</v>
      </c>
      <c r="I76" s="14">
        <v>0.573168661188382</v>
      </c>
      <c r="J76" s="14">
        <v>0.999993588513658</v>
      </c>
      <c r="K76" s="14">
        <v>1.05907352316192</v>
      </c>
      <c r="L76" s="14" t="s">
        <v>21504</v>
      </c>
      <c r="M76" s="14" t="s">
        <v>1936</v>
      </c>
    </row>
    <row r="77" spans="1:13">
      <c r="A77" s="14" t="s">
        <v>21505</v>
      </c>
      <c r="B77" s="14" t="s">
        <v>21506</v>
      </c>
      <c r="C77" s="14" t="s">
        <v>21384</v>
      </c>
      <c r="D77" s="14" t="s">
        <v>21421</v>
      </c>
      <c r="E77" s="14">
        <v>1</v>
      </c>
      <c r="F77" s="14">
        <v>362</v>
      </c>
      <c r="G77" s="14">
        <v>9</v>
      </c>
      <c r="H77" s="14">
        <v>4984</v>
      </c>
      <c r="I77" s="14">
        <v>0.492984557877304</v>
      </c>
      <c r="J77" s="14">
        <v>0.999993588513658</v>
      </c>
      <c r="K77" s="14">
        <v>1.52977286678944</v>
      </c>
      <c r="L77" s="14" t="s">
        <v>732</v>
      </c>
      <c r="M77" s="14" t="s">
        <v>21505</v>
      </c>
    </row>
    <row r="78" spans="1:13">
      <c r="A78" s="14" t="s">
        <v>6520</v>
      </c>
      <c r="B78" s="14" t="s">
        <v>6521</v>
      </c>
      <c r="C78" s="14" t="s">
        <v>21507</v>
      </c>
      <c r="D78" s="14" t="s">
        <v>21508</v>
      </c>
      <c r="E78" s="14">
        <v>2</v>
      </c>
      <c r="F78" s="14">
        <v>362</v>
      </c>
      <c r="G78" s="14">
        <v>55</v>
      </c>
      <c r="H78" s="14">
        <v>4984</v>
      </c>
      <c r="I78" s="14">
        <v>0.917264365731839</v>
      </c>
      <c r="J78" s="14">
        <v>0.999993588513658</v>
      </c>
      <c r="K78" s="14">
        <v>0.500652938221999</v>
      </c>
      <c r="L78" s="14" t="s">
        <v>16722</v>
      </c>
      <c r="M78" s="14" t="s">
        <v>6520</v>
      </c>
    </row>
    <row r="79" spans="1:13">
      <c r="A79" s="14" t="s">
        <v>21509</v>
      </c>
      <c r="B79" s="14" t="s">
        <v>21510</v>
      </c>
      <c r="C79" s="14" t="s">
        <v>21384</v>
      </c>
      <c r="D79" s="14" t="s">
        <v>21464</v>
      </c>
      <c r="E79" s="14">
        <v>10</v>
      </c>
      <c r="F79" s="14">
        <v>362</v>
      </c>
      <c r="G79" s="14">
        <v>45</v>
      </c>
      <c r="H79" s="14">
        <v>4984</v>
      </c>
      <c r="I79" s="14">
        <v>0.00115347834053103</v>
      </c>
      <c r="J79" s="14">
        <v>0.064825482737844</v>
      </c>
      <c r="K79" s="14">
        <v>3.05954573357888</v>
      </c>
      <c r="L79" s="14" t="s">
        <v>21511</v>
      </c>
      <c r="M79" s="14" t="s">
        <v>21509</v>
      </c>
    </row>
    <row r="80" spans="1:13">
      <c r="A80" s="14" t="s">
        <v>21512</v>
      </c>
      <c r="B80" s="14" t="s">
        <v>21513</v>
      </c>
      <c r="C80" s="14" t="s">
        <v>21384</v>
      </c>
      <c r="D80" s="14" t="s">
        <v>21464</v>
      </c>
      <c r="E80" s="14">
        <v>8</v>
      </c>
      <c r="F80" s="14">
        <v>362</v>
      </c>
      <c r="G80" s="14">
        <v>51</v>
      </c>
      <c r="H80" s="14">
        <v>4984</v>
      </c>
      <c r="I80" s="14">
        <v>0.029060155874399</v>
      </c>
      <c r="J80" s="14">
        <v>0.371177445486642</v>
      </c>
      <c r="K80" s="14">
        <v>2.1596793413498</v>
      </c>
      <c r="L80" s="14" t="s">
        <v>21514</v>
      </c>
      <c r="M80" s="14" t="s">
        <v>21512</v>
      </c>
    </row>
    <row r="81" spans="1:13">
      <c r="A81" s="14" t="s">
        <v>21515</v>
      </c>
      <c r="B81" s="14" t="s">
        <v>21516</v>
      </c>
      <c r="C81" s="14" t="s">
        <v>21384</v>
      </c>
      <c r="D81" s="14" t="s">
        <v>21464</v>
      </c>
      <c r="E81" s="14">
        <v>8</v>
      </c>
      <c r="F81" s="14">
        <v>362</v>
      </c>
      <c r="G81" s="14">
        <v>63</v>
      </c>
      <c r="H81" s="14">
        <v>4984</v>
      </c>
      <c r="I81" s="14">
        <v>0.0837642228642469</v>
      </c>
      <c r="J81" s="14">
        <v>0.669472120346931</v>
      </c>
      <c r="K81" s="14">
        <v>1.74831184775936</v>
      </c>
      <c r="L81" s="14" t="s">
        <v>21514</v>
      </c>
      <c r="M81" s="14" t="s">
        <v>21515</v>
      </c>
    </row>
    <row r="82" spans="1:13">
      <c r="A82" s="14" t="s">
        <v>5148</v>
      </c>
      <c r="B82" s="14" t="s">
        <v>5149</v>
      </c>
      <c r="C82" s="14" t="s">
        <v>21384</v>
      </c>
      <c r="D82" s="14" t="s">
        <v>21421</v>
      </c>
      <c r="E82" s="14">
        <v>10</v>
      </c>
      <c r="F82" s="14">
        <v>362</v>
      </c>
      <c r="G82" s="14">
        <v>47</v>
      </c>
      <c r="H82" s="14">
        <v>4984</v>
      </c>
      <c r="I82" s="14">
        <v>0.00164315314197465</v>
      </c>
      <c r="J82" s="14">
        <v>0.0769543388158126</v>
      </c>
      <c r="K82" s="14">
        <v>2.92935229810744</v>
      </c>
      <c r="L82" s="14" t="s">
        <v>21517</v>
      </c>
      <c r="M82" s="14" t="s">
        <v>5148</v>
      </c>
    </row>
    <row r="83" spans="1:13">
      <c r="A83" s="14" t="s">
        <v>21518</v>
      </c>
      <c r="B83" s="14" t="s">
        <v>21519</v>
      </c>
      <c r="C83" s="14" t="s">
        <v>21384</v>
      </c>
      <c r="D83" s="14" t="s">
        <v>21394</v>
      </c>
      <c r="E83" s="14">
        <v>3</v>
      </c>
      <c r="F83" s="14">
        <v>362</v>
      </c>
      <c r="G83" s="14">
        <v>18</v>
      </c>
      <c r="H83" s="14">
        <v>4984</v>
      </c>
      <c r="I83" s="14">
        <v>0.137971130707069</v>
      </c>
      <c r="J83" s="14">
        <v>0.807705994347635</v>
      </c>
      <c r="K83" s="14">
        <v>2.29465930018416</v>
      </c>
      <c r="L83" s="14" t="s">
        <v>21520</v>
      </c>
      <c r="M83" s="14" t="s">
        <v>21518</v>
      </c>
    </row>
    <row r="84" spans="1:13">
      <c r="A84" s="14" t="s">
        <v>21521</v>
      </c>
      <c r="B84" s="14" t="s">
        <v>21522</v>
      </c>
      <c r="C84" s="14" t="s">
        <v>21523</v>
      </c>
      <c r="D84" s="14" t="s">
        <v>21524</v>
      </c>
      <c r="E84" s="14">
        <v>1</v>
      </c>
      <c r="F84" s="14">
        <v>362</v>
      </c>
      <c r="G84" s="14">
        <v>17</v>
      </c>
      <c r="H84" s="14">
        <v>4984</v>
      </c>
      <c r="I84" s="14">
        <v>0.723081397609551</v>
      </c>
      <c r="J84" s="14">
        <v>0.999993588513658</v>
      </c>
      <c r="K84" s="14">
        <v>0.809879753006175</v>
      </c>
      <c r="L84" s="14" t="s">
        <v>4288</v>
      </c>
      <c r="M84" s="14" t="s">
        <v>21521</v>
      </c>
    </row>
    <row r="85" spans="1:13">
      <c r="A85" s="14" t="s">
        <v>21525</v>
      </c>
      <c r="B85" s="14" t="s">
        <v>21526</v>
      </c>
      <c r="C85" s="14" t="s">
        <v>21523</v>
      </c>
      <c r="D85" s="14" t="s">
        <v>21524</v>
      </c>
      <c r="E85" s="14">
        <v>1</v>
      </c>
      <c r="F85" s="14">
        <v>362</v>
      </c>
      <c r="G85" s="14">
        <v>10</v>
      </c>
      <c r="H85" s="14">
        <v>4984</v>
      </c>
      <c r="I85" s="14">
        <v>0.529876937786533</v>
      </c>
      <c r="J85" s="14">
        <v>0.999993588513658</v>
      </c>
      <c r="K85" s="14">
        <v>1.3767955801105</v>
      </c>
      <c r="L85" s="14" t="s">
        <v>4288</v>
      </c>
      <c r="M85" s="14" t="s">
        <v>21525</v>
      </c>
    </row>
    <row r="86" spans="1:13">
      <c r="A86" s="14" t="s">
        <v>21527</v>
      </c>
      <c r="B86" s="14" t="s">
        <v>21528</v>
      </c>
      <c r="C86" s="14" t="s">
        <v>21523</v>
      </c>
      <c r="D86" s="14" t="s">
        <v>21524</v>
      </c>
      <c r="E86" s="14">
        <v>2</v>
      </c>
      <c r="F86" s="14">
        <v>362</v>
      </c>
      <c r="G86" s="14">
        <v>40</v>
      </c>
      <c r="H86" s="14">
        <v>4984</v>
      </c>
      <c r="I86" s="14">
        <v>0.798736510274274</v>
      </c>
      <c r="J86" s="14">
        <v>0.999993588513658</v>
      </c>
      <c r="K86" s="14">
        <v>0.688397790055249</v>
      </c>
      <c r="L86" s="14" t="s">
        <v>21529</v>
      </c>
      <c r="M86" s="14" t="s">
        <v>21527</v>
      </c>
    </row>
    <row r="87" spans="1:13">
      <c r="A87" s="14" t="s">
        <v>21530</v>
      </c>
      <c r="B87" s="14" t="s">
        <v>21531</v>
      </c>
      <c r="C87" s="14" t="s">
        <v>21523</v>
      </c>
      <c r="D87" s="14" t="s">
        <v>21524</v>
      </c>
      <c r="E87" s="14">
        <v>11</v>
      </c>
      <c r="F87" s="14">
        <v>362</v>
      </c>
      <c r="G87" s="14">
        <v>62</v>
      </c>
      <c r="H87" s="14">
        <v>4984</v>
      </c>
      <c r="I87" s="14">
        <v>0.00446802163067633</v>
      </c>
      <c r="J87" s="14">
        <v>0.125551407822005</v>
      </c>
      <c r="K87" s="14">
        <v>2.44270183567991</v>
      </c>
      <c r="L87" s="14" t="s">
        <v>21532</v>
      </c>
      <c r="M87" s="14" t="s">
        <v>21530</v>
      </c>
    </row>
    <row r="88" spans="1:13">
      <c r="A88" s="14" t="s">
        <v>3743</v>
      </c>
      <c r="B88" s="14" t="s">
        <v>3744</v>
      </c>
      <c r="C88" s="14" t="s">
        <v>21533</v>
      </c>
      <c r="D88" s="14" t="s">
        <v>21534</v>
      </c>
      <c r="E88" s="14">
        <v>8</v>
      </c>
      <c r="F88" s="14">
        <v>362</v>
      </c>
      <c r="G88" s="14">
        <v>71</v>
      </c>
      <c r="H88" s="14">
        <v>4984</v>
      </c>
      <c r="I88" s="14">
        <v>0.140904299923025</v>
      </c>
      <c r="J88" s="14">
        <v>0.808043026089186</v>
      </c>
      <c r="K88" s="14">
        <v>1.55131896350479</v>
      </c>
      <c r="L88" s="14" t="s">
        <v>21535</v>
      </c>
      <c r="M88" s="14" t="s">
        <v>3743</v>
      </c>
    </row>
    <row r="89" spans="1:13">
      <c r="A89" s="14" t="s">
        <v>21536</v>
      </c>
      <c r="B89" s="14" t="s">
        <v>21537</v>
      </c>
      <c r="C89" s="14" t="s">
        <v>21533</v>
      </c>
      <c r="D89" s="14" t="s">
        <v>21538</v>
      </c>
      <c r="E89" s="14">
        <v>9</v>
      </c>
      <c r="F89" s="14">
        <v>362</v>
      </c>
      <c r="G89" s="14">
        <v>60</v>
      </c>
      <c r="H89" s="14">
        <v>4984</v>
      </c>
      <c r="I89" s="14">
        <v>0.0277027335528544</v>
      </c>
      <c r="J89" s="14">
        <v>0.370688958492956</v>
      </c>
      <c r="K89" s="14">
        <v>2.06519337016575</v>
      </c>
      <c r="L89" s="14" t="s">
        <v>21539</v>
      </c>
      <c r="M89" s="14" t="s">
        <v>21536</v>
      </c>
    </row>
    <row r="90" spans="1:13">
      <c r="A90" s="14" t="s">
        <v>21540</v>
      </c>
      <c r="B90" s="14" t="s">
        <v>21541</v>
      </c>
      <c r="C90" s="14" t="s">
        <v>21542</v>
      </c>
      <c r="D90" s="14" t="s">
        <v>21543</v>
      </c>
      <c r="E90" s="14">
        <v>5</v>
      </c>
      <c r="F90" s="14">
        <v>362</v>
      </c>
      <c r="G90" s="14">
        <v>55</v>
      </c>
      <c r="H90" s="14">
        <v>4984</v>
      </c>
      <c r="I90" s="14">
        <v>0.369922402597906</v>
      </c>
      <c r="J90" s="14">
        <v>0.999993588513658</v>
      </c>
      <c r="K90" s="14">
        <v>1.251632345555</v>
      </c>
      <c r="L90" s="14" t="s">
        <v>21544</v>
      </c>
      <c r="M90" s="14" t="s">
        <v>21540</v>
      </c>
    </row>
    <row r="91" spans="1:13">
      <c r="A91" s="14" t="s">
        <v>14913</v>
      </c>
      <c r="B91" s="14" t="s">
        <v>14914</v>
      </c>
      <c r="C91" s="14" t="s">
        <v>21507</v>
      </c>
      <c r="D91" s="14" t="s">
        <v>21508</v>
      </c>
      <c r="E91" s="14">
        <v>1</v>
      </c>
      <c r="F91" s="14">
        <v>362</v>
      </c>
      <c r="G91" s="14">
        <v>65</v>
      </c>
      <c r="H91" s="14">
        <v>4984</v>
      </c>
      <c r="I91" s="14">
        <v>0.992804681870274</v>
      </c>
      <c r="J91" s="14">
        <v>0.999993588513658</v>
      </c>
      <c r="K91" s="14">
        <v>0.211814704632384</v>
      </c>
      <c r="L91" s="14" t="s">
        <v>14911</v>
      </c>
      <c r="M91" s="14" t="s">
        <v>14913</v>
      </c>
    </row>
    <row r="92" spans="1:13">
      <c r="A92" s="14" t="s">
        <v>1536</v>
      </c>
      <c r="B92" s="14" t="s">
        <v>1537</v>
      </c>
      <c r="C92" s="14" t="s">
        <v>21507</v>
      </c>
      <c r="D92" s="14" t="s">
        <v>21508</v>
      </c>
      <c r="E92" s="14">
        <v>10</v>
      </c>
      <c r="F92" s="14">
        <v>362</v>
      </c>
      <c r="G92" s="14">
        <v>325</v>
      </c>
      <c r="H92" s="14">
        <v>4984</v>
      </c>
      <c r="I92" s="14">
        <v>0.999728943258504</v>
      </c>
      <c r="J92" s="14">
        <v>0.999993588513658</v>
      </c>
      <c r="K92" s="14">
        <v>0.423629409264768</v>
      </c>
      <c r="L92" s="14" t="s">
        <v>21545</v>
      </c>
      <c r="M92" s="14" t="s">
        <v>1536</v>
      </c>
    </row>
    <row r="93" spans="1:13">
      <c r="A93" s="14" t="s">
        <v>8718</v>
      </c>
      <c r="B93" s="14" t="s">
        <v>8719</v>
      </c>
      <c r="C93" s="14" t="s">
        <v>21507</v>
      </c>
      <c r="D93" s="14" t="s">
        <v>21508</v>
      </c>
      <c r="E93" s="14">
        <v>2</v>
      </c>
      <c r="F93" s="14">
        <v>362</v>
      </c>
      <c r="G93" s="14">
        <v>87</v>
      </c>
      <c r="H93" s="14">
        <v>4984</v>
      </c>
      <c r="I93" s="14">
        <v>0.989405884653329</v>
      </c>
      <c r="J93" s="14">
        <v>0.999993588513658</v>
      </c>
      <c r="K93" s="14">
        <v>0.316504731059884</v>
      </c>
      <c r="L93" s="14" t="s">
        <v>21546</v>
      </c>
      <c r="M93" s="14" t="s">
        <v>8718</v>
      </c>
    </row>
    <row r="94" spans="1:13">
      <c r="A94" s="14" t="s">
        <v>9156</v>
      </c>
      <c r="B94" s="14" t="s">
        <v>9157</v>
      </c>
      <c r="C94" s="14" t="s">
        <v>21507</v>
      </c>
      <c r="D94" s="14" t="s">
        <v>21508</v>
      </c>
      <c r="E94" s="14">
        <v>2</v>
      </c>
      <c r="F94" s="14">
        <v>362</v>
      </c>
      <c r="G94" s="14">
        <v>100</v>
      </c>
      <c r="H94" s="14">
        <v>4984</v>
      </c>
      <c r="I94" s="14">
        <v>0.995580766643185</v>
      </c>
      <c r="J94" s="14">
        <v>0.999993588513658</v>
      </c>
      <c r="K94" s="14">
        <v>0.275359116022099</v>
      </c>
      <c r="L94" s="14" t="s">
        <v>21547</v>
      </c>
      <c r="M94" s="14" t="s">
        <v>9156</v>
      </c>
    </row>
    <row r="95" spans="1:13">
      <c r="A95" s="14" t="s">
        <v>6666</v>
      </c>
      <c r="B95" s="14" t="s">
        <v>6667</v>
      </c>
      <c r="C95" s="14" t="s">
        <v>21507</v>
      </c>
      <c r="D95" s="14" t="s">
        <v>21548</v>
      </c>
      <c r="E95" s="14">
        <v>3</v>
      </c>
      <c r="F95" s="14">
        <v>362</v>
      </c>
      <c r="G95" s="14">
        <v>83</v>
      </c>
      <c r="H95" s="14">
        <v>4984</v>
      </c>
      <c r="I95" s="14">
        <v>0.947078251640078</v>
      </c>
      <c r="J95" s="14">
        <v>0.999993588513658</v>
      </c>
      <c r="K95" s="14">
        <v>0.497636956666445</v>
      </c>
      <c r="L95" s="14" t="s">
        <v>21549</v>
      </c>
      <c r="M95" s="14" t="s">
        <v>6666</v>
      </c>
    </row>
    <row r="96" spans="1:13">
      <c r="A96" s="14" t="s">
        <v>2112</v>
      </c>
      <c r="B96" s="14" t="s">
        <v>2113</v>
      </c>
      <c r="C96" s="14" t="s">
        <v>21507</v>
      </c>
      <c r="D96" s="14" t="s">
        <v>21550</v>
      </c>
      <c r="E96" s="14">
        <v>7</v>
      </c>
      <c r="F96" s="14">
        <v>362</v>
      </c>
      <c r="G96" s="14">
        <v>57</v>
      </c>
      <c r="H96" s="14">
        <v>4984</v>
      </c>
      <c r="I96" s="14">
        <v>0.116620202574104</v>
      </c>
      <c r="J96" s="14">
        <v>0.728228376073847</v>
      </c>
      <c r="K96" s="14">
        <v>1.69080158960938</v>
      </c>
      <c r="L96" s="14" t="s">
        <v>21551</v>
      </c>
      <c r="M96" s="14" t="s">
        <v>2112</v>
      </c>
    </row>
    <row r="97" spans="1:13">
      <c r="A97" s="14" t="s">
        <v>21552</v>
      </c>
      <c r="B97" s="14" t="s">
        <v>21553</v>
      </c>
      <c r="C97" s="14" t="s">
        <v>21507</v>
      </c>
      <c r="D97" s="14" t="s">
        <v>21550</v>
      </c>
      <c r="E97" s="14">
        <v>1</v>
      </c>
      <c r="F97" s="14">
        <v>362</v>
      </c>
      <c r="G97" s="14">
        <v>156</v>
      </c>
      <c r="H97" s="14">
        <v>4984</v>
      </c>
      <c r="I97" s="14">
        <v>0.999993588513658</v>
      </c>
      <c r="J97" s="14">
        <v>0.999993588513658</v>
      </c>
      <c r="K97" s="14">
        <v>0.0882561269301601</v>
      </c>
      <c r="L97" s="14" t="s">
        <v>11618</v>
      </c>
      <c r="M97" s="14" t="s">
        <v>21552</v>
      </c>
    </row>
    <row r="98" spans="1:13">
      <c r="A98" s="14" t="s">
        <v>7744</v>
      </c>
      <c r="B98" s="14" t="s">
        <v>7745</v>
      </c>
      <c r="C98" s="14" t="s">
        <v>21507</v>
      </c>
      <c r="D98" s="14" t="s">
        <v>21548</v>
      </c>
      <c r="E98" s="14">
        <v>1</v>
      </c>
      <c r="F98" s="14">
        <v>362</v>
      </c>
      <c r="G98" s="14">
        <v>42</v>
      </c>
      <c r="H98" s="14">
        <v>4984</v>
      </c>
      <c r="I98" s="14">
        <v>0.95844053844932</v>
      </c>
      <c r="J98" s="14">
        <v>0.999993588513658</v>
      </c>
      <c r="K98" s="14">
        <v>0.32780847145488</v>
      </c>
      <c r="L98" s="14" t="s">
        <v>7739</v>
      </c>
      <c r="M98" s="14" t="s">
        <v>7744</v>
      </c>
    </row>
    <row r="99" spans="1:13">
      <c r="A99" s="14" t="s">
        <v>21554</v>
      </c>
      <c r="B99" s="14" t="s">
        <v>21555</v>
      </c>
      <c r="C99" s="14" t="s">
        <v>21556</v>
      </c>
      <c r="D99" s="14" t="s">
        <v>21557</v>
      </c>
      <c r="E99" s="14">
        <v>3</v>
      </c>
      <c r="F99" s="14">
        <v>362</v>
      </c>
      <c r="G99" s="14">
        <v>26</v>
      </c>
      <c r="H99" s="14">
        <v>4984</v>
      </c>
      <c r="I99" s="14">
        <v>0.291732868373801</v>
      </c>
      <c r="J99" s="14">
        <v>0.999993588513658</v>
      </c>
      <c r="K99" s="14">
        <v>1.58861028474288</v>
      </c>
      <c r="L99" s="14" t="s">
        <v>21558</v>
      </c>
      <c r="M99" s="14" t="s">
        <v>21554</v>
      </c>
    </row>
    <row r="100" spans="1:13">
      <c r="A100" s="14" t="s">
        <v>14789</v>
      </c>
      <c r="B100" s="14" t="s">
        <v>14790</v>
      </c>
      <c r="C100" s="14" t="s">
        <v>21507</v>
      </c>
      <c r="D100" s="14" t="s">
        <v>21559</v>
      </c>
      <c r="E100" s="14">
        <v>1</v>
      </c>
      <c r="F100" s="14">
        <v>362</v>
      </c>
      <c r="G100" s="14">
        <v>47</v>
      </c>
      <c r="H100" s="14">
        <v>4984</v>
      </c>
      <c r="I100" s="14">
        <v>0.971593737592502</v>
      </c>
      <c r="J100" s="14">
        <v>0.999993588513658</v>
      </c>
      <c r="K100" s="14">
        <v>0.292935229810744</v>
      </c>
      <c r="L100" s="14" t="s">
        <v>14786</v>
      </c>
      <c r="M100" s="14" t="s">
        <v>14789</v>
      </c>
    </row>
    <row r="101" spans="1:13">
      <c r="A101" s="14" t="s">
        <v>21560</v>
      </c>
      <c r="B101" s="14" t="s">
        <v>21561</v>
      </c>
      <c r="C101" s="14" t="s">
        <v>21507</v>
      </c>
      <c r="D101" s="14" t="s">
        <v>21559</v>
      </c>
      <c r="E101" s="14">
        <v>1</v>
      </c>
      <c r="F101" s="14">
        <v>362</v>
      </c>
      <c r="G101" s="14">
        <v>70</v>
      </c>
      <c r="H101" s="14">
        <v>4984</v>
      </c>
      <c r="I101" s="14">
        <v>0.995091024658296</v>
      </c>
      <c r="J101" s="14">
        <v>0.999993588513658</v>
      </c>
      <c r="K101" s="14">
        <v>0.196685082872928</v>
      </c>
      <c r="L101" s="14" t="s">
        <v>5365</v>
      </c>
      <c r="M101" s="14" t="s">
        <v>21560</v>
      </c>
    </row>
    <row r="102" spans="1:13">
      <c r="A102" s="14" t="s">
        <v>21562</v>
      </c>
      <c r="B102" s="14" t="s">
        <v>21563</v>
      </c>
      <c r="C102" s="14" t="s">
        <v>21507</v>
      </c>
      <c r="D102" s="14" t="s">
        <v>21559</v>
      </c>
      <c r="E102" s="14">
        <v>1</v>
      </c>
      <c r="F102" s="14">
        <v>362</v>
      </c>
      <c r="G102" s="14">
        <v>39</v>
      </c>
      <c r="H102" s="14">
        <v>4984</v>
      </c>
      <c r="I102" s="14">
        <v>0.947791640523857</v>
      </c>
      <c r="J102" s="14">
        <v>0.999993588513658</v>
      </c>
      <c r="K102" s="14">
        <v>0.35302450772064</v>
      </c>
      <c r="L102" s="14" t="s">
        <v>434</v>
      </c>
      <c r="M102" s="14" t="s">
        <v>21562</v>
      </c>
    </row>
    <row r="103" spans="1:13">
      <c r="A103" s="14" t="s">
        <v>6442</v>
      </c>
      <c r="B103" s="14" t="s">
        <v>6443</v>
      </c>
      <c r="C103" s="14" t="s">
        <v>21507</v>
      </c>
      <c r="D103" s="14" t="s">
        <v>21559</v>
      </c>
      <c r="E103" s="14">
        <v>1</v>
      </c>
      <c r="F103" s="14">
        <v>362</v>
      </c>
      <c r="G103" s="14">
        <v>50</v>
      </c>
      <c r="H103" s="14">
        <v>4984</v>
      </c>
      <c r="I103" s="14">
        <v>0.977396425705342</v>
      </c>
      <c r="J103" s="14">
        <v>0.999993588513658</v>
      </c>
      <c r="K103" s="14">
        <v>0.275359116022099</v>
      </c>
      <c r="L103" s="14" t="s">
        <v>6439</v>
      </c>
      <c r="M103" s="14" t="s">
        <v>6442</v>
      </c>
    </row>
    <row r="104" spans="1:13">
      <c r="A104" s="14" t="s">
        <v>2231</v>
      </c>
      <c r="B104" s="14" t="s">
        <v>2232</v>
      </c>
      <c r="C104" s="14" t="s">
        <v>21507</v>
      </c>
      <c r="D104" s="14" t="s">
        <v>21559</v>
      </c>
      <c r="E104" s="14">
        <v>2</v>
      </c>
      <c r="F104" s="14">
        <v>362</v>
      </c>
      <c r="G104" s="14">
        <v>44</v>
      </c>
      <c r="H104" s="14">
        <v>4984</v>
      </c>
      <c r="I104" s="14">
        <v>0.8401473182284</v>
      </c>
      <c r="J104" s="14">
        <v>0.999993588513658</v>
      </c>
      <c r="K104" s="14">
        <v>0.625816172777499</v>
      </c>
      <c r="L104" s="14" t="s">
        <v>21564</v>
      </c>
      <c r="M104" s="14" t="s">
        <v>2231</v>
      </c>
    </row>
    <row r="105" spans="1:13">
      <c r="A105" s="14" t="s">
        <v>1768</v>
      </c>
      <c r="B105" s="14" t="s">
        <v>1769</v>
      </c>
      <c r="C105" s="14" t="s">
        <v>21533</v>
      </c>
      <c r="D105" s="14" t="s">
        <v>21538</v>
      </c>
      <c r="E105" s="14">
        <v>3</v>
      </c>
      <c r="F105" s="14">
        <v>362</v>
      </c>
      <c r="G105" s="14">
        <v>33</v>
      </c>
      <c r="H105" s="14">
        <v>4984</v>
      </c>
      <c r="I105" s="14">
        <v>0.433640609427589</v>
      </c>
      <c r="J105" s="14">
        <v>0.999993588513658</v>
      </c>
      <c r="K105" s="14">
        <v>1.251632345555</v>
      </c>
      <c r="L105" s="14" t="s">
        <v>21565</v>
      </c>
      <c r="M105" s="14" t="s">
        <v>1768</v>
      </c>
    </row>
    <row r="106" spans="1:13">
      <c r="A106" s="14" t="s">
        <v>21566</v>
      </c>
      <c r="B106" s="14" t="s">
        <v>21567</v>
      </c>
      <c r="C106" s="14" t="s">
        <v>21533</v>
      </c>
      <c r="D106" s="14" t="s">
        <v>21538</v>
      </c>
      <c r="E106" s="14">
        <v>1</v>
      </c>
      <c r="F106" s="14">
        <v>362</v>
      </c>
      <c r="G106" s="14">
        <v>7</v>
      </c>
      <c r="H106" s="14">
        <v>4984</v>
      </c>
      <c r="I106" s="14">
        <v>0.410315240267262</v>
      </c>
      <c r="J106" s="14">
        <v>0.999993588513658</v>
      </c>
      <c r="K106" s="14">
        <v>1.96685082872928</v>
      </c>
      <c r="L106" s="14" t="s">
        <v>4288</v>
      </c>
      <c r="M106" s="14" t="s">
        <v>21566</v>
      </c>
    </row>
    <row r="107" spans="1:13">
      <c r="A107" s="14" t="s">
        <v>21568</v>
      </c>
      <c r="B107" s="14" t="s">
        <v>21569</v>
      </c>
      <c r="C107" s="14" t="s">
        <v>21533</v>
      </c>
      <c r="D107" s="14" t="s">
        <v>21538</v>
      </c>
      <c r="E107" s="14">
        <v>3</v>
      </c>
      <c r="F107" s="14">
        <v>362</v>
      </c>
      <c r="G107" s="14">
        <v>36</v>
      </c>
      <c r="H107" s="14">
        <v>4984</v>
      </c>
      <c r="I107" s="14">
        <v>0.491578041970266</v>
      </c>
      <c r="J107" s="14">
        <v>0.999993588513658</v>
      </c>
      <c r="K107" s="14">
        <v>1.14732965009208</v>
      </c>
      <c r="L107" s="14" t="s">
        <v>21570</v>
      </c>
      <c r="M107" s="14" t="s">
        <v>21568</v>
      </c>
    </row>
    <row r="108" spans="1:13">
      <c r="A108" s="14" t="s">
        <v>21571</v>
      </c>
      <c r="B108" s="14" t="s">
        <v>21572</v>
      </c>
      <c r="C108" s="14" t="s">
        <v>21533</v>
      </c>
      <c r="D108" s="14" t="s">
        <v>21538</v>
      </c>
      <c r="E108" s="14">
        <v>5</v>
      </c>
      <c r="F108" s="14">
        <v>362</v>
      </c>
      <c r="G108" s="14">
        <v>40</v>
      </c>
      <c r="H108" s="14">
        <v>4984</v>
      </c>
      <c r="I108" s="14">
        <v>0.161409699725153</v>
      </c>
      <c r="J108" s="14">
        <v>0.85607510203673</v>
      </c>
      <c r="K108" s="14">
        <v>1.72099447513812</v>
      </c>
      <c r="L108" s="14" t="s">
        <v>21573</v>
      </c>
      <c r="M108" s="14" t="s">
        <v>21571</v>
      </c>
    </row>
    <row r="109" spans="1:13">
      <c r="A109" s="14" t="s">
        <v>21574</v>
      </c>
      <c r="B109" s="14" t="s">
        <v>21575</v>
      </c>
      <c r="C109" s="14" t="s">
        <v>21533</v>
      </c>
      <c r="D109" s="14" t="s">
        <v>21538</v>
      </c>
      <c r="E109" s="14">
        <v>4</v>
      </c>
      <c r="F109" s="14">
        <v>362</v>
      </c>
      <c r="G109" s="14">
        <v>20</v>
      </c>
      <c r="H109" s="14">
        <v>4984</v>
      </c>
      <c r="I109" s="14">
        <v>0.0524355549884247</v>
      </c>
      <c r="J109" s="14">
        <v>0.526002860653458</v>
      </c>
      <c r="K109" s="14">
        <v>2.75359116022099</v>
      </c>
      <c r="L109" s="14" t="s">
        <v>21576</v>
      </c>
      <c r="M109" s="14" t="s">
        <v>21574</v>
      </c>
    </row>
    <row r="110" spans="1:13">
      <c r="A110" s="14" t="s">
        <v>6537</v>
      </c>
      <c r="B110" s="14" t="s">
        <v>6538</v>
      </c>
      <c r="C110" s="14" t="s">
        <v>21533</v>
      </c>
      <c r="D110" s="14" t="s">
        <v>21538</v>
      </c>
      <c r="E110" s="14">
        <v>14</v>
      </c>
      <c r="F110" s="14">
        <v>362</v>
      </c>
      <c r="G110" s="14">
        <v>114</v>
      </c>
      <c r="H110" s="14">
        <v>4984</v>
      </c>
      <c r="I110" s="14">
        <v>0.0353971039437028</v>
      </c>
      <c r="J110" s="14">
        <v>0.41444109200752</v>
      </c>
      <c r="K110" s="14">
        <v>1.69080158960938</v>
      </c>
      <c r="L110" s="14" t="s">
        <v>21577</v>
      </c>
      <c r="M110" s="14" t="s">
        <v>6537</v>
      </c>
    </row>
    <row r="111" spans="1:13">
      <c r="A111" s="14" t="s">
        <v>21578</v>
      </c>
      <c r="B111" s="14" t="s">
        <v>21579</v>
      </c>
      <c r="C111" s="14" t="s">
        <v>21533</v>
      </c>
      <c r="D111" s="14" t="s">
        <v>21538</v>
      </c>
      <c r="E111" s="14">
        <v>1</v>
      </c>
      <c r="F111" s="14">
        <v>362</v>
      </c>
      <c r="G111" s="14">
        <v>28</v>
      </c>
      <c r="H111" s="14">
        <v>4984</v>
      </c>
      <c r="I111" s="14">
        <v>0.879645104104618</v>
      </c>
      <c r="J111" s="14">
        <v>0.999993588513658</v>
      </c>
      <c r="K111" s="14">
        <v>0.49171270718232</v>
      </c>
      <c r="L111" s="14" t="s">
        <v>5869</v>
      </c>
      <c r="M111" s="14" t="s">
        <v>21578</v>
      </c>
    </row>
    <row r="112" spans="1:13">
      <c r="A112" s="14" t="s">
        <v>21580</v>
      </c>
      <c r="B112" s="14" t="s">
        <v>21581</v>
      </c>
      <c r="C112" s="14" t="s">
        <v>21533</v>
      </c>
      <c r="D112" s="14" t="s">
        <v>21538</v>
      </c>
      <c r="E112" s="14">
        <v>2</v>
      </c>
      <c r="F112" s="14">
        <v>362</v>
      </c>
      <c r="G112" s="14">
        <v>30</v>
      </c>
      <c r="H112" s="14">
        <v>4984</v>
      </c>
      <c r="I112" s="14">
        <v>0.652069420441335</v>
      </c>
      <c r="J112" s="14">
        <v>0.999993588513658</v>
      </c>
      <c r="K112" s="14">
        <v>0.917863720073665</v>
      </c>
      <c r="L112" s="14" t="s">
        <v>21582</v>
      </c>
      <c r="M112" s="14" t="s">
        <v>21580</v>
      </c>
    </row>
    <row r="113" spans="1:13">
      <c r="A113" s="14" t="s">
        <v>21583</v>
      </c>
      <c r="B113" s="14" t="s">
        <v>21584</v>
      </c>
      <c r="C113" s="14" t="s">
        <v>21533</v>
      </c>
      <c r="D113" s="14" t="s">
        <v>21538</v>
      </c>
      <c r="E113" s="14">
        <v>5</v>
      </c>
      <c r="F113" s="14">
        <v>362</v>
      </c>
      <c r="G113" s="14">
        <v>41</v>
      </c>
      <c r="H113" s="14">
        <v>4984</v>
      </c>
      <c r="I113" s="14">
        <v>0.17365224489713</v>
      </c>
      <c r="J113" s="14">
        <v>0.85607510203673</v>
      </c>
      <c r="K113" s="14">
        <v>1.67901900013475</v>
      </c>
      <c r="L113" s="14" t="s">
        <v>21585</v>
      </c>
      <c r="M113" s="14" t="s">
        <v>21583</v>
      </c>
    </row>
    <row r="114" spans="1:13">
      <c r="A114" s="14" t="s">
        <v>21586</v>
      </c>
      <c r="B114" s="14" t="s">
        <v>21587</v>
      </c>
      <c r="C114" s="14" t="s">
        <v>21556</v>
      </c>
      <c r="D114" s="14" t="s">
        <v>21588</v>
      </c>
      <c r="E114" s="14">
        <v>2</v>
      </c>
      <c r="F114" s="14">
        <v>362</v>
      </c>
      <c r="G114" s="14">
        <v>14</v>
      </c>
      <c r="H114" s="14">
        <v>4984</v>
      </c>
      <c r="I114" s="14">
        <v>0.270477786657261</v>
      </c>
      <c r="J114" s="14">
        <v>0.999993588513658</v>
      </c>
      <c r="K114" s="14">
        <v>1.96685082872928</v>
      </c>
      <c r="L114" s="14" t="s">
        <v>21589</v>
      </c>
      <c r="M114" s="14" t="s">
        <v>21586</v>
      </c>
    </row>
    <row r="115" spans="1:13">
      <c r="A115" s="14" t="s">
        <v>21590</v>
      </c>
      <c r="B115" s="14" t="s">
        <v>21591</v>
      </c>
      <c r="C115" s="14" t="s">
        <v>21533</v>
      </c>
      <c r="D115" s="14" t="s">
        <v>21538</v>
      </c>
      <c r="E115" s="14">
        <v>2</v>
      </c>
      <c r="F115" s="14">
        <v>362</v>
      </c>
      <c r="G115" s="14">
        <v>53</v>
      </c>
      <c r="H115" s="14">
        <v>4984</v>
      </c>
      <c r="I115" s="14">
        <v>0.906516588992017</v>
      </c>
      <c r="J115" s="14">
        <v>0.999993588513658</v>
      </c>
      <c r="K115" s="14">
        <v>0.519545501928489</v>
      </c>
      <c r="L115" s="14" t="s">
        <v>21592</v>
      </c>
      <c r="M115" s="14" t="s">
        <v>21590</v>
      </c>
    </row>
    <row r="116" spans="1:13">
      <c r="A116" s="14" t="s">
        <v>21593</v>
      </c>
      <c r="B116" s="14" t="s">
        <v>21594</v>
      </c>
      <c r="C116" s="14" t="s">
        <v>21533</v>
      </c>
      <c r="D116" s="14" t="s">
        <v>21538</v>
      </c>
      <c r="E116" s="14">
        <v>1</v>
      </c>
      <c r="F116" s="14">
        <v>362</v>
      </c>
      <c r="G116" s="14">
        <v>43</v>
      </c>
      <c r="H116" s="14">
        <v>4984</v>
      </c>
      <c r="I116" s="14">
        <v>0.961484756393745</v>
      </c>
      <c r="J116" s="14">
        <v>0.999993588513658</v>
      </c>
      <c r="K116" s="14">
        <v>0.320185018630348</v>
      </c>
      <c r="L116" s="14" t="s">
        <v>4288</v>
      </c>
      <c r="M116" s="14" t="s">
        <v>21593</v>
      </c>
    </row>
    <row r="117" spans="1:13">
      <c r="A117" s="14" t="s">
        <v>6814</v>
      </c>
      <c r="B117" s="14" t="s">
        <v>6815</v>
      </c>
      <c r="C117" s="14" t="s">
        <v>21533</v>
      </c>
      <c r="D117" s="14" t="s">
        <v>21538</v>
      </c>
      <c r="E117" s="14">
        <v>3</v>
      </c>
      <c r="F117" s="14">
        <v>362</v>
      </c>
      <c r="G117" s="14">
        <v>43</v>
      </c>
      <c r="H117" s="14">
        <v>4984</v>
      </c>
      <c r="I117" s="14">
        <v>0.613957473808301</v>
      </c>
      <c r="J117" s="14">
        <v>0.999993588513658</v>
      </c>
      <c r="K117" s="14">
        <v>0.960555055891045</v>
      </c>
      <c r="L117" s="14" t="s">
        <v>21595</v>
      </c>
      <c r="M117" s="14" t="s">
        <v>6814</v>
      </c>
    </row>
    <row r="118" spans="1:13">
      <c r="A118" s="14" t="s">
        <v>21596</v>
      </c>
      <c r="B118" s="14" t="s">
        <v>21597</v>
      </c>
      <c r="C118" s="14" t="s">
        <v>21533</v>
      </c>
      <c r="D118" s="14" t="s">
        <v>21538</v>
      </c>
      <c r="E118" s="14">
        <v>4</v>
      </c>
      <c r="F118" s="14">
        <v>362</v>
      </c>
      <c r="G118" s="14">
        <v>56</v>
      </c>
      <c r="H118" s="14">
        <v>4984</v>
      </c>
      <c r="I118" s="14">
        <v>0.588462409221294</v>
      </c>
      <c r="J118" s="14">
        <v>0.999993588513658</v>
      </c>
      <c r="K118" s="14">
        <v>0.983425414364641</v>
      </c>
      <c r="L118" s="14" t="s">
        <v>21598</v>
      </c>
      <c r="M118" s="14" t="s">
        <v>21596</v>
      </c>
    </row>
    <row r="119" spans="1:13">
      <c r="A119" s="14" t="s">
        <v>21599</v>
      </c>
      <c r="B119" s="14" t="s">
        <v>21600</v>
      </c>
      <c r="C119" s="14" t="s">
        <v>21533</v>
      </c>
      <c r="D119" s="14" t="s">
        <v>21538</v>
      </c>
      <c r="E119" s="14">
        <v>4</v>
      </c>
      <c r="F119" s="14">
        <v>362</v>
      </c>
      <c r="G119" s="14">
        <v>41</v>
      </c>
      <c r="H119" s="14">
        <v>4984</v>
      </c>
      <c r="I119" s="14">
        <v>0.34743427709599</v>
      </c>
      <c r="J119" s="14">
        <v>0.999993588513658</v>
      </c>
      <c r="K119" s="14">
        <v>1.3432152001078</v>
      </c>
      <c r="L119" s="14" t="s">
        <v>21601</v>
      </c>
      <c r="M119" s="14" t="s">
        <v>21599</v>
      </c>
    </row>
    <row r="120" spans="1:13">
      <c r="A120" s="14" t="s">
        <v>341</v>
      </c>
      <c r="B120" s="14" t="s">
        <v>342</v>
      </c>
      <c r="C120" s="14" t="s">
        <v>21533</v>
      </c>
      <c r="D120" s="14" t="s">
        <v>21538</v>
      </c>
      <c r="E120" s="14">
        <v>37</v>
      </c>
      <c r="F120" s="14">
        <v>362</v>
      </c>
      <c r="G120" s="14">
        <v>229</v>
      </c>
      <c r="H120" s="14">
        <v>4984</v>
      </c>
      <c r="I120" s="36">
        <v>2.21608684513841e-6</v>
      </c>
      <c r="J120" s="14">
        <v>0.000368075415845311</v>
      </c>
      <c r="K120" s="14">
        <v>2.22451687616107</v>
      </c>
      <c r="L120" s="14" t="s">
        <v>21602</v>
      </c>
      <c r="M120" s="14" t="s">
        <v>341</v>
      </c>
    </row>
    <row r="121" spans="1:13">
      <c r="A121" s="14" t="s">
        <v>13244</v>
      </c>
      <c r="B121" s="14" t="s">
        <v>13245</v>
      </c>
      <c r="C121" s="14" t="s">
        <v>21542</v>
      </c>
      <c r="D121" s="14" t="s">
        <v>21603</v>
      </c>
      <c r="E121" s="14">
        <v>3</v>
      </c>
      <c r="F121" s="14">
        <v>362</v>
      </c>
      <c r="G121" s="14">
        <v>119</v>
      </c>
      <c r="H121" s="14">
        <v>4984</v>
      </c>
      <c r="I121" s="14">
        <v>0.993679348794655</v>
      </c>
      <c r="J121" s="14">
        <v>0.999993588513658</v>
      </c>
      <c r="K121" s="14">
        <v>0.347091322716932</v>
      </c>
      <c r="L121" s="14" t="s">
        <v>21604</v>
      </c>
      <c r="M121" s="14" t="s">
        <v>13244</v>
      </c>
    </row>
    <row r="122" spans="1:13">
      <c r="A122" s="14" t="s">
        <v>8739</v>
      </c>
      <c r="B122" s="14" t="s">
        <v>8740</v>
      </c>
      <c r="C122" s="14" t="s">
        <v>21542</v>
      </c>
      <c r="D122" s="14" t="s">
        <v>21603</v>
      </c>
      <c r="E122" s="14">
        <v>3</v>
      </c>
      <c r="F122" s="14">
        <v>362</v>
      </c>
      <c r="G122" s="14">
        <v>84</v>
      </c>
      <c r="H122" s="14">
        <v>4984</v>
      </c>
      <c r="I122" s="14">
        <v>0.949951030189194</v>
      </c>
      <c r="J122" s="14">
        <v>0.999993588513658</v>
      </c>
      <c r="K122" s="14">
        <v>0.49171270718232</v>
      </c>
      <c r="L122" s="14" t="s">
        <v>21605</v>
      </c>
      <c r="M122" s="14" t="s">
        <v>8739</v>
      </c>
    </row>
    <row r="123" spans="1:13">
      <c r="A123" s="14" t="s">
        <v>9480</v>
      </c>
      <c r="B123" s="14" t="s">
        <v>9481</v>
      </c>
      <c r="C123" s="14" t="s">
        <v>21542</v>
      </c>
      <c r="D123" s="14" t="s">
        <v>21603</v>
      </c>
      <c r="E123" s="14">
        <v>2</v>
      </c>
      <c r="F123" s="14">
        <v>362</v>
      </c>
      <c r="G123" s="14">
        <v>64</v>
      </c>
      <c r="H123" s="14">
        <v>4984</v>
      </c>
      <c r="I123" s="14">
        <v>0.952763895742635</v>
      </c>
      <c r="J123" s="14">
        <v>0.999993588513658</v>
      </c>
      <c r="K123" s="14">
        <v>0.43024861878453</v>
      </c>
      <c r="L123" s="14" t="s">
        <v>21606</v>
      </c>
      <c r="M123" s="14" t="s">
        <v>9480</v>
      </c>
    </row>
    <row r="124" spans="1:13">
      <c r="A124" s="14" t="s">
        <v>21607</v>
      </c>
      <c r="B124" s="14" t="s">
        <v>21608</v>
      </c>
      <c r="C124" s="14" t="s">
        <v>21542</v>
      </c>
      <c r="D124" s="14" t="s">
        <v>21603</v>
      </c>
      <c r="E124" s="14">
        <v>4</v>
      </c>
      <c r="F124" s="14">
        <v>362</v>
      </c>
      <c r="G124" s="14">
        <v>75</v>
      </c>
      <c r="H124" s="14">
        <v>4984</v>
      </c>
      <c r="I124" s="14">
        <v>0.805008771491426</v>
      </c>
      <c r="J124" s="14">
        <v>0.999993588513658</v>
      </c>
      <c r="K124" s="14">
        <v>0.734290976058932</v>
      </c>
      <c r="L124" s="14" t="s">
        <v>21609</v>
      </c>
      <c r="M124" s="14" t="s">
        <v>21607</v>
      </c>
    </row>
    <row r="125" spans="1:13">
      <c r="A125" s="14" t="s">
        <v>21610</v>
      </c>
      <c r="B125" s="14" t="s">
        <v>21611</v>
      </c>
      <c r="C125" s="14" t="s">
        <v>21542</v>
      </c>
      <c r="D125" s="14" t="s">
        <v>21603</v>
      </c>
      <c r="E125" s="14">
        <v>3</v>
      </c>
      <c r="F125" s="14">
        <v>362</v>
      </c>
      <c r="G125" s="14">
        <v>30</v>
      </c>
      <c r="H125" s="14">
        <v>4984</v>
      </c>
      <c r="I125" s="14">
        <v>0.373461258939019</v>
      </c>
      <c r="J125" s="14">
        <v>0.999993588513658</v>
      </c>
      <c r="K125" s="14">
        <v>1.3767955801105</v>
      </c>
      <c r="L125" s="14" t="s">
        <v>21612</v>
      </c>
      <c r="M125" s="14" t="s">
        <v>21610</v>
      </c>
    </row>
    <row r="126" spans="1:13">
      <c r="A126" s="14" t="s">
        <v>387</v>
      </c>
      <c r="B126" s="14" t="s">
        <v>388</v>
      </c>
      <c r="C126" s="14" t="s">
        <v>21507</v>
      </c>
      <c r="D126" s="14" t="s">
        <v>21548</v>
      </c>
      <c r="E126" s="14">
        <v>4</v>
      </c>
      <c r="F126" s="14">
        <v>362</v>
      </c>
      <c r="G126" s="14">
        <v>98</v>
      </c>
      <c r="H126" s="14">
        <v>4984</v>
      </c>
      <c r="I126" s="14">
        <v>0.933387599261254</v>
      </c>
      <c r="J126" s="14">
        <v>0.999993588513658</v>
      </c>
      <c r="K126" s="14">
        <v>0.561957379636938</v>
      </c>
      <c r="L126" s="14" t="s">
        <v>21613</v>
      </c>
      <c r="M126" s="14" t="s">
        <v>387</v>
      </c>
    </row>
    <row r="127" spans="1:13">
      <c r="A127" s="14" t="s">
        <v>21614</v>
      </c>
      <c r="B127" s="14" t="s">
        <v>21615</v>
      </c>
      <c r="C127" s="14" t="s">
        <v>21542</v>
      </c>
      <c r="D127" s="14" t="s">
        <v>21616</v>
      </c>
      <c r="E127" s="14">
        <v>1</v>
      </c>
      <c r="F127" s="14">
        <v>362</v>
      </c>
      <c r="G127" s="14">
        <v>61</v>
      </c>
      <c r="H127" s="14">
        <v>4984</v>
      </c>
      <c r="I127" s="14">
        <v>0.990232777406477</v>
      </c>
      <c r="J127" s="14">
        <v>0.999993588513658</v>
      </c>
      <c r="K127" s="14">
        <v>0.225704193460737</v>
      </c>
      <c r="L127" s="14" t="s">
        <v>4288</v>
      </c>
      <c r="M127" s="14" t="s">
        <v>21614</v>
      </c>
    </row>
    <row r="128" spans="1:13">
      <c r="A128" s="14" t="s">
        <v>480</v>
      </c>
      <c r="B128" s="14" t="s">
        <v>481</v>
      </c>
      <c r="C128" s="14" t="s">
        <v>21507</v>
      </c>
      <c r="D128" s="14" t="s">
        <v>21548</v>
      </c>
      <c r="E128" s="14">
        <v>12</v>
      </c>
      <c r="F128" s="14">
        <v>362</v>
      </c>
      <c r="G128" s="14">
        <v>168</v>
      </c>
      <c r="H128" s="14">
        <v>4984</v>
      </c>
      <c r="I128" s="14">
        <v>0.568715454444425</v>
      </c>
      <c r="J128" s="14">
        <v>0.999993588513658</v>
      </c>
      <c r="K128" s="14">
        <v>0.983425414364641</v>
      </c>
      <c r="L128" s="14" t="s">
        <v>21617</v>
      </c>
      <c r="M128" s="14" t="s">
        <v>480</v>
      </c>
    </row>
    <row r="129" spans="1:13">
      <c r="A129" s="14" t="s">
        <v>3282</v>
      </c>
      <c r="B129" s="14" t="s">
        <v>3283</v>
      </c>
      <c r="C129" s="14" t="s">
        <v>21542</v>
      </c>
      <c r="D129" s="14" t="s">
        <v>21616</v>
      </c>
      <c r="E129" s="14">
        <v>3</v>
      </c>
      <c r="F129" s="14">
        <v>362</v>
      </c>
      <c r="G129" s="14">
        <v>60</v>
      </c>
      <c r="H129" s="14">
        <v>4984</v>
      </c>
      <c r="I129" s="14">
        <v>0.82218440650092</v>
      </c>
      <c r="J129" s="14">
        <v>0.999993588513658</v>
      </c>
      <c r="K129" s="14">
        <v>0.688397790055249</v>
      </c>
      <c r="L129" s="14" t="s">
        <v>21618</v>
      </c>
      <c r="M129" s="14" t="s">
        <v>3282</v>
      </c>
    </row>
    <row r="130" spans="1:13">
      <c r="A130" s="14" t="s">
        <v>5536</v>
      </c>
      <c r="B130" s="14" t="s">
        <v>5537</v>
      </c>
      <c r="C130" s="14" t="s">
        <v>21542</v>
      </c>
      <c r="D130" s="14" t="s">
        <v>21616</v>
      </c>
      <c r="E130" s="14">
        <v>4</v>
      </c>
      <c r="F130" s="14">
        <v>362</v>
      </c>
      <c r="G130" s="14">
        <v>129</v>
      </c>
      <c r="H130" s="14">
        <v>4984</v>
      </c>
      <c r="I130" s="14">
        <v>0.987153530714186</v>
      </c>
      <c r="J130" s="14">
        <v>0.999993588513658</v>
      </c>
      <c r="K130" s="14">
        <v>0.426913358173798</v>
      </c>
      <c r="L130" s="14" t="s">
        <v>21619</v>
      </c>
      <c r="M130" s="14" t="s">
        <v>5536</v>
      </c>
    </row>
    <row r="131" spans="1:13">
      <c r="A131" s="14" t="s">
        <v>21620</v>
      </c>
      <c r="B131" s="14" t="s">
        <v>21621</v>
      </c>
      <c r="C131" s="14" t="s">
        <v>21542</v>
      </c>
      <c r="D131" s="14" t="s">
        <v>21616</v>
      </c>
      <c r="E131" s="14">
        <v>2</v>
      </c>
      <c r="F131" s="14">
        <v>362</v>
      </c>
      <c r="G131" s="14">
        <v>63</v>
      </c>
      <c r="H131" s="14">
        <v>4984</v>
      </c>
      <c r="I131" s="14">
        <v>0.949688063328956</v>
      </c>
      <c r="J131" s="14">
        <v>0.999993588513658</v>
      </c>
      <c r="K131" s="14">
        <v>0.43707796193984</v>
      </c>
      <c r="L131" s="14" t="s">
        <v>21622</v>
      </c>
      <c r="M131" s="14" t="s">
        <v>21620</v>
      </c>
    </row>
    <row r="132" spans="1:13">
      <c r="A132" s="14" t="s">
        <v>21623</v>
      </c>
      <c r="B132" s="14" t="s">
        <v>21624</v>
      </c>
      <c r="C132" s="14" t="s">
        <v>21542</v>
      </c>
      <c r="D132" s="14" t="s">
        <v>21616</v>
      </c>
      <c r="E132" s="14">
        <v>5</v>
      </c>
      <c r="F132" s="14">
        <v>362</v>
      </c>
      <c r="G132" s="14">
        <v>65</v>
      </c>
      <c r="H132" s="14">
        <v>4984</v>
      </c>
      <c r="I132" s="14">
        <v>0.515122720505348</v>
      </c>
      <c r="J132" s="14">
        <v>0.999993588513658</v>
      </c>
      <c r="K132" s="14">
        <v>1.05907352316192</v>
      </c>
      <c r="L132" s="14" t="s">
        <v>21625</v>
      </c>
      <c r="M132" s="14" t="s">
        <v>21623</v>
      </c>
    </row>
    <row r="133" spans="1:13">
      <c r="A133" s="14" t="s">
        <v>21626</v>
      </c>
      <c r="B133" s="14" t="s">
        <v>21627</v>
      </c>
      <c r="C133" s="14" t="s">
        <v>21533</v>
      </c>
      <c r="D133" s="14" t="s">
        <v>21538</v>
      </c>
      <c r="E133" s="14">
        <v>1</v>
      </c>
      <c r="F133" s="14">
        <v>362</v>
      </c>
      <c r="G133" s="14">
        <v>49</v>
      </c>
      <c r="H133" s="14">
        <v>4984</v>
      </c>
      <c r="I133" s="14">
        <v>0.975607120239638</v>
      </c>
      <c r="J133" s="14">
        <v>0.999993588513658</v>
      </c>
      <c r="K133" s="14">
        <v>0.280978689818469</v>
      </c>
      <c r="L133" s="14" t="s">
        <v>4288</v>
      </c>
      <c r="M133" s="14" t="s">
        <v>21626</v>
      </c>
    </row>
    <row r="134" spans="1:13">
      <c r="A134" s="14" t="s">
        <v>21628</v>
      </c>
      <c r="B134" s="14" t="s">
        <v>21629</v>
      </c>
      <c r="C134" s="14" t="s">
        <v>21533</v>
      </c>
      <c r="D134" s="14" t="s">
        <v>21538</v>
      </c>
      <c r="E134" s="14">
        <v>3</v>
      </c>
      <c r="F134" s="14">
        <v>362</v>
      </c>
      <c r="G134" s="14">
        <v>70</v>
      </c>
      <c r="H134" s="14">
        <v>4984</v>
      </c>
      <c r="I134" s="14">
        <v>0.893050472752334</v>
      </c>
      <c r="J134" s="14">
        <v>0.999993588513658</v>
      </c>
      <c r="K134" s="14">
        <v>0.590055248618785</v>
      </c>
      <c r="L134" s="14" t="s">
        <v>21630</v>
      </c>
      <c r="M134" s="14" t="s">
        <v>21628</v>
      </c>
    </row>
    <row r="135" spans="1:13">
      <c r="A135" s="14" t="s">
        <v>21631</v>
      </c>
      <c r="B135" s="14" t="s">
        <v>21632</v>
      </c>
      <c r="C135" s="14" t="s">
        <v>21533</v>
      </c>
      <c r="D135" s="14" t="s">
        <v>21538</v>
      </c>
      <c r="E135" s="14">
        <v>3</v>
      </c>
      <c r="F135" s="14">
        <v>362</v>
      </c>
      <c r="G135" s="14">
        <v>63</v>
      </c>
      <c r="H135" s="14">
        <v>4984</v>
      </c>
      <c r="I135" s="14">
        <v>0.846811213835625</v>
      </c>
      <c r="J135" s="14">
        <v>0.999993588513658</v>
      </c>
      <c r="K135" s="14">
        <v>0.655616942909761</v>
      </c>
      <c r="L135" s="14" t="s">
        <v>16392</v>
      </c>
      <c r="M135" s="14" t="s">
        <v>21631</v>
      </c>
    </row>
    <row r="136" spans="1:13">
      <c r="A136" s="14" t="s">
        <v>21633</v>
      </c>
      <c r="B136" s="14" t="s">
        <v>21634</v>
      </c>
      <c r="C136" s="14" t="s">
        <v>21542</v>
      </c>
      <c r="D136" s="14" t="s">
        <v>21603</v>
      </c>
      <c r="E136" s="14">
        <v>2</v>
      </c>
      <c r="F136" s="14">
        <v>362</v>
      </c>
      <c r="G136" s="14">
        <v>24</v>
      </c>
      <c r="H136" s="14">
        <v>4984</v>
      </c>
      <c r="I136" s="14">
        <v>0.529109957726775</v>
      </c>
      <c r="J136" s="14">
        <v>0.999993588513658</v>
      </c>
      <c r="K136" s="14">
        <v>1.14732965009208</v>
      </c>
      <c r="L136" s="14" t="s">
        <v>21635</v>
      </c>
      <c r="M136" s="14" t="s">
        <v>21633</v>
      </c>
    </row>
    <row r="137" spans="1:13">
      <c r="A137" s="14" t="s">
        <v>21636</v>
      </c>
      <c r="B137" s="14" t="s">
        <v>21637</v>
      </c>
      <c r="C137" s="14" t="s">
        <v>21556</v>
      </c>
      <c r="D137" s="14" t="s">
        <v>21638</v>
      </c>
      <c r="E137" s="14">
        <v>10</v>
      </c>
      <c r="F137" s="14">
        <v>362</v>
      </c>
      <c r="G137" s="14">
        <v>87</v>
      </c>
      <c r="H137" s="14">
        <v>4984</v>
      </c>
      <c r="I137" s="14">
        <v>0.0976328978765949</v>
      </c>
      <c r="J137" s="14">
        <v>0.703457546239056</v>
      </c>
      <c r="K137" s="14">
        <v>1.58252365529942</v>
      </c>
      <c r="L137" s="14" t="s">
        <v>21639</v>
      </c>
      <c r="M137" s="14" t="s">
        <v>21636</v>
      </c>
    </row>
    <row r="138" spans="1:13">
      <c r="A138" s="14" t="s">
        <v>5962</v>
      </c>
      <c r="B138" s="14" t="s">
        <v>5963</v>
      </c>
      <c r="C138" s="14" t="s">
        <v>21556</v>
      </c>
      <c r="D138" s="14" t="s">
        <v>21638</v>
      </c>
      <c r="E138" s="14">
        <v>1</v>
      </c>
      <c r="F138" s="14">
        <v>362</v>
      </c>
      <c r="G138" s="14">
        <v>33</v>
      </c>
      <c r="H138" s="14">
        <v>4984</v>
      </c>
      <c r="I138" s="14">
        <v>0.917644400535216</v>
      </c>
      <c r="J138" s="14">
        <v>0.999993588513658</v>
      </c>
      <c r="K138" s="14">
        <v>0.417210781851666</v>
      </c>
      <c r="L138" s="14" t="s">
        <v>11618</v>
      </c>
      <c r="M138" s="14" t="s">
        <v>5962</v>
      </c>
    </row>
    <row r="139" spans="1:13">
      <c r="A139" s="14" t="s">
        <v>21640</v>
      </c>
      <c r="B139" s="14" t="s">
        <v>21641</v>
      </c>
      <c r="C139" s="14" t="s">
        <v>21542</v>
      </c>
      <c r="D139" s="14" t="s">
        <v>21603</v>
      </c>
      <c r="E139" s="14">
        <v>2</v>
      </c>
      <c r="F139" s="14">
        <v>362</v>
      </c>
      <c r="G139" s="14">
        <v>17</v>
      </c>
      <c r="H139" s="14">
        <v>4984</v>
      </c>
      <c r="I139" s="14">
        <v>0.353095058245499</v>
      </c>
      <c r="J139" s="14">
        <v>0.999993588513658</v>
      </c>
      <c r="K139" s="14">
        <v>1.61975950601235</v>
      </c>
      <c r="L139" s="14" t="s">
        <v>21642</v>
      </c>
      <c r="M139" s="14" t="s">
        <v>21640</v>
      </c>
    </row>
    <row r="140" spans="1:13">
      <c r="A140" s="14" t="s">
        <v>21643</v>
      </c>
      <c r="B140" s="14" t="s">
        <v>21644</v>
      </c>
      <c r="C140" s="14" t="s">
        <v>21542</v>
      </c>
      <c r="D140" s="14" t="s">
        <v>21603</v>
      </c>
      <c r="E140" s="14">
        <v>2</v>
      </c>
      <c r="F140" s="14">
        <v>362</v>
      </c>
      <c r="G140" s="14">
        <v>49</v>
      </c>
      <c r="H140" s="14">
        <v>4984</v>
      </c>
      <c r="I140" s="14">
        <v>0.881011383206558</v>
      </c>
      <c r="J140" s="14">
        <v>0.999993588513658</v>
      </c>
      <c r="K140" s="14">
        <v>0.561957379636938</v>
      </c>
      <c r="L140" s="14" t="s">
        <v>21645</v>
      </c>
      <c r="M140" s="14" t="s">
        <v>21643</v>
      </c>
    </row>
    <row r="141" spans="1:13">
      <c r="A141" s="14" t="s">
        <v>21646</v>
      </c>
      <c r="B141" s="14" t="s">
        <v>21647</v>
      </c>
      <c r="C141" s="14" t="s">
        <v>21542</v>
      </c>
      <c r="D141" s="14" t="s">
        <v>21603</v>
      </c>
      <c r="E141" s="14">
        <v>3</v>
      </c>
      <c r="F141" s="14">
        <v>362</v>
      </c>
      <c r="G141" s="14">
        <v>69</v>
      </c>
      <c r="H141" s="14">
        <v>4984</v>
      </c>
      <c r="I141" s="14">
        <v>0.887313826453102</v>
      </c>
      <c r="J141" s="14">
        <v>0.999993588513658</v>
      </c>
      <c r="K141" s="14">
        <v>0.598606773961086</v>
      </c>
      <c r="L141" s="14" t="s">
        <v>21648</v>
      </c>
      <c r="M141" s="14" t="s">
        <v>21646</v>
      </c>
    </row>
    <row r="142" spans="1:13">
      <c r="A142" s="14" t="s">
        <v>21649</v>
      </c>
      <c r="B142" s="14" t="s">
        <v>21650</v>
      </c>
      <c r="C142" s="14" t="s">
        <v>21556</v>
      </c>
      <c r="D142" s="14" t="s">
        <v>21651</v>
      </c>
      <c r="E142" s="14">
        <v>1</v>
      </c>
      <c r="F142" s="14">
        <v>362</v>
      </c>
      <c r="G142" s="14">
        <v>22</v>
      </c>
      <c r="H142" s="14">
        <v>4984</v>
      </c>
      <c r="I142" s="14">
        <v>0.81034655891836</v>
      </c>
      <c r="J142" s="14">
        <v>0.999993588513658</v>
      </c>
      <c r="K142" s="14">
        <v>0.625816172777499</v>
      </c>
      <c r="L142" s="14" t="s">
        <v>1632</v>
      </c>
      <c r="M142" s="14" t="s">
        <v>21649</v>
      </c>
    </row>
    <row r="143" spans="1:13">
      <c r="A143" s="14" t="s">
        <v>21652</v>
      </c>
      <c r="B143" s="14" t="s">
        <v>21653</v>
      </c>
      <c r="C143" s="14" t="s">
        <v>21556</v>
      </c>
      <c r="D143" s="14" t="s">
        <v>21651</v>
      </c>
      <c r="E143" s="14">
        <v>1</v>
      </c>
      <c r="F143" s="14">
        <v>362</v>
      </c>
      <c r="G143" s="14">
        <v>33</v>
      </c>
      <c r="H143" s="14">
        <v>4984</v>
      </c>
      <c r="I143" s="14">
        <v>0.917644400535216</v>
      </c>
      <c r="J143" s="14">
        <v>0.999993588513658</v>
      </c>
      <c r="K143" s="14">
        <v>0.417210781851666</v>
      </c>
      <c r="L143" s="14" t="s">
        <v>5869</v>
      </c>
      <c r="M143" s="14" t="s">
        <v>21652</v>
      </c>
    </row>
    <row r="144" spans="1:13">
      <c r="A144" s="14" t="s">
        <v>21654</v>
      </c>
      <c r="B144" s="14" t="s">
        <v>21655</v>
      </c>
      <c r="C144" s="14" t="s">
        <v>21556</v>
      </c>
      <c r="D144" s="14" t="s">
        <v>21651</v>
      </c>
      <c r="E144" s="14">
        <v>3</v>
      </c>
      <c r="F144" s="14">
        <v>362</v>
      </c>
      <c r="G144" s="14">
        <v>16</v>
      </c>
      <c r="H144" s="14">
        <v>4984</v>
      </c>
      <c r="I144" s="14">
        <v>0.105172819265141</v>
      </c>
      <c r="J144" s="14">
        <v>0.728228376073847</v>
      </c>
      <c r="K144" s="14">
        <v>2.58149171270718</v>
      </c>
      <c r="L144" s="14" t="s">
        <v>21656</v>
      </c>
      <c r="M144" s="14" t="s">
        <v>21654</v>
      </c>
    </row>
    <row r="145" spans="1:13">
      <c r="A145" s="14" t="s">
        <v>7012</v>
      </c>
      <c r="B145" s="14" t="s">
        <v>7013</v>
      </c>
      <c r="C145" s="14" t="s">
        <v>21533</v>
      </c>
      <c r="D145" s="14" t="s">
        <v>21538</v>
      </c>
      <c r="E145" s="14">
        <v>1</v>
      </c>
      <c r="F145" s="14">
        <v>362</v>
      </c>
      <c r="G145" s="14">
        <v>51</v>
      </c>
      <c r="H145" s="14">
        <v>4984</v>
      </c>
      <c r="I145" s="14">
        <v>0.979054815225947</v>
      </c>
      <c r="J145" s="14">
        <v>0.999993588513658</v>
      </c>
      <c r="K145" s="14">
        <v>0.269959917668725</v>
      </c>
      <c r="L145" s="14" t="s">
        <v>4385</v>
      </c>
      <c r="M145" s="14" t="s">
        <v>7012</v>
      </c>
    </row>
    <row r="146" spans="1:13">
      <c r="A146" s="14" t="s">
        <v>21657</v>
      </c>
      <c r="B146" s="14" t="s">
        <v>21658</v>
      </c>
      <c r="C146" s="14" t="s">
        <v>21556</v>
      </c>
      <c r="D146" s="14" t="s">
        <v>21659</v>
      </c>
      <c r="E146" s="14">
        <v>2</v>
      </c>
      <c r="F146" s="14">
        <v>362</v>
      </c>
      <c r="G146" s="14">
        <v>23</v>
      </c>
      <c r="H146" s="14">
        <v>4984</v>
      </c>
      <c r="I146" s="14">
        <v>0.505953168194018</v>
      </c>
      <c r="J146" s="14">
        <v>0.999993588513658</v>
      </c>
      <c r="K146" s="14">
        <v>1.19721354792217</v>
      </c>
      <c r="L146" s="14" t="s">
        <v>21660</v>
      </c>
      <c r="M146" s="14" t="s">
        <v>21657</v>
      </c>
    </row>
    <row r="147" spans="1:13">
      <c r="A147" s="14" t="s">
        <v>4730</v>
      </c>
      <c r="B147" s="14" t="s">
        <v>4731</v>
      </c>
      <c r="C147" s="14" t="s">
        <v>21556</v>
      </c>
      <c r="D147" s="14" t="s">
        <v>21659</v>
      </c>
      <c r="E147" s="14">
        <v>4</v>
      </c>
      <c r="F147" s="14">
        <v>362</v>
      </c>
      <c r="G147" s="14">
        <v>44</v>
      </c>
      <c r="H147" s="14">
        <v>4984</v>
      </c>
      <c r="I147" s="14">
        <v>0.398252255836649</v>
      </c>
      <c r="J147" s="14">
        <v>0.999993588513658</v>
      </c>
      <c r="K147" s="14">
        <v>1.251632345555</v>
      </c>
      <c r="L147" s="14" t="s">
        <v>21661</v>
      </c>
      <c r="M147" s="14" t="s">
        <v>4730</v>
      </c>
    </row>
    <row r="148" spans="1:13">
      <c r="A148" s="14" t="s">
        <v>21662</v>
      </c>
      <c r="B148" s="14" t="s">
        <v>21663</v>
      </c>
      <c r="C148" s="14" t="s">
        <v>21533</v>
      </c>
      <c r="D148" s="14" t="s">
        <v>21538</v>
      </c>
      <c r="E148" s="14">
        <v>2</v>
      </c>
      <c r="F148" s="14">
        <v>362</v>
      </c>
      <c r="G148" s="14">
        <v>17</v>
      </c>
      <c r="H148" s="14">
        <v>4984</v>
      </c>
      <c r="I148" s="14">
        <v>0.353095058245499</v>
      </c>
      <c r="J148" s="14">
        <v>0.999993588513658</v>
      </c>
      <c r="K148" s="14">
        <v>1.61975950601235</v>
      </c>
      <c r="L148" s="14" t="s">
        <v>21589</v>
      </c>
      <c r="M148" s="14" t="s">
        <v>21662</v>
      </c>
    </row>
    <row r="149" spans="1:13">
      <c r="A149" s="14" t="s">
        <v>21664</v>
      </c>
      <c r="B149" s="14" t="s">
        <v>21665</v>
      </c>
      <c r="C149" s="14" t="s">
        <v>21533</v>
      </c>
      <c r="D149" s="14" t="s">
        <v>21538</v>
      </c>
      <c r="E149" s="14">
        <v>2</v>
      </c>
      <c r="F149" s="14">
        <v>362</v>
      </c>
      <c r="G149" s="14">
        <v>28</v>
      </c>
      <c r="H149" s="14">
        <v>4984</v>
      </c>
      <c r="I149" s="14">
        <v>0.614157133528863</v>
      </c>
      <c r="J149" s="14">
        <v>0.999993588513658</v>
      </c>
      <c r="K149" s="14">
        <v>0.983425414364641</v>
      </c>
      <c r="L149" s="14" t="s">
        <v>21582</v>
      </c>
      <c r="M149" s="14" t="s">
        <v>21664</v>
      </c>
    </row>
    <row r="150" spans="1:13">
      <c r="A150" s="14" t="s">
        <v>21666</v>
      </c>
      <c r="B150" s="14" t="s">
        <v>21667</v>
      </c>
      <c r="C150" s="14" t="s">
        <v>21556</v>
      </c>
      <c r="D150" s="14" t="s">
        <v>21659</v>
      </c>
      <c r="E150" s="14">
        <v>2</v>
      </c>
      <c r="F150" s="14">
        <v>362</v>
      </c>
      <c r="G150" s="14">
        <v>19</v>
      </c>
      <c r="H150" s="14">
        <v>4984</v>
      </c>
      <c r="I150" s="14">
        <v>0.406393793757281</v>
      </c>
      <c r="J150" s="14">
        <v>0.999993588513658</v>
      </c>
      <c r="K150" s="14">
        <v>1.44925850537947</v>
      </c>
      <c r="L150" s="14" t="s">
        <v>21589</v>
      </c>
      <c r="M150" s="14" t="s">
        <v>21666</v>
      </c>
    </row>
    <row r="151" spans="1:13">
      <c r="A151" s="14" t="s">
        <v>21668</v>
      </c>
      <c r="B151" s="14" t="s">
        <v>21669</v>
      </c>
      <c r="C151" s="14" t="s">
        <v>21542</v>
      </c>
      <c r="D151" s="14" t="s">
        <v>21670</v>
      </c>
      <c r="E151" s="14">
        <v>2</v>
      </c>
      <c r="F151" s="14">
        <v>362</v>
      </c>
      <c r="G151" s="14">
        <v>30</v>
      </c>
      <c r="H151" s="14">
        <v>4984</v>
      </c>
      <c r="I151" s="14">
        <v>0.652069420441335</v>
      </c>
      <c r="J151" s="14">
        <v>0.999993588513658</v>
      </c>
      <c r="K151" s="14">
        <v>0.917863720073665</v>
      </c>
      <c r="L151" s="14" t="s">
        <v>21589</v>
      </c>
      <c r="M151" s="14" t="s">
        <v>21668</v>
      </c>
    </row>
    <row r="152" spans="1:13">
      <c r="A152" s="14" t="s">
        <v>5062</v>
      </c>
      <c r="B152" s="14" t="s">
        <v>5063</v>
      </c>
      <c r="C152" s="14" t="s">
        <v>21542</v>
      </c>
      <c r="D152" s="14" t="s">
        <v>21670</v>
      </c>
      <c r="E152" s="14">
        <v>1</v>
      </c>
      <c r="F152" s="14">
        <v>362</v>
      </c>
      <c r="G152" s="14">
        <v>17</v>
      </c>
      <c r="H152" s="14">
        <v>4984</v>
      </c>
      <c r="I152" s="14">
        <v>0.723081397609551</v>
      </c>
      <c r="J152" s="14">
        <v>0.999993588513658</v>
      </c>
      <c r="K152" s="14">
        <v>0.809879753006175</v>
      </c>
      <c r="L152" s="14" t="s">
        <v>4385</v>
      </c>
      <c r="M152" s="14" t="s">
        <v>5062</v>
      </c>
    </row>
    <row r="153" spans="1:13">
      <c r="A153" s="14" t="s">
        <v>21671</v>
      </c>
      <c r="B153" s="14" t="s">
        <v>21672</v>
      </c>
      <c r="C153" s="14" t="s">
        <v>21542</v>
      </c>
      <c r="D153" s="14" t="s">
        <v>21670</v>
      </c>
      <c r="E153" s="14">
        <v>1</v>
      </c>
      <c r="F153" s="14">
        <v>362</v>
      </c>
      <c r="G153" s="14">
        <v>47</v>
      </c>
      <c r="H153" s="14">
        <v>4984</v>
      </c>
      <c r="I153" s="14">
        <v>0.971593737592502</v>
      </c>
      <c r="J153" s="14">
        <v>0.999993588513658</v>
      </c>
      <c r="K153" s="14">
        <v>0.292935229810744</v>
      </c>
      <c r="L153" s="14" t="s">
        <v>4385</v>
      </c>
      <c r="M153" s="14" t="s">
        <v>21671</v>
      </c>
    </row>
    <row r="154" spans="1:13">
      <c r="A154" s="14" t="s">
        <v>21673</v>
      </c>
      <c r="B154" s="14" t="s">
        <v>21674</v>
      </c>
      <c r="C154" s="14" t="s">
        <v>21542</v>
      </c>
      <c r="D154" s="14" t="s">
        <v>21670</v>
      </c>
      <c r="E154" s="14">
        <v>1</v>
      </c>
      <c r="F154" s="14">
        <v>362</v>
      </c>
      <c r="G154" s="14">
        <v>19</v>
      </c>
      <c r="H154" s="14">
        <v>4984</v>
      </c>
      <c r="I154" s="14">
        <v>0.761978490372629</v>
      </c>
      <c r="J154" s="14">
        <v>0.999993588513658</v>
      </c>
      <c r="K154" s="14">
        <v>0.724629252689735</v>
      </c>
      <c r="L154" s="14" t="s">
        <v>4288</v>
      </c>
      <c r="M154" s="14" t="s">
        <v>21673</v>
      </c>
    </row>
    <row r="155" spans="1:13">
      <c r="A155" s="14" t="s">
        <v>4585</v>
      </c>
      <c r="B155" s="14" t="s">
        <v>4586</v>
      </c>
      <c r="C155" s="14" t="s">
        <v>21542</v>
      </c>
      <c r="D155" s="14" t="s">
        <v>21670</v>
      </c>
      <c r="E155" s="14">
        <v>2</v>
      </c>
      <c r="F155" s="14">
        <v>362</v>
      </c>
      <c r="G155" s="14">
        <v>7</v>
      </c>
      <c r="H155" s="14">
        <v>4984</v>
      </c>
      <c r="I155" s="14">
        <v>0.0866018128056601</v>
      </c>
      <c r="J155" s="14">
        <v>0.669472120346931</v>
      </c>
      <c r="K155" s="14">
        <v>3.93370165745856</v>
      </c>
      <c r="L155" s="14" t="s">
        <v>21675</v>
      </c>
      <c r="M155" s="14" t="s">
        <v>4585</v>
      </c>
    </row>
    <row r="156" spans="1:13">
      <c r="A156" s="14" t="s">
        <v>15333</v>
      </c>
      <c r="B156" s="14" t="s">
        <v>15334</v>
      </c>
      <c r="C156" s="14" t="s">
        <v>21556</v>
      </c>
      <c r="D156" s="14" t="s">
        <v>21588</v>
      </c>
      <c r="E156" s="14">
        <v>5</v>
      </c>
      <c r="F156" s="14">
        <v>362</v>
      </c>
      <c r="G156" s="14">
        <v>48</v>
      </c>
      <c r="H156" s="14">
        <v>4984</v>
      </c>
      <c r="I156" s="14">
        <v>0.267608788644877</v>
      </c>
      <c r="J156" s="14">
        <v>0.999993588513658</v>
      </c>
      <c r="K156" s="14">
        <v>1.4341620626151</v>
      </c>
      <c r="L156" s="14" t="s">
        <v>21676</v>
      </c>
      <c r="M156" s="14" t="s">
        <v>15333</v>
      </c>
    </row>
    <row r="157" spans="1:13">
      <c r="A157" s="14" t="s">
        <v>21677</v>
      </c>
      <c r="B157" s="14" t="s">
        <v>21678</v>
      </c>
      <c r="C157" s="14" t="s">
        <v>21556</v>
      </c>
      <c r="D157" s="14" t="s">
        <v>21588</v>
      </c>
      <c r="E157" s="14">
        <v>9</v>
      </c>
      <c r="F157" s="14">
        <v>362</v>
      </c>
      <c r="G157" s="14">
        <v>60</v>
      </c>
      <c r="H157" s="14">
        <v>4984</v>
      </c>
      <c r="I157" s="14">
        <v>0.0277027335528544</v>
      </c>
      <c r="J157" s="14">
        <v>0.370688958492956</v>
      </c>
      <c r="K157" s="14">
        <v>2.06519337016575</v>
      </c>
      <c r="L157" s="14" t="s">
        <v>21679</v>
      </c>
      <c r="M157" s="14" t="s">
        <v>21677</v>
      </c>
    </row>
    <row r="158" spans="1:13">
      <c r="A158" s="14" t="s">
        <v>21680</v>
      </c>
      <c r="B158" s="14" t="s">
        <v>21681</v>
      </c>
      <c r="C158" s="14" t="s">
        <v>21556</v>
      </c>
      <c r="D158" s="14" t="s">
        <v>21588</v>
      </c>
      <c r="E158" s="14">
        <v>2</v>
      </c>
      <c r="F158" s="14">
        <v>362</v>
      </c>
      <c r="G158" s="14">
        <v>13</v>
      </c>
      <c r="H158" s="14">
        <v>4984</v>
      </c>
      <c r="I158" s="14">
        <v>0.242696268243905</v>
      </c>
      <c r="J158" s="14">
        <v>0.994298645306563</v>
      </c>
      <c r="K158" s="14">
        <v>2.11814704632384</v>
      </c>
      <c r="L158" s="14" t="s">
        <v>21589</v>
      </c>
      <c r="M158" s="14" t="s">
        <v>21680</v>
      </c>
    </row>
    <row r="159" spans="1:13">
      <c r="A159" s="14" t="s">
        <v>21682</v>
      </c>
      <c r="B159" s="14" t="s">
        <v>21683</v>
      </c>
      <c r="C159" s="14" t="s">
        <v>21556</v>
      </c>
      <c r="D159" s="14" t="s">
        <v>21588</v>
      </c>
      <c r="E159" s="14">
        <v>1</v>
      </c>
      <c r="F159" s="14">
        <v>362</v>
      </c>
      <c r="G159" s="14">
        <v>18</v>
      </c>
      <c r="H159" s="14">
        <v>4984</v>
      </c>
      <c r="I159" s="14">
        <v>0.743263506340242</v>
      </c>
      <c r="J159" s="14">
        <v>0.999993588513658</v>
      </c>
      <c r="K159" s="14">
        <v>0.764886433394721</v>
      </c>
      <c r="L159" s="14" t="s">
        <v>5365</v>
      </c>
      <c r="M159" s="14" t="s">
        <v>21682</v>
      </c>
    </row>
    <row r="160" spans="1:13">
      <c r="A160" s="14" t="s">
        <v>21684</v>
      </c>
      <c r="B160" s="14" t="s">
        <v>21685</v>
      </c>
      <c r="C160" s="14" t="s">
        <v>21556</v>
      </c>
      <c r="D160" s="14" t="s">
        <v>21588</v>
      </c>
      <c r="E160" s="14">
        <v>1</v>
      </c>
      <c r="F160" s="14">
        <v>362</v>
      </c>
      <c r="G160" s="14">
        <v>11</v>
      </c>
      <c r="H160" s="14">
        <v>4984</v>
      </c>
      <c r="I160" s="14">
        <v>0.564091764590167</v>
      </c>
      <c r="J160" s="14">
        <v>0.999993588513658</v>
      </c>
      <c r="K160" s="14">
        <v>1.251632345555</v>
      </c>
      <c r="L160" s="14" t="s">
        <v>5869</v>
      </c>
      <c r="M160" s="14" t="s">
        <v>21684</v>
      </c>
    </row>
    <row r="161" spans="1:13">
      <c r="A161" s="14" t="s">
        <v>754</v>
      </c>
      <c r="B161" s="14" t="s">
        <v>755</v>
      </c>
      <c r="C161" s="14" t="s">
        <v>21556</v>
      </c>
      <c r="D161" s="14" t="s">
        <v>21686</v>
      </c>
      <c r="E161" s="14">
        <v>21</v>
      </c>
      <c r="F161" s="14">
        <v>362</v>
      </c>
      <c r="G161" s="14">
        <v>156</v>
      </c>
      <c r="H161" s="14">
        <v>4984</v>
      </c>
      <c r="I161" s="14">
        <v>0.00403370309622081</v>
      </c>
      <c r="J161" s="14">
        <v>0.125551407822005</v>
      </c>
      <c r="K161" s="14">
        <v>1.85337866553336</v>
      </c>
      <c r="L161" s="14" t="s">
        <v>21687</v>
      </c>
      <c r="M161" s="14" t="s">
        <v>754</v>
      </c>
    </row>
    <row r="162" spans="1:13">
      <c r="A162" s="14" t="s">
        <v>21688</v>
      </c>
      <c r="B162" s="14" t="s">
        <v>21689</v>
      </c>
      <c r="C162" s="14" t="s">
        <v>21556</v>
      </c>
      <c r="D162" s="14" t="s">
        <v>21588</v>
      </c>
      <c r="E162" s="14">
        <v>2</v>
      </c>
      <c r="F162" s="14">
        <v>362</v>
      </c>
      <c r="G162" s="14">
        <v>16</v>
      </c>
      <c r="H162" s="14">
        <v>4984</v>
      </c>
      <c r="I162" s="14">
        <v>0.325808689724875</v>
      </c>
      <c r="J162" s="14">
        <v>0.999993588513658</v>
      </c>
      <c r="K162" s="14">
        <v>1.72099447513812</v>
      </c>
      <c r="L162" s="14" t="s">
        <v>21589</v>
      </c>
      <c r="M162" s="14" t="s">
        <v>21688</v>
      </c>
    </row>
    <row r="163" spans="1:13">
      <c r="A163" s="14" t="s">
        <v>21690</v>
      </c>
      <c r="B163" s="14" t="s">
        <v>21691</v>
      </c>
      <c r="C163" s="14" t="s">
        <v>21556</v>
      </c>
      <c r="D163" s="14" t="s">
        <v>21588</v>
      </c>
      <c r="E163" s="14">
        <v>1</v>
      </c>
      <c r="F163" s="14">
        <v>362</v>
      </c>
      <c r="G163" s="14">
        <v>15</v>
      </c>
      <c r="H163" s="14">
        <v>4984</v>
      </c>
      <c r="I163" s="14">
        <v>0.677848194945947</v>
      </c>
      <c r="J163" s="14">
        <v>0.999993588513658</v>
      </c>
      <c r="K163" s="14">
        <v>0.917863720073665</v>
      </c>
      <c r="L163" s="14" t="s">
        <v>3379</v>
      </c>
      <c r="M163" s="14" t="s">
        <v>21690</v>
      </c>
    </row>
    <row r="164" spans="1:13">
      <c r="A164" s="14" t="s">
        <v>21692</v>
      </c>
      <c r="B164" s="14" t="s">
        <v>21693</v>
      </c>
      <c r="C164" s="14" t="s">
        <v>21556</v>
      </c>
      <c r="D164" s="14" t="s">
        <v>21588</v>
      </c>
      <c r="E164" s="14">
        <v>1</v>
      </c>
      <c r="F164" s="14">
        <v>362</v>
      </c>
      <c r="G164" s="14">
        <v>10</v>
      </c>
      <c r="H164" s="14">
        <v>4984</v>
      </c>
      <c r="I164" s="14">
        <v>0.529876937786533</v>
      </c>
      <c r="J164" s="14">
        <v>0.999993588513658</v>
      </c>
      <c r="K164" s="14">
        <v>1.3767955801105</v>
      </c>
      <c r="L164" s="14" t="s">
        <v>4288</v>
      </c>
      <c r="M164" s="14" t="s">
        <v>21692</v>
      </c>
    </row>
    <row r="165" spans="1:13">
      <c r="A165" s="14" t="s">
        <v>21694</v>
      </c>
      <c r="B165" s="14" t="s">
        <v>21695</v>
      </c>
      <c r="C165" s="14" t="s">
        <v>21556</v>
      </c>
      <c r="D165" s="14" t="s">
        <v>21588</v>
      </c>
      <c r="E165" s="14">
        <v>2</v>
      </c>
      <c r="F165" s="14">
        <v>362</v>
      </c>
      <c r="G165" s="14">
        <v>17</v>
      </c>
      <c r="H165" s="14">
        <v>4984</v>
      </c>
      <c r="I165" s="14">
        <v>0.353095058245499</v>
      </c>
      <c r="J165" s="14">
        <v>0.999993588513658</v>
      </c>
      <c r="K165" s="14">
        <v>1.61975950601235</v>
      </c>
      <c r="L165" s="14" t="s">
        <v>21589</v>
      </c>
      <c r="M165" s="14" t="s">
        <v>21694</v>
      </c>
    </row>
    <row r="166" spans="1:13">
      <c r="A166" s="14" t="s">
        <v>21696</v>
      </c>
      <c r="B166" s="14" t="s">
        <v>21697</v>
      </c>
      <c r="C166" s="14" t="s">
        <v>21556</v>
      </c>
      <c r="D166" s="14" t="s">
        <v>21588</v>
      </c>
      <c r="E166" s="14">
        <v>2</v>
      </c>
      <c r="F166" s="14">
        <v>362</v>
      </c>
      <c r="G166" s="14">
        <v>13</v>
      </c>
      <c r="H166" s="14">
        <v>4984</v>
      </c>
      <c r="I166" s="14">
        <v>0.242696268243905</v>
      </c>
      <c r="J166" s="14">
        <v>0.994298645306563</v>
      </c>
      <c r="K166" s="14">
        <v>2.11814704632384</v>
      </c>
      <c r="L166" s="14" t="s">
        <v>21589</v>
      </c>
      <c r="M166" s="14" t="s">
        <v>21696</v>
      </c>
    </row>
    <row r="167" spans="1:13">
      <c r="A167" s="14" t="s">
        <v>21698</v>
      </c>
      <c r="B167" s="14" t="s">
        <v>21699</v>
      </c>
      <c r="C167" s="14" t="s">
        <v>21556</v>
      </c>
      <c r="D167" s="14" t="s">
        <v>21588</v>
      </c>
      <c r="E167" s="14">
        <v>4</v>
      </c>
      <c r="F167" s="14">
        <v>362</v>
      </c>
      <c r="G167" s="14">
        <v>46</v>
      </c>
      <c r="H167" s="14">
        <v>4984</v>
      </c>
      <c r="I167" s="14">
        <v>0.431792894883558</v>
      </c>
      <c r="J167" s="14">
        <v>0.999993588513658</v>
      </c>
      <c r="K167" s="14">
        <v>1.19721354792217</v>
      </c>
      <c r="L167" s="14" t="s">
        <v>21700</v>
      </c>
      <c r="M167" s="14" t="s">
        <v>21698</v>
      </c>
    </row>
    <row r="168" spans="1:13">
      <c r="A168" s="14" t="s">
        <v>21701</v>
      </c>
      <c r="B168" s="14" t="s">
        <v>21702</v>
      </c>
      <c r="C168" s="14" t="s">
        <v>21533</v>
      </c>
      <c r="D168" s="14" t="s">
        <v>21538</v>
      </c>
      <c r="E168" s="14">
        <v>1</v>
      </c>
      <c r="F168" s="14">
        <v>362</v>
      </c>
      <c r="G168" s="14">
        <v>6</v>
      </c>
      <c r="H168" s="14">
        <v>4984</v>
      </c>
      <c r="I168" s="14">
        <v>0.364070464915605</v>
      </c>
      <c r="J168" s="14">
        <v>0.999993588513658</v>
      </c>
      <c r="K168" s="14">
        <v>2.29465930018416</v>
      </c>
      <c r="L168" s="14" t="s">
        <v>4288</v>
      </c>
      <c r="M168" s="14" t="s">
        <v>21701</v>
      </c>
    </row>
    <row r="169" spans="1:13">
      <c r="A169" s="14" t="s">
        <v>21703</v>
      </c>
      <c r="B169" s="14" t="s">
        <v>21704</v>
      </c>
      <c r="C169" s="14" t="s">
        <v>21556</v>
      </c>
      <c r="D169" s="14" t="s">
        <v>21588</v>
      </c>
      <c r="E169" s="14">
        <v>1</v>
      </c>
      <c r="F169" s="14">
        <v>362</v>
      </c>
      <c r="G169" s="14">
        <v>8</v>
      </c>
      <c r="H169" s="14">
        <v>4984</v>
      </c>
      <c r="I169" s="14">
        <v>0.453205713046698</v>
      </c>
      <c r="J169" s="14">
        <v>0.999993588513658</v>
      </c>
      <c r="K169" s="14">
        <v>1.72099447513812</v>
      </c>
      <c r="L169" s="14" t="s">
        <v>4385</v>
      </c>
      <c r="M169" s="14" t="s">
        <v>21703</v>
      </c>
    </row>
    <row r="170" spans="1:13">
      <c r="A170" s="14" t="s">
        <v>1271</v>
      </c>
      <c r="B170" s="14" t="s">
        <v>1272</v>
      </c>
      <c r="C170" s="14" t="s">
        <v>21556</v>
      </c>
      <c r="D170" s="14" t="s">
        <v>21686</v>
      </c>
      <c r="E170" s="14">
        <v>1</v>
      </c>
      <c r="F170" s="14">
        <v>362</v>
      </c>
      <c r="G170" s="14">
        <v>33</v>
      </c>
      <c r="H170" s="14">
        <v>4984</v>
      </c>
      <c r="I170" s="14">
        <v>0.917644400535216</v>
      </c>
      <c r="J170" s="14">
        <v>0.999993588513658</v>
      </c>
      <c r="K170" s="14">
        <v>0.417210781851666</v>
      </c>
      <c r="L170" s="14" t="s">
        <v>1204</v>
      </c>
      <c r="M170" s="14" t="s">
        <v>1271</v>
      </c>
    </row>
    <row r="171" spans="1:13">
      <c r="A171" s="14" t="s">
        <v>21705</v>
      </c>
      <c r="B171" s="14" t="s">
        <v>21706</v>
      </c>
      <c r="C171" s="14" t="s">
        <v>21556</v>
      </c>
      <c r="D171" s="14" t="s">
        <v>21686</v>
      </c>
      <c r="E171" s="14">
        <v>1</v>
      </c>
      <c r="F171" s="14">
        <v>362</v>
      </c>
      <c r="G171" s="14">
        <v>8</v>
      </c>
      <c r="H171" s="14">
        <v>4984</v>
      </c>
      <c r="I171" s="14">
        <v>0.453205713046698</v>
      </c>
      <c r="J171" s="14">
        <v>0.999993588513658</v>
      </c>
      <c r="K171" s="14">
        <v>1.72099447513812</v>
      </c>
      <c r="L171" s="14" t="s">
        <v>5869</v>
      </c>
      <c r="M171" s="14" t="s">
        <v>21705</v>
      </c>
    </row>
    <row r="172" spans="1:13">
      <c r="A172" s="14" t="s">
        <v>6957</v>
      </c>
      <c r="B172" s="14" t="s">
        <v>6958</v>
      </c>
      <c r="C172" s="14" t="s">
        <v>21556</v>
      </c>
      <c r="D172" s="14" t="s">
        <v>21686</v>
      </c>
      <c r="E172" s="14">
        <v>3</v>
      </c>
      <c r="F172" s="14">
        <v>362</v>
      </c>
      <c r="G172" s="14">
        <v>131</v>
      </c>
      <c r="H172" s="14">
        <v>4984</v>
      </c>
      <c r="I172" s="14">
        <v>0.997015426007671</v>
      </c>
      <c r="J172" s="14">
        <v>0.999993588513658</v>
      </c>
      <c r="K172" s="14">
        <v>0.315296697735228</v>
      </c>
      <c r="L172" s="14" t="s">
        <v>21707</v>
      </c>
      <c r="M172" s="14" t="s">
        <v>6957</v>
      </c>
    </row>
    <row r="173" spans="1:13">
      <c r="A173" s="14" t="s">
        <v>21708</v>
      </c>
      <c r="B173" s="14" t="s">
        <v>21709</v>
      </c>
      <c r="C173" s="14" t="s">
        <v>21556</v>
      </c>
      <c r="D173" s="14" t="s">
        <v>21710</v>
      </c>
      <c r="E173" s="14">
        <v>2</v>
      </c>
      <c r="F173" s="14">
        <v>362</v>
      </c>
      <c r="G173" s="14">
        <v>20</v>
      </c>
      <c r="H173" s="14">
        <v>4984</v>
      </c>
      <c r="I173" s="14">
        <v>0.432247988214107</v>
      </c>
      <c r="J173" s="14">
        <v>0.999993588513658</v>
      </c>
      <c r="K173" s="14">
        <v>1.3767955801105</v>
      </c>
      <c r="L173" s="14" t="s">
        <v>21582</v>
      </c>
      <c r="M173" s="14" t="s">
        <v>21708</v>
      </c>
    </row>
    <row r="174" spans="1:13">
      <c r="A174" s="14" t="s">
        <v>21711</v>
      </c>
      <c r="B174" s="14" t="s">
        <v>21712</v>
      </c>
      <c r="C174" s="14" t="s">
        <v>21556</v>
      </c>
      <c r="D174" s="14" t="s">
        <v>21710</v>
      </c>
      <c r="E174" s="14">
        <v>2</v>
      </c>
      <c r="F174" s="14">
        <v>362</v>
      </c>
      <c r="G174" s="14">
        <v>49</v>
      </c>
      <c r="H174" s="14">
        <v>4984</v>
      </c>
      <c r="I174" s="14">
        <v>0.881011383206558</v>
      </c>
      <c r="J174" s="14">
        <v>0.999993588513658</v>
      </c>
      <c r="K174" s="14">
        <v>0.561957379636938</v>
      </c>
      <c r="L174" s="14" t="s">
        <v>21713</v>
      </c>
      <c r="M174" s="14" t="s">
        <v>21711</v>
      </c>
    </row>
    <row r="175" spans="1:13">
      <c r="A175" s="14" t="s">
        <v>21714</v>
      </c>
      <c r="B175" s="14" t="s">
        <v>21715</v>
      </c>
      <c r="C175" s="14" t="s">
        <v>21556</v>
      </c>
      <c r="D175" s="14" t="s">
        <v>21710</v>
      </c>
      <c r="E175" s="14">
        <v>4</v>
      </c>
      <c r="F175" s="14">
        <v>362</v>
      </c>
      <c r="G175" s="14">
        <v>34</v>
      </c>
      <c r="H175" s="14">
        <v>4984</v>
      </c>
      <c r="I175" s="14">
        <v>0.231025017360977</v>
      </c>
      <c r="J175" s="14">
        <v>0.994298645306563</v>
      </c>
      <c r="K175" s="14">
        <v>1.61975950601235</v>
      </c>
      <c r="L175" s="14" t="s">
        <v>21716</v>
      </c>
      <c r="M175" s="14" t="s">
        <v>21714</v>
      </c>
    </row>
    <row r="176" spans="1:13">
      <c r="A176" s="14" t="s">
        <v>21717</v>
      </c>
      <c r="B176" s="14" t="s">
        <v>21718</v>
      </c>
      <c r="C176" s="14" t="s">
        <v>21556</v>
      </c>
      <c r="D176" s="14" t="s">
        <v>21710</v>
      </c>
      <c r="E176" s="14">
        <v>2</v>
      </c>
      <c r="F176" s="14">
        <v>362</v>
      </c>
      <c r="G176" s="14">
        <v>51</v>
      </c>
      <c r="H176" s="14">
        <v>4984</v>
      </c>
      <c r="I176" s="14">
        <v>0.894476949675081</v>
      </c>
      <c r="J176" s="14">
        <v>0.999993588513658</v>
      </c>
      <c r="K176" s="14">
        <v>0.53991983533745</v>
      </c>
      <c r="L176" s="14" t="s">
        <v>21713</v>
      </c>
      <c r="M176" s="14" t="s">
        <v>21717</v>
      </c>
    </row>
    <row r="177" spans="1:13">
      <c r="A177" s="14" t="s">
        <v>21719</v>
      </c>
      <c r="B177" s="14" t="s">
        <v>21720</v>
      </c>
      <c r="C177" s="14" t="s">
        <v>21556</v>
      </c>
      <c r="D177" s="14" t="s">
        <v>21710</v>
      </c>
      <c r="E177" s="14">
        <v>1</v>
      </c>
      <c r="F177" s="14">
        <v>362</v>
      </c>
      <c r="G177" s="14">
        <v>25</v>
      </c>
      <c r="H177" s="14">
        <v>4984</v>
      </c>
      <c r="I177" s="14">
        <v>0.848907373176757</v>
      </c>
      <c r="J177" s="14">
        <v>0.999993588513658</v>
      </c>
      <c r="K177" s="14">
        <v>0.550718232044199</v>
      </c>
      <c r="L177" s="14" t="s">
        <v>7354</v>
      </c>
      <c r="M177" s="14" t="s">
        <v>21719</v>
      </c>
    </row>
    <row r="178" spans="1:13">
      <c r="A178" s="14" t="s">
        <v>21721</v>
      </c>
      <c r="B178" s="14" t="s">
        <v>21722</v>
      </c>
      <c r="C178" s="14" t="s">
        <v>21556</v>
      </c>
      <c r="D178" s="14" t="s">
        <v>21710</v>
      </c>
      <c r="E178" s="14">
        <v>1</v>
      </c>
      <c r="F178" s="14">
        <v>362</v>
      </c>
      <c r="G178" s="14">
        <v>5</v>
      </c>
      <c r="H178" s="14">
        <v>4984</v>
      </c>
      <c r="I178" s="14">
        <v>0.314209842931513</v>
      </c>
      <c r="J178" s="14">
        <v>0.999993588513658</v>
      </c>
      <c r="K178" s="14">
        <v>2.75359116022099</v>
      </c>
      <c r="L178" s="14" t="s">
        <v>4288</v>
      </c>
      <c r="M178" s="14" t="s">
        <v>21721</v>
      </c>
    </row>
    <row r="179" spans="1:13">
      <c r="A179" s="14" t="s">
        <v>21723</v>
      </c>
      <c r="B179" s="14" t="s">
        <v>21724</v>
      </c>
      <c r="C179" s="14" t="s">
        <v>21556</v>
      </c>
      <c r="D179" s="14" t="s">
        <v>21710</v>
      </c>
      <c r="E179" s="14">
        <v>1</v>
      </c>
      <c r="F179" s="14">
        <v>362</v>
      </c>
      <c r="G179" s="14">
        <v>7</v>
      </c>
      <c r="H179" s="14">
        <v>4984</v>
      </c>
      <c r="I179" s="14">
        <v>0.410315240267262</v>
      </c>
      <c r="J179" s="14">
        <v>0.999993588513658</v>
      </c>
      <c r="K179" s="14">
        <v>1.96685082872928</v>
      </c>
      <c r="L179" s="14" t="s">
        <v>4288</v>
      </c>
      <c r="M179" s="14" t="s">
        <v>21723</v>
      </c>
    </row>
    <row r="180" spans="1:13">
      <c r="A180" s="14" t="s">
        <v>21725</v>
      </c>
      <c r="B180" s="14" t="s">
        <v>21726</v>
      </c>
      <c r="C180" s="14" t="s">
        <v>21556</v>
      </c>
      <c r="D180" s="14" t="s">
        <v>21710</v>
      </c>
      <c r="E180" s="14">
        <v>3</v>
      </c>
      <c r="F180" s="14">
        <v>362</v>
      </c>
      <c r="G180" s="14">
        <v>27</v>
      </c>
      <c r="H180" s="14">
        <v>4984</v>
      </c>
      <c r="I180" s="14">
        <v>0.312167899719757</v>
      </c>
      <c r="J180" s="14">
        <v>0.999993588513658</v>
      </c>
      <c r="K180" s="14">
        <v>1.52977286678944</v>
      </c>
      <c r="L180" s="14" t="s">
        <v>21727</v>
      </c>
      <c r="M180" s="14" t="s">
        <v>21725</v>
      </c>
    </row>
    <row r="181" spans="1:13">
      <c r="A181" s="14" t="s">
        <v>21728</v>
      </c>
      <c r="B181" s="14" t="s">
        <v>21729</v>
      </c>
      <c r="C181" s="14" t="s">
        <v>21556</v>
      </c>
      <c r="D181" s="14" t="s">
        <v>21710</v>
      </c>
      <c r="E181" s="14">
        <v>1</v>
      </c>
      <c r="F181" s="14">
        <v>362</v>
      </c>
      <c r="G181" s="14">
        <v>34</v>
      </c>
      <c r="H181" s="14">
        <v>4984</v>
      </c>
      <c r="I181" s="14">
        <v>0.9236659571917</v>
      </c>
      <c r="J181" s="14">
        <v>0.999993588513658</v>
      </c>
      <c r="K181" s="14">
        <v>0.404939876503087</v>
      </c>
      <c r="L181" s="14" t="s">
        <v>5869</v>
      </c>
      <c r="M181" s="14" t="s">
        <v>21728</v>
      </c>
    </row>
    <row r="182" spans="1:13">
      <c r="A182" s="14" t="s">
        <v>21730</v>
      </c>
      <c r="B182" s="14" t="s">
        <v>21731</v>
      </c>
      <c r="C182" s="14" t="s">
        <v>21556</v>
      </c>
      <c r="D182" s="14" t="s">
        <v>21710</v>
      </c>
      <c r="E182" s="14">
        <v>1</v>
      </c>
      <c r="F182" s="14">
        <v>362</v>
      </c>
      <c r="G182" s="14">
        <v>10</v>
      </c>
      <c r="H182" s="14">
        <v>4984</v>
      </c>
      <c r="I182" s="14">
        <v>0.529876937786533</v>
      </c>
      <c r="J182" s="14">
        <v>0.999993588513658</v>
      </c>
      <c r="K182" s="14">
        <v>1.3767955801105</v>
      </c>
      <c r="L182" s="14" t="s">
        <v>4288</v>
      </c>
      <c r="M182" s="14" t="s">
        <v>21730</v>
      </c>
    </row>
    <row r="183" spans="1:13">
      <c r="A183" s="14" t="s">
        <v>21732</v>
      </c>
      <c r="B183" s="14" t="s">
        <v>21733</v>
      </c>
      <c r="C183" s="14" t="s">
        <v>21556</v>
      </c>
      <c r="D183" s="14" t="s">
        <v>21734</v>
      </c>
      <c r="E183" s="14">
        <v>1</v>
      </c>
      <c r="F183" s="14">
        <v>362</v>
      </c>
      <c r="G183" s="14">
        <v>6</v>
      </c>
      <c r="H183" s="14">
        <v>4984</v>
      </c>
      <c r="I183" s="14">
        <v>0.364070464915605</v>
      </c>
      <c r="J183" s="14">
        <v>0.999993588513658</v>
      </c>
      <c r="K183" s="14">
        <v>2.29465930018416</v>
      </c>
      <c r="L183" s="14" t="s">
        <v>5869</v>
      </c>
      <c r="M183" s="14" t="s">
        <v>21732</v>
      </c>
    </row>
    <row r="184" spans="1:13">
      <c r="A184" s="14" t="s">
        <v>21735</v>
      </c>
      <c r="B184" s="14" t="s">
        <v>21736</v>
      </c>
      <c r="C184" s="14" t="s">
        <v>21556</v>
      </c>
      <c r="D184" s="14" t="s">
        <v>21734</v>
      </c>
      <c r="E184" s="14">
        <v>1</v>
      </c>
      <c r="F184" s="14">
        <v>362</v>
      </c>
      <c r="G184" s="14">
        <v>6</v>
      </c>
      <c r="H184" s="14">
        <v>4984</v>
      </c>
      <c r="I184" s="14">
        <v>0.364070464915605</v>
      </c>
      <c r="J184" s="14">
        <v>0.999993588513658</v>
      </c>
      <c r="K184" s="14">
        <v>2.29465930018416</v>
      </c>
      <c r="L184" s="14" t="s">
        <v>5869</v>
      </c>
      <c r="M184" s="14" t="s">
        <v>21735</v>
      </c>
    </row>
    <row r="185" spans="1:13">
      <c r="A185" s="14" t="s">
        <v>21737</v>
      </c>
      <c r="B185" s="14" t="s">
        <v>21738</v>
      </c>
      <c r="C185" s="14" t="s">
        <v>21556</v>
      </c>
      <c r="D185" s="14" t="s">
        <v>21734</v>
      </c>
      <c r="E185" s="14">
        <v>1</v>
      </c>
      <c r="F185" s="14">
        <v>362</v>
      </c>
      <c r="G185" s="14">
        <v>5</v>
      </c>
      <c r="H185" s="14">
        <v>4984</v>
      </c>
      <c r="I185" s="14">
        <v>0.314209842931513</v>
      </c>
      <c r="J185" s="14">
        <v>0.999993588513658</v>
      </c>
      <c r="K185" s="14">
        <v>2.75359116022099</v>
      </c>
      <c r="L185" s="14" t="s">
        <v>5869</v>
      </c>
      <c r="M185" s="14" t="s">
        <v>21737</v>
      </c>
    </row>
    <row r="186" spans="1:13">
      <c r="A186" s="14" t="s">
        <v>21739</v>
      </c>
      <c r="B186" s="14" t="s">
        <v>21740</v>
      </c>
      <c r="C186" s="14" t="s">
        <v>21556</v>
      </c>
      <c r="D186" s="14" t="s">
        <v>21734</v>
      </c>
      <c r="E186" s="14">
        <v>1</v>
      </c>
      <c r="F186" s="14">
        <v>362</v>
      </c>
      <c r="G186" s="14">
        <v>10</v>
      </c>
      <c r="H186" s="14">
        <v>4984</v>
      </c>
      <c r="I186" s="14">
        <v>0.529876937786533</v>
      </c>
      <c r="J186" s="14">
        <v>0.999993588513658</v>
      </c>
      <c r="K186" s="14">
        <v>1.3767955801105</v>
      </c>
      <c r="L186" s="14" t="s">
        <v>5869</v>
      </c>
      <c r="M186" s="14" t="s">
        <v>21739</v>
      </c>
    </row>
    <row r="187" spans="1:13">
      <c r="A187" s="14" t="s">
        <v>21741</v>
      </c>
      <c r="B187" s="14" t="s">
        <v>21742</v>
      </c>
      <c r="C187" s="14" t="s">
        <v>21542</v>
      </c>
      <c r="D187" s="14" t="s">
        <v>21743</v>
      </c>
      <c r="E187" s="14">
        <v>4</v>
      </c>
      <c r="F187" s="14">
        <v>362</v>
      </c>
      <c r="G187" s="14">
        <v>47</v>
      </c>
      <c r="H187" s="14">
        <v>4984</v>
      </c>
      <c r="I187" s="14">
        <v>0.448380558813169</v>
      </c>
      <c r="J187" s="14">
        <v>0.999993588513658</v>
      </c>
      <c r="K187" s="14">
        <v>1.17174091924298</v>
      </c>
      <c r="L187" s="14" t="s">
        <v>21744</v>
      </c>
      <c r="M187" s="14" t="s">
        <v>21741</v>
      </c>
    </row>
    <row r="188" spans="1:13">
      <c r="A188" s="14" t="s">
        <v>9953</v>
      </c>
      <c r="B188" s="14" t="s">
        <v>9954</v>
      </c>
      <c r="C188" s="14" t="s">
        <v>21542</v>
      </c>
      <c r="D188" s="14" t="s">
        <v>21743</v>
      </c>
      <c r="E188" s="14">
        <v>3</v>
      </c>
      <c r="F188" s="14">
        <v>362</v>
      </c>
      <c r="G188" s="14">
        <v>83</v>
      </c>
      <c r="H188" s="14">
        <v>4984</v>
      </c>
      <c r="I188" s="14">
        <v>0.947078251640078</v>
      </c>
      <c r="J188" s="14">
        <v>0.999993588513658</v>
      </c>
      <c r="K188" s="14">
        <v>0.497636956666445</v>
      </c>
      <c r="L188" s="14" t="s">
        <v>21745</v>
      </c>
      <c r="M188" s="14" t="s">
        <v>9953</v>
      </c>
    </row>
    <row r="189" spans="1:13">
      <c r="A189" s="14" t="s">
        <v>21746</v>
      </c>
      <c r="B189" s="14" t="s">
        <v>21747</v>
      </c>
      <c r="C189" s="14" t="s">
        <v>21556</v>
      </c>
      <c r="D189" s="14" t="s">
        <v>21557</v>
      </c>
      <c r="E189" s="14">
        <v>3</v>
      </c>
      <c r="F189" s="14">
        <v>362</v>
      </c>
      <c r="G189" s="14">
        <v>62</v>
      </c>
      <c r="H189" s="14">
        <v>4984</v>
      </c>
      <c r="I189" s="14">
        <v>0.838950641631588</v>
      </c>
      <c r="J189" s="14">
        <v>0.999993588513658</v>
      </c>
      <c r="K189" s="14">
        <v>0.666191409730886</v>
      </c>
      <c r="L189" s="14" t="s">
        <v>21748</v>
      </c>
      <c r="M189" s="14" t="s">
        <v>21746</v>
      </c>
    </row>
    <row r="190" spans="1:13">
      <c r="A190" s="14" t="s">
        <v>21749</v>
      </c>
      <c r="B190" s="14" t="s">
        <v>21750</v>
      </c>
      <c r="C190" s="14" t="s">
        <v>21556</v>
      </c>
      <c r="D190" s="14" t="s">
        <v>21557</v>
      </c>
      <c r="E190" s="14">
        <v>3</v>
      </c>
      <c r="F190" s="14">
        <v>362</v>
      </c>
      <c r="G190" s="14">
        <v>24</v>
      </c>
      <c r="H190" s="14">
        <v>4984</v>
      </c>
      <c r="I190" s="14">
        <v>0.251228483333687</v>
      </c>
      <c r="J190" s="14">
        <v>0.994298645306563</v>
      </c>
      <c r="K190" s="14">
        <v>1.72099447513812</v>
      </c>
      <c r="L190" s="14" t="s">
        <v>21751</v>
      </c>
      <c r="M190" s="14" t="s">
        <v>21749</v>
      </c>
    </row>
    <row r="191" spans="1:13">
      <c r="A191" s="14" t="s">
        <v>21752</v>
      </c>
      <c r="B191" s="14" t="s">
        <v>21753</v>
      </c>
      <c r="C191" s="14" t="s">
        <v>21556</v>
      </c>
      <c r="D191" s="14" t="s">
        <v>21557</v>
      </c>
      <c r="E191" s="14">
        <v>2</v>
      </c>
      <c r="F191" s="14">
        <v>362</v>
      </c>
      <c r="G191" s="14">
        <v>36</v>
      </c>
      <c r="H191" s="14">
        <v>4984</v>
      </c>
      <c r="I191" s="14">
        <v>0.748116177042254</v>
      </c>
      <c r="J191" s="14">
        <v>0.999993588513658</v>
      </c>
      <c r="K191" s="14">
        <v>0.764886433394721</v>
      </c>
      <c r="L191" s="14" t="s">
        <v>21754</v>
      </c>
      <c r="M191" s="14" t="s">
        <v>21752</v>
      </c>
    </row>
    <row r="192" spans="1:13">
      <c r="A192" s="14" t="s">
        <v>21755</v>
      </c>
      <c r="B192" s="14" t="s">
        <v>21756</v>
      </c>
      <c r="C192" s="14" t="s">
        <v>21556</v>
      </c>
      <c r="D192" s="14" t="s">
        <v>21557</v>
      </c>
      <c r="E192" s="14">
        <v>4</v>
      </c>
      <c r="F192" s="14">
        <v>362</v>
      </c>
      <c r="G192" s="14">
        <v>26</v>
      </c>
      <c r="H192" s="14">
        <v>4984</v>
      </c>
      <c r="I192" s="14">
        <v>0.115491276004592</v>
      </c>
      <c r="J192" s="14">
        <v>0.728228376073847</v>
      </c>
      <c r="K192" s="14">
        <v>2.11814704632384</v>
      </c>
      <c r="L192" s="14" t="s">
        <v>21757</v>
      </c>
      <c r="M192" s="14" t="s">
        <v>21755</v>
      </c>
    </row>
    <row r="193" spans="1:13">
      <c r="A193" s="14" t="s">
        <v>21758</v>
      </c>
      <c r="B193" s="14" t="s">
        <v>21759</v>
      </c>
      <c r="C193" s="14" t="s">
        <v>21556</v>
      </c>
      <c r="D193" s="14" t="s">
        <v>21557</v>
      </c>
      <c r="E193" s="14">
        <v>2</v>
      </c>
      <c r="F193" s="14">
        <v>362</v>
      </c>
      <c r="G193" s="14">
        <v>12</v>
      </c>
      <c r="H193" s="14">
        <v>4984</v>
      </c>
      <c r="I193" s="14">
        <v>0.215049618319917</v>
      </c>
      <c r="J193" s="14">
        <v>0.994298645306563</v>
      </c>
      <c r="K193" s="14">
        <v>2.29465930018416</v>
      </c>
      <c r="L193" s="14" t="s">
        <v>21582</v>
      </c>
      <c r="M193" s="14" t="s">
        <v>21758</v>
      </c>
    </row>
    <row r="194" spans="1:13">
      <c r="A194" s="14" t="s">
        <v>21760</v>
      </c>
      <c r="B194" s="14" t="s">
        <v>21761</v>
      </c>
      <c r="C194" s="14" t="s">
        <v>21556</v>
      </c>
      <c r="D194" s="14" t="s">
        <v>21557</v>
      </c>
      <c r="E194" s="14">
        <v>1</v>
      </c>
      <c r="F194" s="14">
        <v>362</v>
      </c>
      <c r="G194" s="14">
        <v>5</v>
      </c>
      <c r="H194" s="14">
        <v>4984</v>
      </c>
      <c r="I194" s="14">
        <v>0.314209842931513</v>
      </c>
      <c r="J194" s="14">
        <v>0.999993588513658</v>
      </c>
      <c r="K194" s="14">
        <v>2.75359116022099</v>
      </c>
      <c r="L194" s="14" t="s">
        <v>4288</v>
      </c>
      <c r="M194" s="14" t="s">
        <v>21760</v>
      </c>
    </row>
    <row r="195" spans="1:13">
      <c r="A195" s="14" t="s">
        <v>21762</v>
      </c>
      <c r="B195" s="14" t="s">
        <v>21763</v>
      </c>
      <c r="C195" s="14" t="s">
        <v>21556</v>
      </c>
      <c r="D195" s="14" t="s">
        <v>21557</v>
      </c>
      <c r="E195" s="14">
        <v>1</v>
      </c>
      <c r="F195" s="14">
        <v>362</v>
      </c>
      <c r="G195" s="14">
        <v>9</v>
      </c>
      <c r="H195" s="14">
        <v>4984</v>
      </c>
      <c r="I195" s="14">
        <v>0.492984557877304</v>
      </c>
      <c r="J195" s="14">
        <v>0.999993588513658</v>
      </c>
      <c r="K195" s="14">
        <v>1.52977286678944</v>
      </c>
      <c r="L195" s="14" t="s">
        <v>3379</v>
      </c>
      <c r="M195" s="14" t="s">
        <v>21762</v>
      </c>
    </row>
    <row r="196" spans="1:13">
      <c r="A196" s="14" t="s">
        <v>21764</v>
      </c>
      <c r="B196" s="14" t="s">
        <v>21765</v>
      </c>
      <c r="C196" s="14" t="s">
        <v>21556</v>
      </c>
      <c r="D196" s="14" t="s">
        <v>21557</v>
      </c>
      <c r="E196" s="14">
        <v>2</v>
      </c>
      <c r="F196" s="14">
        <v>362</v>
      </c>
      <c r="G196" s="14">
        <v>35</v>
      </c>
      <c r="H196" s="14">
        <v>4984</v>
      </c>
      <c r="I196" s="14">
        <v>0.733864058427143</v>
      </c>
      <c r="J196" s="14">
        <v>0.999993588513658</v>
      </c>
      <c r="K196" s="14">
        <v>0.786740331491713</v>
      </c>
      <c r="L196" s="14" t="s">
        <v>21766</v>
      </c>
      <c r="M196" s="14" t="s">
        <v>21764</v>
      </c>
    </row>
    <row r="197" spans="1:13">
      <c r="A197" s="14" t="s">
        <v>21767</v>
      </c>
      <c r="B197" s="14" t="s">
        <v>21768</v>
      </c>
      <c r="C197" s="14" t="s">
        <v>21556</v>
      </c>
      <c r="D197" s="14" t="s">
        <v>21557</v>
      </c>
      <c r="E197" s="14">
        <v>2</v>
      </c>
      <c r="F197" s="14">
        <v>362</v>
      </c>
      <c r="G197" s="14">
        <v>29</v>
      </c>
      <c r="H197" s="14">
        <v>4984</v>
      </c>
      <c r="I197" s="14">
        <v>0.633495543007847</v>
      </c>
      <c r="J197" s="14">
        <v>0.999993588513658</v>
      </c>
      <c r="K197" s="14">
        <v>0.949514193179653</v>
      </c>
      <c r="L197" s="14" t="s">
        <v>21582</v>
      </c>
      <c r="M197" s="14" t="s">
        <v>21767</v>
      </c>
    </row>
    <row r="198" spans="1:13">
      <c r="A198" s="14" t="s">
        <v>21769</v>
      </c>
      <c r="B198" s="14" t="s">
        <v>21770</v>
      </c>
      <c r="C198" s="14" t="s">
        <v>21556</v>
      </c>
      <c r="D198" s="14" t="s">
        <v>21557</v>
      </c>
      <c r="E198" s="14">
        <v>2</v>
      </c>
      <c r="F198" s="14">
        <v>362</v>
      </c>
      <c r="G198" s="14">
        <v>49</v>
      </c>
      <c r="H198" s="14">
        <v>4984</v>
      </c>
      <c r="I198" s="14">
        <v>0.881011383206558</v>
      </c>
      <c r="J198" s="14">
        <v>0.999993588513658</v>
      </c>
      <c r="K198" s="14">
        <v>0.561957379636938</v>
      </c>
      <c r="L198" s="14" t="s">
        <v>21771</v>
      </c>
      <c r="M198" s="14" t="s">
        <v>21769</v>
      </c>
    </row>
    <row r="199" spans="1:13">
      <c r="A199" s="14" t="s">
        <v>21772</v>
      </c>
      <c r="B199" s="14" t="s">
        <v>21773</v>
      </c>
      <c r="C199" s="14" t="s">
        <v>21556</v>
      </c>
      <c r="D199" s="14" t="s">
        <v>21557</v>
      </c>
      <c r="E199" s="14">
        <v>1</v>
      </c>
      <c r="F199" s="14">
        <v>362</v>
      </c>
      <c r="G199" s="14">
        <v>10</v>
      </c>
      <c r="H199" s="14">
        <v>4984</v>
      </c>
      <c r="I199" s="14">
        <v>0.529876937786533</v>
      </c>
      <c r="J199" s="14">
        <v>0.999993588513658</v>
      </c>
      <c r="K199" s="14">
        <v>1.3767955801105</v>
      </c>
      <c r="L199" s="14" t="s">
        <v>5869</v>
      </c>
      <c r="M199" s="14" t="s">
        <v>21772</v>
      </c>
    </row>
    <row r="200" spans="1:13">
      <c r="A200" s="14" t="s">
        <v>21774</v>
      </c>
      <c r="B200" s="14" t="s">
        <v>21775</v>
      </c>
      <c r="C200" s="14" t="s">
        <v>21556</v>
      </c>
      <c r="D200" s="14" t="s">
        <v>21557</v>
      </c>
      <c r="E200" s="14">
        <v>1</v>
      </c>
      <c r="F200" s="14">
        <v>362</v>
      </c>
      <c r="G200" s="14">
        <v>5</v>
      </c>
      <c r="H200" s="14">
        <v>4984</v>
      </c>
      <c r="I200" s="14">
        <v>0.314209842931513</v>
      </c>
      <c r="J200" s="14">
        <v>0.999993588513658</v>
      </c>
      <c r="K200" s="14">
        <v>2.75359116022099</v>
      </c>
      <c r="L200" s="14" t="s">
        <v>5869</v>
      </c>
      <c r="M200" s="14" t="s">
        <v>21774</v>
      </c>
    </row>
    <row r="201" spans="1:13">
      <c r="A201" s="14" t="s">
        <v>21776</v>
      </c>
      <c r="B201" s="14" t="s">
        <v>21777</v>
      </c>
      <c r="C201" s="14" t="s">
        <v>21556</v>
      </c>
      <c r="D201" s="14" t="s">
        <v>21557</v>
      </c>
      <c r="E201" s="14">
        <v>1</v>
      </c>
      <c r="F201" s="14">
        <v>362</v>
      </c>
      <c r="G201" s="14">
        <v>5</v>
      </c>
      <c r="H201" s="14">
        <v>4984</v>
      </c>
      <c r="I201" s="14">
        <v>0.314209842931513</v>
      </c>
      <c r="J201" s="14">
        <v>0.999993588513658</v>
      </c>
      <c r="K201" s="14">
        <v>2.75359116022099</v>
      </c>
      <c r="L201" s="14" t="s">
        <v>4288</v>
      </c>
      <c r="M201" s="14" t="s">
        <v>21776</v>
      </c>
    </row>
    <row r="202" spans="1:13">
      <c r="A202" s="14" t="s">
        <v>21778</v>
      </c>
      <c r="B202" s="14" t="s">
        <v>21779</v>
      </c>
      <c r="C202" s="14" t="s">
        <v>21556</v>
      </c>
      <c r="D202" s="14" t="s">
        <v>21557</v>
      </c>
      <c r="E202" s="14">
        <v>2</v>
      </c>
      <c r="F202" s="14">
        <v>362</v>
      </c>
      <c r="G202" s="14">
        <v>18</v>
      </c>
      <c r="H202" s="14">
        <v>4984</v>
      </c>
      <c r="I202" s="14">
        <v>0.379985549187803</v>
      </c>
      <c r="J202" s="14">
        <v>0.999993588513658</v>
      </c>
      <c r="K202" s="14">
        <v>1.52977286678944</v>
      </c>
      <c r="L202" s="14" t="s">
        <v>21780</v>
      </c>
      <c r="M202" s="14" t="s">
        <v>21778</v>
      </c>
    </row>
    <row r="203" spans="1:13">
      <c r="A203" s="14" t="s">
        <v>21781</v>
      </c>
      <c r="B203" s="14" t="s">
        <v>21782</v>
      </c>
      <c r="C203" s="14" t="s">
        <v>21523</v>
      </c>
      <c r="D203" s="14" t="s">
        <v>21783</v>
      </c>
      <c r="E203" s="14">
        <v>1</v>
      </c>
      <c r="F203" s="14">
        <v>362</v>
      </c>
      <c r="G203" s="14">
        <v>18</v>
      </c>
      <c r="H203" s="14">
        <v>4984</v>
      </c>
      <c r="I203" s="14">
        <v>0.743263506340242</v>
      </c>
      <c r="J203" s="14">
        <v>0.999993588513658</v>
      </c>
      <c r="K203" s="14">
        <v>0.764886433394721</v>
      </c>
      <c r="L203" s="14" t="s">
        <v>5280</v>
      </c>
      <c r="M203" s="14" t="s">
        <v>21781</v>
      </c>
    </row>
    <row r="204" spans="1:13">
      <c r="A204" s="14" t="s">
        <v>21784</v>
      </c>
      <c r="B204" s="14" t="s">
        <v>21785</v>
      </c>
      <c r="C204" s="14" t="s">
        <v>21523</v>
      </c>
      <c r="D204" s="14" t="s">
        <v>21783</v>
      </c>
      <c r="E204" s="14">
        <v>2</v>
      </c>
      <c r="F204" s="14">
        <v>362</v>
      </c>
      <c r="G204" s="14">
        <v>37</v>
      </c>
      <c r="H204" s="14">
        <v>4984</v>
      </c>
      <c r="I204" s="14">
        <v>0.761708935602253</v>
      </c>
      <c r="J204" s="14">
        <v>0.999993588513658</v>
      </c>
      <c r="K204" s="14">
        <v>0.744213827086755</v>
      </c>
      <c r="L204" s="14" t="s">
        <v>21786</v>
      </c>
      <c r="M204" s="14" t="s">
        <v>21784</v>
      </c>
    </row>
    <row r="205" spans="1:13">
      <c r="A205" s="14" t="s">
        <v>21787</v>
      </c>
      <c r="B205" s="14" t="s">
        <v>21788</v>
      </c>
      <c r="C205" s="14" t="s">
        <v>21523</v>
      </c>
      <c r="D205" s="14" t="s">
        <v>21783</v>
      </c>
      <c r="E205" s="14">
        <v>2</v>
      </c>
      <c r="F205" s="14">
        <v>362</v>
      </c>
      <c r="G205" s="14">
        <v>71</v>
      </c>
      <c r="H205" s="14">
        <v>4984</v>
      </c>
      <c r="I205" s="14">
        <v>0.969776935289396</v>
      </c>
      <c r="J205" s="14">
        <v>0.999993588513658</v>
      </c>
      <c r="K205" s="14">
        <v>0.387829740876196</v>
      </c>
      <c r="L205" s="14" t="s">
        <v>21789</v>
      </c>
      <c r="M205" s="14" t="s">
        <v>21787</v>
      </c>
    </row>
    <row r="206" spans="1:13">
      <c r="A206" s="14" t="s">
        <v>21790</v>
      </c>
      <c r="B206" s="14" t="s">
        <v>21791</v>
      </c>
      <c r="C206" s="14" t="s">
        <v>21523</v>
      </c>
      <c r="D206" s="14" t="s">
        <v>21783</v>
      </c>
      <c r="E206" s="14">
        <v>1</v>
      </c>
      <c r="F206" s="14">
        <v>362</v>
      </c>
      <c r="G206" s="14">
        <v>13</v>
      </c>
      <c r="H206" s="14">
        <v>4984</v>
      </c>
      <c r="I206" s="14">
        <v>0.625250085509274</v>
      </c>
      <c r="J206" s="14">
        <v>0.999993588513658</v>
      </c>
      <c r="K206" s="14">
        <v>1.05907352316192</v>
      </c>
      <c r="L206" s="14" t="s">
        <v>4385</v>
      </c>
      <c r="M206" s="14" t="s">
        <v>21790</v>
      </c>
    </row>
    <row r="207" spans="1:13">
      <c r="A207" s="14" t="s">
        <v>15670</v>
      </c>
      <c r="B207" s="14" t="s">
        <v>15671</v>
      </c>
      <c r="C207" s="14" t="s">
        <v>21523</v>
      </c>
      <c r="D207" s="14" t="s">
        <v>21783</v>
      </c>
      <c r="E207" s="14">
        <v>2</v>
      </c>
      <c r="F207" s="14">
        <v>362</v>
      </c>
      <c r="G207" s="14">
        <v>18</v>
      </c>
      <c r="H207" s="14">
        <v>4984</v>
      </c>
      <c r="I207" s="14">
        <v>0.379985549187803</v>
      </c>
      <c r="J207" s="14">
        <v>0.999993588513658</v>
      </c>
      <c r="K207" s="14">
        <v>1.52977286678944</v>
      </c>
      <c r="L207" s="14" t="s">
        <v>21792</v>
      </c>
      <c r="M207" s="14" t="s">
        <v>15670</v>
      </c>
    </row>
    <row r="208" spans="1:13">
      <c r="A208" s="14" t="s">
        <v>21793</v>
      </c>
      <c r="B208" s="14" t="s">
        <v>21794</v>
      </c>
      <c r="C208" s="14" t="s">
        <v>21556</v>
      </c>
      <c r="D208" s="14" t="s">
        <v>21557</v>
      </c>
      <c r="E208" s="14">
        <v>1</v>
      </c>
      <c r="F208" s="14">
        <v>362</v>
      </c>
      <c r="G208" s="14">
        <v>8</v>
      </c>
      <c r="H208" s="14">
        <v>4984</v>
      </c>
      <c r="I208" s="14">
        <v>0.453205713046698</v>
      </c>
      <c r="J208" s="14">
        <v>0.999993588513658</v>
      </c>
      <c r="K208" s="14">
        <v>1.72099447513812</v>
      </c>
      <c r="L208" s="14" t="s">
        <v>4288</v>
      </c>
      <c r="M208" s="14" t="s">
        <v>21793</v>
      </c>
    </row>
    <row r="209" spans="1:13">
      <c r="A209" s="14" t="s">
        <v>21795</v>
      </c>
      <c r="B209" s="14" t="s">
        <v>21796</v>
      </c>
      <c r="C209" s="14" t="s">
        <v>21523</v>
      </c>
      <c r="D209" s="14" t="s">
        <v>21783</v>
      </c>
      <c r="E209" s="14">
        <v>3</v>
      </c>
      <c r="F209" s="14">
        <v>362</v>
      </c>
      <c r="G209" s="14">
        <v>34</v>
      </c>
      <c r="H209" s="14">
        <v>4984</v>
      </c>
      <c r="I209" s="14">
        <v>0.453248569950164</v>
      </c>
      <c r="J209" s="14">
        <v>0.999993588513658</v>
      </c>
      <c r="K209" s="14">
        <v>1.21481962950926</v>
      </c>
      <c r="L209" s="14" t="s">
        <v>21797</v>
      </c>
      <c r="M209" s="14" t="s">
        <v>21795</v>
      </c>
    </row>
    <row r="210" spans="1:13">
      <c r="A210" s="14" t="s">
        <v>21798</v>
      </c>
      <c r="B210" s="14" t="s">
        <v>21799</v>
      </c>
      <c r="C210" s="14" t="s">
        <v>21523</v>
      </c>
      <c r="D210" s="14" t="s">
        <v>21783</v>
      </c>
      <c r="E210" s="14">
        <v>1</v>
      </c>
      <c r="F210" s="14">
        <v>362</v>
      </c>
      <c r="G210" s="14">
        <v>8</v>
      </c>
      <c r="H210" s="14">
        <v>4984</v>
      </c>
      <c r="I210" s="14">
        <v>0.453205713046698</v>
      </c>
      <c r="J210" s="14">
        <v>0.999993588513658</v>
      </c>
      <c r="K210" s="14">
        <v>1.72099447513812</v>
      </c>
      <c r="L210" s="14" t="s">
        <v>8271</v>
      </c>
      <c r="M210" s="14" t="s">
        <v>21798</v>
      </c>
    </row>
    <row r="211" spans="1:13">
      <c r="A211" s="14" t="s">
        <v>21800</v>
      </c>
      <c r="B211" s="14" t="s">
        <v>21801</v>
      </c>
      <c r="C211" s="14" t="s">
        <v>21556</v>
      </c>
      <c r="D211" s="14" t="s">
        <v>21802</v>
      </c>
      <c r="E211" s="14">
        <v>1</v>
      </c>
      <c r="F211" s="14">
        <v>362</v>
      </c>
      <c r="G211" s="14">
        <v>30</v>
      </c>
      <c r="H211" s="14">
        <v>4984</v>
      </c>
      <c r="I211" s="14">
        <v>0.896586737079341</v>
      </c>
      <c r="J211" s="14">
        <v>0.999993588513658</v>
      </c>
      <c r="K211" s="14">
        <v>0.458931860036832</v>
      </c>
      <c r="L211" s="14" t="s">
        <v>13460</v>
      </c>
      <c r="M211" s="14" t="s">
        <v>21800</v>
      </c>
    </row>
    <row r="212" spans="1:13">
      <c r="A212" s="14" t="s">
        <v>21803</v>
      </c>
      <c r="B212" s="14" t="s">
        <v>21804</v>
      </c>
      <c r="C212" s="14" t="s">
        <v>21556</v>
      </c>
      <c r="D212" s="14" t="s">
        <v>21805</v>
      </c>
      <c r="E212" s="14">
        <v>2</v>
      </c>
      <c r="F212" s="14">
        <v>362</v>
      </c>
      <c r="G212" s="14">
        <v>9</v>
      </c>
      <c r="H212" s="14">
        <v>4984</v>
      </c>
      <c r="I212" s="14">
        <v>0.13497495440185</v>
      </c>
      <c r="J212" s="14">
        <v>0.806977918870637</v>
      </c>
      <c r="K212" s="14">
        <v>3.05954573357888</v>
      </c>
      <c r="L212" s="14" t="s">
        <v>21806</v>
      </c>
      <c r="M212" s="14" t="s">
        <v>21803</v>
      </c>
    </row>
    <row r="213" spans="1:13">
      <c r="A213" s="14" t="s">
        <v>21807</v>
      </c>
      <c r="B213" s="14" t="s">
        <v>21808</v>
      </c>
      <c r="C213" s="14" t="s">
        <v>21556</v>
      </c>
      <c r="D213" s="14" t="s">
        <v>21805</v>
      </c>
      <c r="E213" s="14">
        <v>1</v>
      </c>
      <c r="F213" s="14">
        <v>362</v>
      </c>
      <c r="G213" s="14">
        <v>5</v>
      </c>
      <c r="H213" s="14">
        <v>4984</v>
      </c>
      <c r="I213" s="14">
        <v>0.314209842931513</v>
      </c>
      <c r="J213" s="14">
        <v>0.999993588513658</v>
      </c>
      <c r="K213" s="14">
        <v>2.75359116022099</v>
      </c>
      <c r="L213" s="14" t="s">
        <v>5869</v>
      </c>
      <c r="M213" s="14" t="s">
        <v>21807</v>
      </c>
    </row>
    <row r="214" spans="1:13">
      <c r="A214" s="14" t="s">
        <v>21809</v>
      </c>
      <c r="B214" s="14" t="s">
        <v>21810</v>
      </c>
      <c r="C214" s="14" t="s">
        <v>21556</v>
      </c>
      <c r="D214" s="14" t="s">
        <v>21805</v>
      </c>
      <c r="E214" s="14">
        <v>3</v>
      </c>
      <c r="F214" s="14">
        <v>362</v>
      </c>
      <c r="G214" s="14">
        <v>31</v>
      </c>
      <c r="H214" s="14">
        <v>4984</v>
      </c>
      <c r="I214" s="14">
        <v>0.393707310239147</v>
      </c>
      <c r="J214" s="14">
        <v>0.999993588513658</v>
      </c>
      <c r="K214" s="14">
        <v>1.33238281946177</v>
      </c>
      <c r="L214" s="14" t="s">
        <v>21811</v>
      </c>
      <c r="M214" s="14" t="s">
        <v>21809</v>
      </c>
    </row>
    <row r="215" spans="1:13">
      <c r="A215" s="14" t="s">
        <v>21812</v>
      </c>
      <c r="B215" s="14" t="s">
        <v>21813</v>
      </c>
      <c r="C215" s="14" t="s">
        <v>21556</v>
      </c>
      <c r="D215" s="14" t="s">
        <v>21805</v>
      </c>
      <c r="E215" s="14">
        <v>1</v>
      </c>
      <c r="F215" s="14">
        <v>362</v>
      </c>
      <c r="G215" s="14">
        <v>10</v>
      </c>
      <c r="H215" s="14">
        <v>4984</v>
      </c>
      <c r="I215" s="14">
        <v>0.529876937786533</v>
      </c>
      <c r="J215" s="14">
        <v>0.999993588513658</v>
      </c>
      <c r="K215" s="14">
        <v>1.3767955801105</v>
      </c>
      <c r="L215" s="14" t="s">
        <v>3120</v>
      </c>
      <c r="M215" s="14" t="s">
        <v>21812</v>
      </c>
    </row>
    <row r="216" spans="1:13">
      <c r="A216" s="14" t="s">
        <v>21814</v>
      </c>
      <c r="B216" s="14" t="s">
        <v>21815</v>
      </c>
      <c r="C216" s="14" t="s">
        <v>21556</v>
      </c>
      <c r="D216" s="14" t="s">
        <v>21805</v>
      </c>
      <c r="E216" s="14">
        <v>1</v>
      </c>
      <c r="F216" s="14">
        <v>362</v>
      </c>
      <c r="G216" s="14">
        <v>8</v>
      </c>
      <c r="H216" s="14">
        <v>4984</v>
      </c>
      <c r="I216" s="14">
        <v>0.453205713046698</v>
      </c>
      <c r="J216" s="14">
        <v>0.999993588513658</v>
      </c>
      <c r="K216" s="14">
        <v>1.72099447513812</v>
      </c>
      <c r="L216" s="14" t="s">
        <v>6344</v>
      </c>
      <c r="M216" s="14" t="s">
        <v>21814</v>
      </c>
    </row>
    <row r="217" spans="1:13">
      <c r="A217" s="14" t="s">
        <v>21816</v>
      </c>
      <c r="B217" s="14" t="s">
        <v>21817</v>
      </c>
      <c r="C217" s="14" t="s">
        <v>21556</v>
      </c>
      <c r="D217" s="14" t="s">
        <v>21805</v>
      </c>
      <c r="E217" s="14">
        <v>5</v>
      </c>
      <c r="F217" s="14">
        <v>362</v>
      </c>
      <c r="G217" s="14">
        <v>56</v>
      </c>
      <c r="H217" s="14">
        <v>4984</v>
      </c>
      <c r="I217" s="14">
        <v>0.384738350488962</v>
      </c>
      <c r="J217" s="14">
        <v>0.999993588513658</v>
      </c>
      <c r="K217" s="14">
        <v>1.2292817679558</v>
      </c>
      <c r="L217" s="14" t="s">
        <v>21818</v>
      </c>
      <c r="M217" s="14" t="s">
        <v>21816</v>
      </c>
    </row>
    <row r="218" spans="1:13">
      <c r="A218" s="14" t="s">
        <v>21819</v>
      </c>
      <c r="B218" s="14" t="s">
        <v>21820</v>
      </c>
      <c r="C218" s="14" t="s">
        <v>21556</v>
      </c>
      <c r="D218" s="14" t="s">
        <v>21805</v>
      </c>
      <c r="E218" s="14">
        <v>1</v>
      </c>
      <c r="F218" s="14">
        <v>362</v>
      </c>
      <c r="G218" s="14">
        <v>17</v>
      </c>
      <c r="H218" s="14">
        <v>4984</v>
      </c>
      <c r="I218" s="14">
        <v>0.723081397609551</v>
      </c>
      <c r="J218" s="14">
        <v>0.999993588513658</v>
      </c>
      <c r="K218" s="14">
        <v>0.809879753006175</v>
      </c>
      <c r="L218" s="14" t="s">
        <v>4049</v>
      </c>
      <c r="M218" s="14" t="s">
        <v>21819</v>
      </c>
    </row>
    <row r="219" spans="1:13">
      <c r="A219" s="14" t="s">
        <v>21821</v>
      </c>
      <c r="B219" s="14" t="s">
        <v>21822</v>
      </c>
      <c r="C219" s="14" t="s">
        <v>21556</v>
      </c>
      <c r="D219" s="14" t="s">
        <v>21805</v>
      </c>
      <c r="E219" s="14">
        <v>1</v>
      </c>
      <c r="F219" s="14">
        <v>362</v>
      </c>
      <c r="G219" s="14">
        <v>12</v>
      </c>
      <c r="H219" s="14">
        <v>4984</v>
      </c>
      <c r="I219" s="14">
        <v>0.595822868796554</v>
      </c>
      <c r="J219" s="14">
        <v>0.999993588513658</v>
      </c>
      <c r="K219" s="14">
        <v>1.14732965009208</v>
      </c>
      <c r="L219" s="14" t="s">
        <v>1004</v>
      </c>
      <c r="M219" s="14" t="s">
        <v>21821</v>
      </c>
    </row>
    <row r="220" spans="1:13">
      <c r="A220" s="14" t="s">
        <v>21823</v>
      </c>
      <c r="B220" s="14" t="s">
        <v>21824</v>
      </c>
      <c r="C220" s="14" t="s">
        <v>21523</v>
      </c>
      <c r="D220" s="14" t="s">
        <v>21825</v>
      </c>
      <c r="E220" s="14">
        <v>3</v>
      </c>
      <c r="F220" s="14">
        <v>362</v>
      </c>
      <c r="G220" s="14">
        <v>200</v>
      </c>
      <c r="H220" s="14">
        <v>4984</v>
      </c>
      <c r="I220" s="14">
        <v>0.999969270067154</v>
      </c>
      <c r="J220" s="14">
        <v>0.999993588513658</v>
      </c>
      <c r="K220" s="14">
        <v>0.206519337016575</v>
      </c>
      <c r="L220" s="14" t="s">
        <v>21826</v>
      </c>
      <c r="M220" s="14" t="s">
        <v>21823</v>
      </c>
    </row>
    <row r="221" spans="1:13">
      <c r="A221" s="14" t="s">
        <v>21827</v>
      </c>
      <c r="B221" s="14" t="s">
        <v>21828</v>
      </c>
      <c r="C221" s="14" t="s">
        <v>21523</v>
      </c>
      <c r="D221" s="14" t="s">
        <v>21825</v>
      </c>
      <c r="E221" s="14">
        <v>3</v>
      </c>
      <c r="F221" s="14">
        <v>362</v>
      </c>
      <c r="G221" s="14">
        <v>185</v>
      </c>
      <c r="H221" s="14">
        <v>4984</v>
      </c>
      <c r="I221" s="14">
        <v>0.999914307495712</v>
      </c>
      <c r="J221" s="14">
        <v>0.999993588513658</v>
      </c>
      <c r="K221" s="14">
        <v>0.223264148126027</v>
      </c>
      <c r="L221" s="14" t="s">
        <v>21829</v>
      </c>
      <c r="M221" s="14" t="s">
        <v>21827</v>
      </c>
    </row>
    <row r="222" spans="1:13">
      <c r="A222" s="14" t="s">
        <v>21830</v>
      </c>
      <c r="B222" s="14" t="s">
        <v>21831</v>
      </c>
      <c r="C222" s="14" t="s">
        <v>21523</v>
      </c>
      <c r="D222" s="14" t="s">
        <v>21825</v>
      </c>
      <c r="E222" s="14">
        <v>3</v>
      </c>
      <c r="F222" s="14">
        <v>362</v>
      </c>
      <c r="G222" s="14">
        <v>222</v>
      </c>
      <c r="H222" s="14">
        <v>4984</v>
      </c>
      <c r="I222" s="14">
        <v>0.999993336324147</v>
      </c>
      <c r="J222" s="14">
        <v>0.999993588513658</v>
      </c>
      <c r="K222" s="14">
        <v>0.186053456771689</v>
      </c>
      <c r="L222" s="14" t="s">
        <v>21832</v>
      </c>
      <c r="M222" s="14" t="s">
        <v>21830</v>
      </c>
    </row>
    <row r="223" spans="1:13">
      <c r="A223" s="14" t="s">
        <v>21833</v>
      </c>
      <c r="B223" s="14" t="s">
        <v>21834</v>
      </c>
      <c r="C223" s="14" t="s">
        <v>21523</v>
      </c>
      <c r="D223" s="14" t="s">
        <v>21825</v>
      </c>
      <c r="E223" s="14">
        <v>2</v>
      </c>
      <c r="F223" s="14">
        <v>362</v>
      </c>
      <c r="G223" s="14">
        <v>181</v>
      </c>
      <c r="H223" s="14">
        <v>4984</v>
      </c>
      <c r="I223" s="14">
        <v>0.999985683195297</v>
      </c>
      <c r="J223" s="14">
        <v>0.999993588513658</v>
      </c>
      <c r="K223" s="14">
        <v>0.152132108299502</v>
      </c>
      <c r="L223" s="14" t="s">
        <v>21835</v>
      </c>
      <c r="M223" s="14" t="s">
        <v>21833</v>
      </c>
    </row>
    <row r="224" spans="1:13">
      <c r="A224" s="14" t="s">
        <v>7455</v>
      </c>
      <c r="B224" s="14" t="s">
        <v>7456</v>
      </c>
      <c r="C224" s="14" t="s">
        <v>21523</v>
      </c>
      <c r="D224" s="14" t="s">
        <v>21825</v>
      </c>
      <c r="E224" s="14">
        <v>3</v>
      </c>
      <c r="F224" s="14">
        <v>362</v>
      </c>
      <c r="G224" s="14">
        <v>171</v>
      </c>
      <c r="H224" s="14">
        <v>4984</v>
      </c>
      <c r="I224" s="14">
        <v>0.999779870804183</v>
      </c>
      <c r="J224" s="14">
        <v>0.999993588513658</v>
      </c>
      <c r="K224" s="14">
        <v>0.241543084229912</v>
      </c>
      <c r="L224" s="14" t="s">
        <v>21836</v>
      </c>
      <c r="M224" s="14" t="s">
        <v>7455</v>
      </c>
    </row>
    <row r="225" spans="1:13">
      <c r="A225" s="14" t="s">
        <v>21837</v>
      </c>
      <c r="B225" s="14" t="s">
        <v>21838</v>
      </c>
      <c r="C225" s="14" t="s">
        <v>21523</v>
      </c>
      <c r="D225" s="14" t="s">
        <v>21825</v>
      </c>
      <c r="E225" s="14">
        <v>5</v>
      </c>
      <c r="F225" s="14">
        <v>362</v>
      </c>
      <c r="G225" s="14">
        <v>221</v>
      </c>
      <c r="H225" s="14">
        <v>4984</v>
      </c>
      <c r="I225" s="14">
        <v>0.999785071280277</v>
      </c>
      <c r="J225" s="14">
        <v>0.999993588513658</v>
      </c>
      <c r="K225" s="14">
        <v>0.311492212694683</v>
      </c>
      <c r="L225" s="14" t="s">
        <v>21839</v>
      </c>
      <c r="M225" s="14" t="s">
        <v>21837</v>
      </c>
    </row>
    <row r="226" spans="1:13">
      <c r="A226" s="14" t="s">
        <v>21840</v>
      </c>
      <c r="B226" s="14" t="s">
        <v>21841</v>
      </c>
      <c r="C226" s="14" t="s">
        <v>21523</v>
      </c>
      <c r="D226" s="14" t="s">
        <v>21842</v>
      </c>
      <c r="E226" s="14">
        <v>1</v>
      </c>
      <c r="F226" s="14">
        <v>362</v>
      </c>
      <c r="G226" s="14">
        <v>19</v>
      </c>
      <c r="H226" s="14">
        <v>4984</v>
      </c>
      <c r="I226" s="14">
        <v>0.761978490372629</v>
      </c>
      <c r="J226" s="14">
        <v>0.999993588513658</v>
      </c>
      <c r="K226" s="14">
        <v>0.724629252689735</v>
      </c>
      <c r="L226" s="14" t="s">
        <v>5869</v>
      </c>
      <c r="M226" s="14" t="s">
        <v>21840</v>
      </c>
    </row>
    <row r="227" spans="1:13">
      <c r="A227" s="14" t="s">
        <v>21843</v>
      </c>
      <c r="B227" s="14" t="s">
        <v>21844</v>
      </c>
      <c r="C227" s="14" t="s">
        <v>21523</v>
      </c>
      <c r="D227" s="14" t="s">
        <v>21842</v>
      </c>
      <c r="E227" s="14">
        <v>2</v>
      </c>
      <c r="F227" s="14">
        <v>362</v>
      </c>
      <c r="G227" s="14">
        <v>9</v>
      </c>
      <c r="H227" s="14">
        <v>4984</v>
      </c>
      <c r="I227" s="14">
        <v>0.13497495440185</v>
      </c>
      <c r="J227" s="14">
        <v>0.806977918870637</v>
      </c>
      <c r="K227" s="14">
        <v>3.05954573357888</v>
      </c>
      <c r="L227" s="14" t="s">
        <v>21713</v>
      </c>
      <c r="M227" s="14" t="s">
        <v>21843</v>
      </c>
    </row>
    <row r="228" spans="1:13">
      <c r="A228" s="14" t="s">
        <v>21845</v>
      </c>
      <c r="B228" s="14" t="s">
        <v>21846</v>
      </c>
      <c r="C228" s="14" t="s">
        <v>21523</v>
      </c>
      <c r="D228" s="14" t="s">
        <v>21842</v>
      </c>
      <c r="E228" s="14">
        <v>2</v>
      </c>
      <c r="F228" s="14">
        <v>362</v>
      </c>
      <c r="G228" s="14">
        <v>8</v>
      </c>
      <c r="H228" s="14">
        <v>4984</v>
      </c>
      <c r="I228" s="14">
        <v>0.110081930811213</v>
      </c>
      <c r="J228" s="14">
        <v>0.728228376073847</v>
      </c>
      <c r="K228" s="14">
        <v>3.44198895027624</v>
      </c>
      <c r="L228" s="14" t="s">
        <v>21713</v>
      </c>
      <c r="M228" s="14" t="s">
        <v>21845</v>
      </c>
    </row>
    <row r="229" spans="1:13">
      <c r="A229" s="14" t="s">
        <v>21847</v>
      </c>
      <c r="B229" s="14" t="s">
        <v>21848</v>
      </c>
      <c r="C229" s="14" t="s">
        <v>21523</v>
      </c>
      <c r="D229" s="14" t="s">
        <v>21842</v>
      </c>
      <c r="E229" s="14">
        <v>9</v>
      </c>
      <c r="F229" s="14">
        <v>362</v>
      </c>
      <c r="G229" s="14">
        <v>56</v>
      </c>
      <c r="H229" s="14">
        <v>4984</v>
      </c>
      <c r="I229" s="14">
        <v>0.0183089654741532</v>
      </c>
      <c r="J229" s="14">
        <v>0.321551206139816</v>
      </c>
      <c r="K229" s="14">
        <v>2.21270718232044</v>
      </c>
      <c r="L229" s="14" t="s">
        <v>21849</v>
      </c>
      <c r="M229" s="14" t="s">
        <v>21847</v>
      </c>
    </row>
    <row r="230" spans="1:13">
      <c r="A230" s="14" t="s">
        <v>21850</v>
      </c>
      <c r="B230" s="14" t="s">
        <v>21851</v>
      </c>
      <c r="C230" s="14" t="s">
        <v>21523</v>
      </c>
      <c r="D230" s="14" t="s">
        <v>21852</v>
      </c>
      <c r="E230" s="14">
        <v>1</v>
      </c>
      <c r="F230" s="14">
        <v>362</v>
      </c>
      <c r="G230" s="14">
        <v>20</v>
      </c>
      <c r="H230" s="14">
        <v>4984</v>
      </c>
      <c r="I230" s="14">
        <v>0.779332727328341</v>
      </c>
      <c r="J230" s="14">
        <v>0.999993588513658</v>
      </c>
      <c r="K230" s="14">
        <v>0.688397790055249</v>
      </c>
      <c r="L230" s="14" t="s">
        <v>4385</v>
      </c>
      <c r="M230" s="14" t="s">
        <v>21850</v>
      </c>
    </row>
    <row r="231" spans="1:13">
      <c r="A231" s="14" t="s">
        <v>21853</v>
      </c>
      <c r="B231" s="14" t="s">
        <v>21854</v>
      </c>
      <c r="C231" s="14" t="s">
        <v>21523</v>
      </c>
      <c r="D231" s="14" t="s">
        <v>21852</v>
      </c>
      <c r="E231" s="14">
        <v>1</v>
      </c>
      <c r="F231" s="14">
        <v>362</v>
      </c>
      <c r="G231" s="14">
        <v>29</v>
      </c>
      <c r="H231" s="14">
        <v>4984</v>
      </c>
      <c r="I231" s="14">
        <v>0.888436159858074</v>
      </c>
      <c r="J231" s="14">
        <v>0.999993588513658</v>
      </c>
      <c r="K231" s="14">
        <v>0.474757096589827</v>
      </c>
      <c r="L231" s="14" t="s">
        <v>4385</v>
      </c>
      <c r="M231" s="14" t="s">
        <v>21853</v>
      </c>
    </row>
    <row r="232" spans="1:13">
      <c r="A232" s="14" t="s">
        <v>21855</v>
      </c>
      <c r="B232" s="14" t="s">
        <v>21856</v>
      </c>
      <c r="C232" s="14" t="s">
        <v>21523</v>
      </c>
      <c r="D232" s="14" t="s">
        <v>21852</v>
      </c>
      <c r="E232" s="14">
        <v>1</v>
      </c>
      <c r="F232" s="14">
        <v>362</v>
      </c>
      <c r="G232" s="14">
        <v>66</v>
      </c>
      <c r="H232" s="14">
        <v>4984</v>
      </c>
      <c r="I232" s="14">
        <v>0.993334201114625</v>
      </c>
      <c r="J232" s="14">
        <v>0.999993588513658</v>
      </c>
      <c r="K232" s="14">
        <v>0.208605390925833</v>
      </c>
      <c r="L232" s="14" t="s">
        <v>4385</v>
      </c>
      <c r="M232" s="14" t="s">
        <v>21855</v>
      </c>
    </row>
    <row r="233" spans="1:13">
      <c r="A233" s="14" t="s">
        <v>21857</v>
      </c>
      <c r="B233" s="14" t="s">
        <v>21858</v>
      </c>
      <c r="C233" s="14" t="s">
        <v>21523</v>
      </c>
      <c r="D233" s="14" t="s">
        <v>21852</v>
      </c>
      <c r="E233" s="14">
        <v>4</v>
      </c>
      <c r="F233" s="14">
        <v>362</v>
      </c>
      <c r="G233" s="14">
        <v>83</v>
      </c>
      <c r="H233" s="14">
        <v>4984</v>
      </c>
      <c r="I233" s="14">
        <v>0.863382486103134</v>
      </c>
      <c r="J233" s="14">
        <v>0.999993588513658</v>
      </c>
      <c r="K233" s="14">
        <v>0.663515942221926</v>
      </c>
      <c r="L233" s="14" t="s">
        <v>21859</v>
      </c>
      <c r="M233" s="14" t="s">
        <v>21857</v>
      </c>
    </row>
    <row r="234" spans="1:13">
      <c r="A234" s="14" t="s">
        <v>21860</v>
      </c>
      <c r="B234" s="14" t="s">
        <v>21861</v>
      </c>
      <c r="C234" s="14" t="s">
        <v>21523</v>
      </c>
      <c r="D234" s="14" t="s">
        <v>21852</v>
      </c>
      <c r="E234" s="14">
        <v>5</v>
      </c>
      <c r="F234" s="14">
        <v>362</v>
      </c>
      <c r="G234" s="14">
        <v>109</v>
      </c>
      <c r="H234" s="14">
        <v>4984</v>
      </c>
      <c r="I234" s="14">
        <v>0.90659675859951</v>
      </c>
      <c r="J234" s="14">
        <v>0.999993588513658</v>
      </c>
      <c r="K234" s="14">
        <v>0.631557605555274</v>
      </c>
      <c r="L234" s="14" t="s">
        <v>21862</v>
      </c>
      <c r="M234" s="14" t="s">
        <v>21860</v>
      </c>
    </row>
    <row r="235" spans="1:13">
      <c r="A235" s="14" t="s">
        <v>21863</v>
      </c>
      <c r="B235" s="14" t="s">
        <v>21864</v>
      </c>
      <c r="C235" s="14" t="s">
        <v>21523</v>
      </c>
      <c r="D235" s="14" t="s">
        <v>21852</v>
      </c>
      <c r="E235" s="14">
        <v>2</v>
      </c>
      <c r="F235" s="14">
        <v>362</v>
      </c>
      <c r="G235" s="14">
        <v>13</v>
      </c>
      <c r="H235" s="14">
        <v>4984</v>
      </c>
      <c r="I235" s="14">
        <v>0.242696268243905</v>
      </c>
      <c r="J235" s="14">
        <v>0.994298645306563</v>
      </c>
      <c r="K235" s="14">
        <v>2.11814704632384</v>
      </c>
      <c r="L235" s="14" t="s">
        <v>21865</v>
      </c>
      <c r="M235" s="14" t="s">
        <v>21863</v>
      </c>
    </row>
    <row r="236" spans="1:13">
      <c r="A236" s="14" t="s">
        <v>21866</v>
      </c>
      <c r="B236" s="14" t="s">
        <v>21867</v>
      </c>
      <c r="C236" s="14" t="s">
        <v>21523</v>
      </c>
      <c r="D236" s="14" t="s">
        <v>21852</v>
      </c>
      <c r="E236" s="14">
        <v>1</v>
      </c>
      <c r="F236" s="14">
        <v>362</v>
      </c>
      <c r="G236" s="14">
        <v>33</v>
      </c>
      <c r="H236" s="14">
        <v>4984</v>
      </c>
      <c r="I236" s="14">
        <v>0.917644400535216</v>
      </c>
      <c r="J236" s="14">
        <v>0.999993588513658</v>
      </c>
      <c r="K236" s="14">
        <v>0.417210781851666</v>
      </c>
      <c r="L236" s="14" t="s">
        <v>11618</v>
      </c>
      <c r="M236" s="14" t="s">
        <v>21866</v>
      </c>
    </row>
    <row r="237" spans="1:13">
      <c r="A237" s="14" t="s">
        <v>21868</v>
      </c>
      <c r="B237" s="14" t="s">
        <v>21869</v>
      </c>
      <c r="C237" s="14" t="s">
        <v>21523</v>
      </c>
      <c r="D237" s="14" t="s">
        <v>21852</v>
      </c>
      <c r="E237" s="14">
        <v>2</v>
      </c>
      <c r="F237" s="14">
        <v>362</v>
      </c>
      <c r="G237" s="14">
        <v>27</v>
      </c>
      <c r="H237" s="14">
        <v>4984</v>
      </c>
      <c r="I237" s="14">
        <v>0.594048722105872</v>
      </c>
      <c r="J237" s="14">
        <v>0.999993588513658</v>
      </c>
      <c r="K237" s="14">
        <v>1.01984857785963</v>
      </c>
      <c r="L237" s="14" t="s">
        <v>21589</v>
      </c>
      <c r="M237" s="14" t="s">
        <v>21868</v>
      </c>
    </row>
    <row r="238" spans="1:13">
      <c r="A238" s="14" t="s">
        <v>21870</v>
      </c>
      <c r="B238" s="14" t="s">
        <v>21871</v>
      </c>
      <c r="C238" s="14" t="s">
        <v>21523</v>
      </c>
      <c r="D238" s="14" t="s">
        <v>21872</v>
      </c>
      <c r="E238" s="14">
        <v>1</v>
      </c>
      <c r="F238" s="14">
        <v>362</v>
      </c>
      <c r="G238" s="14">
        <v>18</v>
      </c>
      <c r="H238" s="14">
        <v>4984</v>
      </c>
      <c r="I238" s="14">
        <v>0.743263506340242</v>
      </c>
      <c r="J238" s="14">
        <v>0.999993588513658</v>
      </c>
      <c r="K238" s="14">
        <v>0.764886433394721</v>
      </c>
      <c r="L238" s="14" t="s">
        <v>15846</v>
      </c>
      <c r="M238" s="14" t="s">
        <v>21870</v>
      </c>
    </row>
    <row r="239" spans="1:13">
      <c r="A239" s="14" t="s">
        <v>21873</v>
      </c>
      <c r="B239" s="14" t="s">
        <v>21874</v>
      </c>
      <c r="C239" s="14" t="s">
        <v>21523</v>
      </c>
      <c r="D239" s="14" t="s">
        <v>21872</v>
      </c>
      <c r="E239" s="14">
        <v>3</v>
      </c>
      <c r="F239" s="14">
        <v>362</v>
      </c>
      <c r="G239" s="14">
        <v>29</v>
      </c>
      <c r="H239" s="14">
        <v>4984</v>
      </c>
      <c r="I239" s="14">
        <v>0.353088605562571</v>
      </c>
      <c r="J239" s="14">
        <v>0.999993588513658</v>
      </c>
      <c r="K239" s="14">
        <v>1.42427128976948</v>
      </c>
      <c r="L239" s="14" t="s">
        <v>21875</v>
      </c>
      <c r="M239" s="14" t="s">
        <v>21873</v>
      </c>
    </row>
    <row r="240" spans="1:13">
      <c r="A240" s="14" t="s">
        <v>21876</v>
      </c>
      <c r="B240" s="14" t="s">
        <v>21877</v>
      </c>
      <c r="C240" s="14" t="s">
        <v>21523</v>
      </c>
      <c r="D240" s="14" t="s">
        <v>21852</v>
      </c>
      <c r="E240" s="14">
        <v>2</v>
      </c>
      <c r="F240" s="14">
        <v>362</v>
      </c>
      <c r="G240" s="14">
        <v>58</v>
      </c>
      <c r="H240" s="14">
        <v>4984</v>
      </c>
      <c r="I240" s="14">
        <v>0.931233733669046</v>
      </c>
      <c r="J240" s="14">
        <v>0.999993588513658</v>
      </c>
      <c r="K240" s="14">
        <v>0.474757096589827</v>
      </c>
      <c r="L240" s="14" t="s">
        <v>21878</v>
      </c>
      <c r="M240" s="14" t="s">
        <v>21876</v>
      </c>
    </row>
    <row r="241" spans="1:13">
      <c r="A241" s="14" t="s">
        <v>21879</v>
      </c>
      <c r="B241" s="14" t="s">
        <v>21880</v>
      </c>
      <c r="C241" s="14" t="s">
        <v>21523</v>
      </c>
      <c r="D241" s="14" t="s">
        <v>21881</v>
      </c>
      <c r="E241" s="14">
        <v>1</v>
      </c>
      <c r="F241" s="14">
        <v>362</v>
      </c>
      <c r="G241" s="14">
        <v>34</v>
      </c>
      <c r="H241" s="14">
        <v>4984</v>
      </c>
      <c r="I241" s="14">
        <v>0.9236659571917</v>
      </c>
      <c r="J241" s="14">
        <v>0.999993588513658</v>
      </c>
      <c r="K241" s="14">
        <v>0.404939876503087</v>
      </c>
      <c r="L241" s="14" t="s">
        <v>4288</v>
      </c>
      <c r="M241" s="14" t="s">
        <v>21879</v>
      </c>
    </row>
    <row r="242" spans="1:13">
      <c r="A242" s="14" t="s">
        <v>21882</v>
      </c>
      <c r="B242" s="14" t="s">
        <v>21883</v>
      </c>
      <c r="C242" s="14" t="s">
        <v>21523</v>
      </c>
      <c r="D242" s="14" t="s">
        <v>21881</v>
      </c>
      <c r="E242" s="14">
        <v>1</v>
      </c>
      <c r="F242" s="14">
        <v>362</v>
      </c>
      <c r="G242" s="14">
        <v>25</v>
      </c>
      <c r="H242" s="14">
        <v>4984</v>
      </c>
      <c r="I242" s="14">
        <v>0.848907373176757</v>
      </c>
      <c r="J242" s="14">
        <v>0.999993588513658</v>
      </c>
      <c r="K242" s="14">
        <v>0.550718232044199</v>
      </c>
      <c r="L242" s="14" t="s">
        <v>4288</v>
      </c>
      <c r="M242" s="14" t="s">
        <v>21882</v>
      </c>
    </row>
    <row r="243" spans="1:13">
      <c r="A243" s="14" t="s">
        <v>21884</v>
      </c>
      <c r="B243" s="14" t="s">
        <v>21885</v>
      </c>
      <c r="C243" s="14" t="s">
        <v>21523</v>
      </c>
      <c r="D243" s="14" t="s">
        <v>21881</v>
      </c>
      <c r="E243" s="14">
        <v>3</v>
      </c>
      <c r="F243" s="14">
        <v>362</v>
      </c>
      <c r="G243" s="14">
        <v>28</v>
      </c>
      <c r="H243" s="14">
        <v>4984</v>
      </c>
      <c r="I243" s="14">
        <v>0.332639373606987</v>
      </c>
      <c r="J243" s="14">
        <v>0.999993588513658</v>
      </c>
      <c r="K243" s="14">
        <v>1.47513812154696</v>
      </c>
      <c r="L243" s="14" t="s">
        <v>21886</v>
      </c>
      <c r="M243" s="14" t="s">
        <v>21884</v>
      </c>
    </row>
    <row r="244" spans="1:13">
      <c r="A244" s="14" t="s">
        <v>21887</v>
      </c>
      <c r="B244" s="14" t="s">
        <v>21888</v>
      </c>
      <c r="C244" s="14" t="s">
        <v>21523</v>
      </c>
      <c r="D244" s="14" t="s">
        <v>21881</v>
      </c>
      <c r="E244" s="14">
        <v>4</v>
      </c>
      <c r="F244" s="14">
        <v>362</v>
      </c>
      <c r="G244" s="14">
        <v>32</v>
      </c>
      <c r="H244" s="14">
        <v>4984</v>
      </c>
      <c r="I244" s="14">
        <v>0.199661873139987</v>
      </c>
      <c r="J244" s="14">
        <v>0.967327350902353</v>
      </c>
      <c r="K244" s="14">
        <v>1.72099447513812</v>
      </c>
      <c r="L244" s="14" t="s">
        <v>21889</v>
      </c>
      <c r="M244" s="14" t="s">
        <v>21887</v>
      </c>
    </row>
    <row r="245" spans="1:13">
      <c r="A245" s="14" t="s">
        <v>21890</v>
      </c>
      <c r="B245" s="14" t="s">
        <v>21891</v>
      </c>
      <c r="C245" s="14" t="s">
        <v>21523</v>
      </c>
      <c r="D245" s="14" t="s">
        <v>21881</v>
      </c>
      <c r="E245" s="14">
        <v>1</v>
      </c>
      <c r="F245" s="14">
        <v>362</v>
      </c>
      <c r="G245" s="14">
        <v>47</v>
      </c>
      <c r="H245" s="14">
        <v>4984</v>
      </c>
      <c r="I245" s="14">
        <v>0.971593737592502</v>
      </c>
      <c r="J245" s="14">
        <v>0.999993588513658</v>
      </c>
      <c r="K245" s="14">
        <v>0.292935229810744</v>
      </c>
      <c r="L245" s="14" t="s">
        <v>4288</v>
      </c>
      <c r="M245" s="14" t="s">
        <v>21890</v>
      </c>
    </row>
    <row r="246" spans="1:13">
      <c r="A246" s="14" t="s">
        <v>21892</v>
      </c>
      <c r="B246" s="14" t="s">
        <v>21893</v>
      </c>
      <c r="C246" s="14" t="s">
        <v>21523</v>
      </c>
      <c r="D246" s="14" t="s">
        <v>21881</v>
      </c>
      <c r="E246" s="14">
        <v>3</v>
      </c>
      <c r="F246" s="14">
        <v>362</v>
      </c>
      <c r="G246" s="14">
        <v>93</v>
      </c>
      <c r="H246" s="14">
        <v>4984</v>
      </c>
      <c r="I246" s="14">
        <v>0.96999853106765</v>
      </c>
      <c r="J246" s="14">
        <v>0.999993588513658</v>
      </c>
      <c r="K246" s="14">
        <v>0.444127606487257</v>
      </c>
      <c r="L246" s="14" t="s">
        <v>21894</v>
      </c>
      <c r="M246" s="14" t="s">
        <v>21892</v>
      </c>
    </row>
    <row r="247" spans="1:13">
      <c r="A247" s="14" t="s">
        <v>8922</v>
      </c>
      <c r="B247" s="14" t="s">
        <v>8923</v>
      </c>
      <c r="C247" s="14" t="s">
        <v>21523</v>
      </c>
      <c r="D247" s="14" t="s">
        <v>21881</v>
      </c>
      <c r="E247" s="14">
        <v>9</v>
      </c>
      <c r="F247" s="14">
        <v>362</v>
      </c>
      <c r="G247" s="14">
        <v>95</v>
      </c>
      <c r="H247" s="14">
        <v>4984</v>
      </c>
      <c r="I247" s="14">
        <v>0.250997630125528</v>
      </c>
      <c r="J247" s="14">
        <v>0.994298645306563</v>
      </c>
      <c r="K247" s="14">
        <v>1.30433265484152</v>
      </c>
      <c r="L247" s="14" t="s">
        <v>21895</v>
      </c>
      <c r="M247" s="14" t="s">
        <v>8922</v>
      </c>
    </row>
    <row r="248" spans="1:13">
      <c r="A248" s="14" t="s">
        <v>21896</v>
      </c>
      <c r="B248" s="14" t="s">
        <v>21897</v>
      </c>
      <c r="C248" s="14" t="s">
        <v>21523</v>
      </c>
      <c r="D248" s="14" t="s">
        <v>21881</v>
      </c>
      <c r="E248" s="14">
        <v>3</v>
      </c>
      <c r="F248" s="14">
        <v>362</v>
      </c>
      <c r="G248" s="14">
        <v>38</v>
      </c>
      <c r="H248" s="14">
        <v>4984</v>
      </c>
      <c r="I248" s="14">
        <v>0.528542431655981</v>
      </c>
      <c r="J248" s="14">
        <v>0.999993588513658</v>
      </c>
      <c r="K248" s="14">
        <v>1.0869438790346</v>
      </c>
      <c r="L248" s="14" t="s">
        <v>21898</v>
      </c>
      <c r="M248" s="14" t="s">
        <v>21896</v>
      </c>
    </row>
    <row r="249" spans="1:13">
      <c r="A249" s="14" t="s">
        <v>9608</v>
      </c>
      <c r="B249" s="14" t="s">
        <v>9609</v>
      </c>
      <c r="C249" s="14" t="s">
        <v>21523</v>
      </c>
      <c r="D249" s="14" t="s">
        <v>21881</v>
      </c>
      <c r="E249" s="14">
        <v>1</v>
      </c>
      <c r="F249" s="14">
        <v>362</v>
      </c>
      <c r="G249" s="14">
        <v>33</v>
      </c>
      <c r="H249" s="14">
        <v>4984</v>
      </c>
      <c r="I249" s="14">
        <v>0.917644400535216</v>
      </c>
      <c r="J249" s="14">
        <v>0.999993588513658</v>
      </c>
      <c r="K249" s="14">
        <v>0.417210781851666</v>
      </c>
      <c r="L249" s="14" t="s">
        <v>15846</v>
      </c>
      <c r="M249" s="14" t="s">
        <v>9608</v>
      </c>
    </row>
    <row r="250" spans="1:13">
      <c r="A250" s="14" t="s">
        <v>21899</v>
      </c>
      <c r="B250" s="14" t="s">
        <v>21900</v>
      </c>
      <c r="C250" s="14" t="s">
        <v>21523</v>
      </c>
      <c r="D250" s="14" t="s">
        <v>21881</v>
      </c>
      <c r="E250" s="14">
        <v>2</v>
      </c>
      <c r="F250" s="14">
        <v>362</v>
      </c>
      <c r="G250" s="14">
        <v>62</v>
      </c>
      <c r="H250" s="14">
        <v>4984</v>
      </c>
      <c r="I250" s="14">
        <v>0.946422131599009</v>
      </c>
      <c r="J250" s="14">
        <v>0.999993588513658</v>
      </c>
      <c r="K250" s="14">
        <v>0.444127606487257</v>
      </c>
      <c r="L250" s="14" t="s">
        <v>21622</v>
      </c>
      <c r="M250" s="14" t="s">
        <v>21899</v>
      </c>
    </row>
    <row r="251" spans="1:13">
      <c r="A251" s="14" t="s">
        <v>21901</v>
      </c>
      <c r="B251" s="14" t="s">
        <v>21902</v>
      </c>
      <c r="C251" s="14" t="s">
        <v>21523</v>
      </c>
      <c r="D251" s="14" t="s">
        <v>21881</v>
      </c>
      <c r="E251" s="14">
        <v>6</v>
      </c>
      <c r="F251" s="14">
        <v>362</v>
      </c>
      <c r="G251" s="14">
        <v>58</v>
      </c>
      <c r="H251" s="14">
        <v>4984</v>
      </c>
      <c r="I251" s="14">
        <v>0.243045750886318</v>
      </c>
      <c r="J251" s="14">
        <v>0.994298645306563</v>
      </c>
      <c r="K251" s="14">
        <v>1.42427128976948</v>
      </c>
      <c r="L251" s="14" t="s">
        <v>21903</v>
      </c>
      <c r="M251" s="14" t="s">
        <v>21901</v>
      </c>
    </row>
    <row r="252" spans="1:13">
      <c r="A252" s="14" t="s">
        <v>21904</v>
      </c>
      <c r="B252" s="14" t="s">
        <v>21905</v>
      </c>
      <c r="C252" s="14" t="s">
        <v>21523</v>
      </c>
      <c r="D252" s="14" t="s">
        <v>21881</v>
      </c>
      <c r="E252" s="14">
        <v>3</v>
      </c>
      <c r="F252" s="14">
        <v>362</v>
      </c>
      <c r="G252" s="14">
        <v>169</v>
      </c>
      <c r="H252" s="14">
        <v>4984</v>
      </c>
      <c r="I252" s="14">
        <v>0.999748403999321</v>
      </c>
      <c r="J252" s="14">
        <v>0.999993588513658</v>
      </c>
      <c r="K252" s="14">
        <v>0.244401582268136</v>
      </c>
      <c r="L252" s="14" t="s">
        <v>21906</v>
      </c>
      <c r="M252" s="14" t="s">
        <v>21904</v>
      </c>
    </row>
    <row r="253" spans="1:13">
      <c r="A253" s="14" t="s">
        <v>21907</v>
      </c>
      <c r="B253" s="14" t="s">
        <v>21908</v>
      </c>
      <c r="C253" s="14" t="s">
        <v>21523</v>
      </c>
      <c r="D253" s="14" t="s">
        <v>21909</v>
      </c>
      <c r="E253" s="14">
        <v>14</v>
      </c>
      <c r="F253" s="14">
        <v>362</v>
      </c>
      <c r="G253" s="14">
        <v>121</v>
      </c>
      <c r="H253" s="14">
        <v>4984</v>
      </c>
      <c r="I253" s="14">
        <v>0.0542849927364779</v>
      </c>
      <c r="J253" s="14">
        <v>0.526002860653458</v>
      </c>
      <c r="K253" s="14">
        <v>1.59298662161545</v>
      </c>
      <c r="L253" s="14" t="s">
        <v>21910</v>
      </c>
      <c r="M253" s="14" t="s">
        <v>21907</v>
      </c>
    </row>
    <row r="254" spans="1:13">
      <c r="A254" s="14" t="s">
        <v>21911</v>
      </c>
      <c r="B254" s="14" t="s">
        <v>21912</v>
      </c>
      <c r="C254" s="14" t="s">
        <v>21523</v>
      </c>
      <c r="D254" s="14" t="s">
        <v>21909</v>
      </c>
      <c r="E254" s="14">
        <v>2</v>
      </c>
      <c r="F254" s="14">
        <v>362</v>
      </c>
      <c r="G254" s="14">
        <v>37</v>
      </c>
      <c r="H254" s="14">
        <v>4984</v>
      </c>
      <c r="I254" s="14">
        <v>0.761708935602253</v>
      </c>
      <c r="J254" s="14">
        <v>0.999993588513658</v>
      </c>
      <c r="K254" s="14">
        <v>0.744213827086755</v>
      </c>
      <c r="L254" s="14" t="s">
        <v>21913</v>
      </c>
      <c r="M254" s="14" t="s">
        <v>21911</v>
      </c>
    </row>
    <row r="255" spans="1:13">
      <c r="A255" s="14" t="s">
        <v>21914</v>
      </c>
      <c r="B255" s="14" t="s">
        <v>21915</v>
      </c>
      <c r="C255" s="14" t="s">
        <v>21523</v>
      </c>
      <c r="D255" s="14" t="s">
        <v>21909</v>
      </c>
      <c r="E255" s="14">
        <v>7</v>
      </c>
      <c r="F255" s="14">
        <v>362</v>
      </c>
      <c r="G255" s="14">
        <v>98</v>
      </c>
      <c r="H255" s="14">
        <v>4984</v>
      </c>
      <c r="I255" s="14">
        <v>0.575497397780178</v>
      </c>
      <c r="J255" s="14">
        <v>0.999993588513658</v>
      </c>
      <c r="K255" s="14">
        <v>0.983425414364641</v>
      </c>
      <c r="L255" s="14" t="s">
        <v>21916</v>
      </c>
      <c r="M255" s="14" t="s">
        <v>21914</v>
      </c>
    </row>
    <row r="256" spans="1:13">
      <c r="A256" s="14" t="s">
        <v>21917</v>
      </c>
      <c r="B256" s="14" t="s">
        <v>21918</v>
      </c>
      <c r="C256" s="14" t="s">
        <v>21523</v>
      </c>
      <c r="D256" s="14" t="s">
        <v>21909</v>
      </c>
      <c r="E256" s="14">
        <v>10</v>
      </c>
      <c r="F256" s="14">
        <v>362</v>
      </c>
      <c r="G256" s="14">
        <v>38</v>
      </c>
      <c r="H256" s="14">
        <v>4984</v>
      </c>
      <c r="I256" s="14">
        <v>0.000270262336499931</v>
      </c>
      <c r="J256" s="14">
        <v>0.0189859291391201</v>
      </c>
      <c r="K256" s="14">
        <v>3.62314626344868</v>
      </c>
      <c r="L256" s="14" t="s">
        <v>21511</v>
      </c>
      <c r="M256" s="14" t="s">
        <v>21917</v>
      </c>
    </row>
    <row r="257" spans="1:13">
      <c r="A257" s="14" t="s">
        <v>21919</v>
      </c>
      <c r="B257" s="14" t="s">
        <v>21920</v>
      </c>
      <c r="C257" s="14" t="s">
        <v>21523</v>
      </c>
      <c r="D257" s="14" t="s">
        <v>21909</v>
      </c>
      <c r="E257" s="14">
        <v>2</v>
      </c>
      <c r="F257" s="14">
        <v>362</v>
      </c>
      <c r="G257" s="14">
        <v>33</v>
      </c>
      <c r="H257" s="14">
        <v>4984</v>
      </c>
      <c r="I257" s="14">
        <v>0.703304533170008</v>
      </c>
      <c r="J257" s="14">
        <v>0.999993588513658</v>
      </c>
      <c r="K257" s="14">
        <v>0.834421563703332</v>
      </c>
      <c r="L257" s="14" t="s">
        <v>21589</v>
      </c>
      <c r="M257" s="14" t="s">
        <v>21919</v>
      </c>
    </row>
    <row r="258" spans="1:13">
      <c r="A258" s="14" t="s">
        <v>21921</v>
      </c>
      <c r="B258" s="14" t="s">
        <v>21922</v>
      </c>
      <c r="C258" s="14" t="s">
        <v>21523</v>
      </c>
      <c r="D258" s="14" t="s">
        <v>21909</v>
      </c>
      <c r="E258" s="14">
        <v>1</v>
      </c>
      <c r="F258" s="14">
        <v>362</v>
      </c>
      <c r="G258" s="14">
        <v>54</v>
      </c>
      <c r="H258" s="14">
        <v>4984</v>
      </c>
      <c r="I258" s="14">
        <v>0.983336601154423</v>
      </c>
      <c r="J258" s="14">
        <v>0.999993588513658</v>
      </c>
      <c r="K258" s="14">
        <v>0.254962144464907</v>
      </c>
      <c r="L258" s="14" t="s">
        <v>4288</v>
      </c>
      <c r="M258" s="14" t="s">
        <v>21921</v>
      </c>
    </row>
    <row r="259" spans="1:13">
      <c r="A259" s="14" t="s">
        <v>21923</v>
      </c>
      <c r="B259" s="14" t="s">
        <v>21924</v>
      </c>
      <c r="C259" s="14" t="s">
        <v>21523</v>
      </c>
      <c r="D259" s="14" t="s">
        <v>21909</v>
      </c>
      <c r="E259" s="14">
        <v>11</v>
      </c>
      <c r="F259" s="14">
        <v>362</v>
      </c>
      <c r="G259" s="14">
        <v>58</v>
      </c>
      <c r="H259" s="14">
        <v>4984</v>
      </c>
      <c r="I259" s="14">
        <v>0.00260029946118562</v>
      </c>
      <c r="J259" s="14">
        <v>0.104383449799023</v>
      </c>
      <c r="K259" s="14">
        <v>2.61116403124405</v>
      </c>
      <c r="L259" s="14" t="s">
        <v>21925</v>
      </c>
      <c r="M259" s="14" t="s">
        <v>21923</v>
      </c>
    </row>
    <row r="260" spans="1:13">
      <c r="A260" s="14" t="s">
        <v>21926</v>
      </c>
      <c r="B260" s="14" t="s">
        <v>21927</v>
      </c>
      <c r="C260" s="14" t="s">
        <v>21523</v>
      </c>
      <c r="D260" s="14" t="s">
        <v>21909</v>
      </c>
      <c r="E260" s="14">
        <v>14</v>
      </c>
      <c r="F260" s="14">
        <v>362</v>
      </c>
      <c r="G260" s="14">
        <v>159</v>
      </c>
      <c r="H260" s="14">
        <v>4984</v>
      </c>
      <c r="I260" s="14">
        <v>0.263601384748508</v>
      </c>
      <c r="J260" s="14">
        <v>0.999993588513658</v>
      </c>
      <c r="K260" s="14">
        <v>1.21227283783314</v>
      </c>
      <c r="L260" s="14" t="s">
        <v>21928</v>
      </c>
      <c r="M260" s="14" t="s">
        <v>21926</v>
      </c>
    </row>
    <row r="261" spans="1:13">
      <c r="A261" s="14" t="s">
        <v>21929</v>
      </c>
      <c r="B261" s="14" t="s">
        <v>21930</v>
      </c>
      <c r="C261" s="14" t="s">
        <v>21523</v>
      </c>
      <c r="D261" s="14" t="s">
        <v>21931</v>
      </c>
      <c r="E261" s="14">
        <v>3</v>
      </c>
      <c r="F261" s="14">
        <v>362</v>
      </c>
      <c r="G261" s="14">
        <v>23</v>
      </c>
      <c r="H261" s="14">
        <v>4984</v>
      </c>
      <c r="I261" s="14">
        <v>0.23129784074518</v>
      </c>
      <c r="J261" s="14">
        <v>0.994298645306563</v>
      </c>
      <c r="K261" s="14">
        <v>1.79582032188326</v>
      </c>
      <c r="L261" s="14" t="s">
        <v>21932</v>
      </c>
      <c r="M261" s="14" t="s">
        <v>21929</v>
      </c>
    </row>
    <row r="262" spans="1:13">
      <c r="A262" s="14" t="s">
        <v>21933</v>
      </c>
      <c r="B262" s="14" t="s">
        <v>21934</v>
      </c>
      <c r="C262" s="14" t="s">
        <v>21523</v>
      </c>
      <c r="D262" s="14" t="s">
        <v>21931</v>
      </c>
      <c r="E262" s="14">
        <v>2</v>
      </c>
      <c r="F262" s="14">
        <v>362</v>
      </c>
      <c r="G262" s="14">
        <v>19</v>
      </c>
      <c r="H262" s="14">
        <v>4984</v>
      </c>
      <c r="I262" s="14">
        <v>0.406393793757281</v>
      </c>
      <c r="J262" s="14">
        <v>0.999993588513658</v>
      </c>
      <c r="K262" s="14">
        <v>1.44925850537947</v>
      </c>
      <c r="L262" s="14" t="s">
        <v>21589</v>
      </c>
      <c r="M262" s="14" t="s">
        <v>21933</v>
      </c>
    </row>
    <row r="263" spans="1:13">
      <c r="A263" s="14" t="s">
        <v>21935</v>
      </c>
      <c r="B263" s="14" t="s">
        <v>21936</v>
      </c>
      <c r="C263" s="14" t="s">
        <v>21523</v>
      </c>
      <c r="D263" s="14" t="s">
        <v>21931</v>
      </c>
      <c r="E263" s="14">
        <v>3</v>
      </c>
      <c r="F263" s="14">
        <v>362</v>
      </c>
      <c r="G263" s="14">
        <v>32</v>
      </c>
      <c r="H263" s="14">
        <v>4984</v>
      </c>
      <c r="I263" s="14">
        <v>0.413780976145957</v>
      </c>
      <c r="J263" s="14">
        <v>0.999993588513658</v>
      </c>
      <c r="K263" s="14">
        <v>1.29074585635359</v>
      </c>
      <c r="L263" s="14" t="s">
        <v>21937</v>
      </c>
      <c r="M263" s="14" t="s">
        <v>21935</v>
      </c>
    </row>
    <row r="264" spans="1:13">
      <c r="A264" s="14" t="s">
        <v>21938</v>
      </c>
      <c r="B264" s="14" t="s">
        <v>21939</v>
      </c>
      <c r="C264" s="14" t="s">
        <v>21523</v>
      </c>
      <c r="D264" s="14" t="s">
        <v>21931</v>
      </c>
      <c r="E264" s="14">
        <v>1</v>
      </c>
      <c r="F264" s="14">
        <v>362</v>
      </c>
      <c r="G264" s="14">
        <v>13</v>
      </c>
      <c r="H264" s="14">
        <v>4984</v>
      </c>
      <c r="I264" s="14">
        <v>0.625250085509274</v>
      </c>
      <c r="J264" s="14">
        <v>0.999993588513658</v>
      </c>
      <c r="K264" s="14">
        <v>1.05907352316192</v>
      </c>
      <c r="L264" s="14" t="s">
        <v>4288</v>
      </c>
      <c r="M264" s="14" t="s">
        <v>21938</v>
      </c>
    </row>
    <row r="265" spans="1:13">
      <c r="A265" s="14" t="s">
        <v>21940</v>
      </c>
      <c r="B265" s="14" t="s">
        <v>21941</v>
      </c>
      <c r="C265" s="14" t="s">
        <v>21523</v>
      </c>
      <c r="D265" s="14" t="s">
        <v>21931</v>
      </c>
      <c r="E265" s="14">
        <v>2</v>
      </c>
      <c r="F265" s="14">
        <v>362</v>
      </c>
      <c r="G265" s="14">
        <v>18</v>
      </c>
      <c r="H265" s="14">
        <v>4984</v>
      </c>
      <c r="I265" s="14">
        <v>0.379985549187803</v>
      </c>
      <c r="J265" s="14">
        <v>0.999993588513658</v>
      </c>
      <c r="K265" s="14">
        <v>1.52977286678944</v>
      </c>
      <c r="L265" s="14" t="s">
        <v>21582</v>
      </c>
      <c r="M265" s="14" t="s">
        <v>21940</v>
      </c>
    </row>
    <row r="266" spans="1:13">
      <c r="A266" s="14" t="s">
        <v>21942</v>
      </c>
      <c r="B266" s="14" t="s">
        <v>21943</v>
      </c>
      <c r="C266" s="14" t="s">
        <v>21523</v>
      </c>
      <c r="D266" s="14" t="s">
        <v>21931</v>
      </c>
      <c r="E266" s="14">
        <v>2</v>
      </c>
      <c r="F266" s="14">
        <v>362</v>
      </c>
      <c r="G266" s="14">
        <v>25</v>
      </c>
      <c r="H266" s="14">
        <v>4984</v>
      </c>
      <c r="I266" s="14">
        <v>0.551519754048799</v>
      </c>
      <c r="J266" s="14">
        <v>0.999993588513658</v>
      </c>
      <c r="K266" s="14">
        <v>1.1014364640884</v>
      </c>
      <c r="L266" s="14" t="s">
        <v>21944</v>
      </c>
      <c r="M266" s="14" t="s">
        <v>21942</v>
      </c>
    </row>
    <row r="267" spans="1:13">
      <c r="A267" s="14" t="s">
        <v>21945</v>
      </c>
      <c r="B267" s="14" t="s">
        <v>21946</v>
      </c>
      <c r="C267" s="14" t="s">
        <v>21523</v>
      </c>
      <c r="D267" s="14" t="s">
        <v>21931</v>
      </c>
      <c r="E267" s="14">
        <v>1</v>
      </c>
      <c r="F267" s="14">
        <v>362</v>
      </c>
      <c r="G267" s="14">
        <v>8</v>
      </c>
      <c r="H267" s="14">
        <v>4984</v>
      </c>
      <c r="I267" s="14">
        <v>0.453205713046698</v>
      </c>
      <c r="J267" s="14">
        <v>0.999993588513658</v>
      </c>
      <c r="K267" s="14">
        <v>1.72099447513812</v>
      </c>
      <c r="L267" s="14" t="s">
        <v>4288</v>
      </c>
      <c r="M267" s="14" t="s">
        <v>21945</v>
      </c>
    </row>
    <row r="268" spans="1:13">
      <c r="A268" s="14" t="s">
        <v>21947</v>
      </c>
      <c r="B268" s="14" t="s">
        <v>21948</v>
      </c>
      <c r="C268" s="14" t="s">
        <v>21523</v>
      </c>
      <c r="D268" s="14" t="s">
        <v>21931</v>
      </c>
      <c r="E268" s="14">
        <v>1</v>
      </c>
      <c r="F268" s="14">
        <v>362</v>
      </c>
      <c r="G268" s="14">
        <v>12</v>
      </c>
      <c r="H268" s="14">
        <v>4984</v>
      </c>
      <c r="I268" s="14">
        <v>0.595822868796554</v>
      </c>
      <c r="J268" s="14">
        <v>0.999993588513658</v>
      </c>
      <c r="K268" s="14">
        <v>1.14732965009208</v>
      </c>
      <c r="L268" s="14" t="s">
        <v>4288</v>
      </c>
      <c r="M268" s="14" t="s">
        <v>21947</v>
      </c>
    </row>
    <row r="269" spans="1:13">
      <c r="A269" s="14" t="s">
        <v>21949</v>
      </c>
      <c r="B269" s="14" t="s">
        <v>21950</v>
      </c>
      <c r="C269" s="14" t="s">
        <v>21523</v>
      </c>
      <c r="D269" s="14" t="s">
        <v>21931</v>
      </c>
      <c r="E269" s="14">
        <v>1</v>
      </c>
      <c r="F269" s="14">
        <v>362</v>
      </c>
      <c r="G269" s="14">
        <v>7</v>
      </c>
      <c r="H269" s="14">
        <v>4984</v>
      </c>
      <c r="I269" s="14">
        <v>0.410315240267262</v>
      </c>
      <c r="J269" s="14">
        <v>0.999993588513658</v>
      </c>
      <c r="K269" s="14">
        <v>1.96685082872928</v>
      </c>
      <c r="L269" s="14" t="s">
        <v>4288</v>
      </c>
      <c r="M269" s="14" t="s">
        <v>21949</v>
      </c>
    </row>
    <row r="270" spans="1:13">
      <c r="A270" s="14" t="s">
        <v>21951</v>
      </c>
      <c r="B270" s="14" t="s">
        <v>21952</v>
      </c>
      <c r="C270" s="14" t="s">
        <v>21523</v>
      </c>
      <c r="D270" s="14" t="s">
        <v>21931</v>
      </c>
      <c r="E270" s="14">
        <v>1</v>
      </c>
      <c r="F270" s="14">
        <v>362</v>
      </c>
      <c r="G270" s="14">
        <v>12</v>
      </c>
      <c r="H270" s="14">
        <v>4984</v>
      </c>
      <c r="I270" s="14">
        <v>0.595822868796554</v>
      </c>
      <c r="J270" s="14">
        <v>0.999993588513658</v>
      </c>
      <c r="K270" s="14">
        <v>1.14732965009208</v>
      </c>
      <c r="L270" s="14" t="s">
        <v>4288</v>
      </c>
      <c r="M270" s="14" t="s">
        <v>21951</v>
      </c>
    </row>
    <row r="271" spans="1:13">
      <c r="A271" s="14" t="s">
        <v>21953</v>
      </c>
      <c r="B271" s="14" t="s">
        <v>21954</v>
      </c>
      <c r="C271" s="14" t="s">
        <v>21523</v>
      </c>
      <c r="D271" s="14" t="s">
        <v>21931</v>
      </c>
      <c r="E271" s="14">
        <v>1</v>
      </c>
      <c r="F271" s="14">
        <v>362</v>
      </c>
      <c r="G271" s="14">
        <v>11</v>
      </c>
      <c r="H271" s="14">
        <v>4984</v>
      </c>
      <c r="I271" s="14">
        <v>0.564091764590167</v>
      </c>
      <c r="J271" s="14">
        <v>0.999993588513658</v>
      </c>
      <c r="K271" s="14">
        <v>1.251632345555</v>
      </c>
      <c r="L271" s="14" t="s">
        <v>4288</v>
      </c>
      <c r="M271" s="14" t="s">
        <v>21953</v>
      </c>
    </row>
    <row r="272" spans="1:13">
      <c r="A272" s="14" t="s">
        <v>21955</v>
      </c>
      <c r="B272" s="14" t="s">
        <v>21956</v>
      </c>
      <c r="C272" s="14" t="s">
        <v>21523</v>
      </c>
      <c r="D272" s="14" t="s">
        <v>21931</v>
      </c>
      <c r="E272" s="14">
        <v>1</v>
      </c>
      <c r="F272" s="14">
        <v>362</v>
      </c>
      <c r="G272" s="14">
        <v>11</v>
      </c>
      <c r="H272" s="14">
        <v>4984</v>
      </c>
      <c r="I272" s="14">
        <v>0.564091764590167</v>
      </c>
      <c r="J272" s="14">
        <v>0.999993588513658</v>
      </c>
      <c r="K272" s="14">
        <v>1.251632345555</v>
      </c>
      <c r="L272" s="14" t="s">
        <v>4288</v>
      </c>
      <c r="M272" s="14" t="s">
        <v>21955</v>
      </c>
    </row>
    <row r="273" spans="1:13">
      <c r="A273" s="14" t="s">
        <v>21957</v>
      </c>
      <c r="B273" s="14" t="s">
        <v>21958</v>
      </c>
      <c r="C273" s="14" t="s">
        <v>21523</v>
      </c>
      <c r="D273" s="14" t="s">
        <v>21931</v>
      </c>
      <c r="E273" s="14">
        <v>1</v>
      </c>
      <c r="F273" s="14">
        <v>362</v>
      </c>
      <c r="G273" s="14">
        <v>16</v>
      </c>
      <c r="H273" s="14">
        <v>4984</v>
      </c>
      <c r="I273" s="14">
        <v>0.701317495294019</v>
      </c>
      <c r="J273" s="14">
        <v>0.999993588513658</v>
      </c>
      <c r="K273" s="14">
        <v>0.860497237569061</v>
      </c>
      <c r="L273" s="14" t="s">
        <v>4288</v>
      </c>
      <c r="M273" s="14" t="s">
        <v>21957</v>
      </c>
    </row>
    <row r="274" spans="1:13">
      <c r="A274" s="14" t="s">
        <v>21959</v>
      </c>
      <c r="B274" s="14" t="s">
        <v>21960</v>
      </c>
      <c r="C274" s="14" t="s">
        <v>21523</v>
      </c>
      <c r="D274" s="14" t="s">
        <v>21931</v>
      </c>
      <c r="E274" s="14">
        <v>9</v>
      </c>
      <c r="F274" s="14">
        <v>362</v>
      </c>
      <c r="G274" s="14">
        <v>60</v>
      </c>
      <c r="H274" s="14">
        <v>4984</v>
      </c>
      <c r="I274" s="14">
        <v>0.0277027335528544</v>
      </c>
      <c r="J274" s="14">
        <v>0.370688958492956</v>
      </c>
      <c r="K274" s="14">
        <v>2.06519337016575</v>
      </c>
      <c r="L274" s="14" t="s">
        <v>21961</v>
      </c>
      <c r="M274" s="14" t="s">
        <v>21959</v>
      </c>
    </row>
    <row r="275" spans="1:13">
      <c r="A275" s="14" t="s">
        <v>21962</v>
      </c>
      <c r="B275" s="14" t="s">
        <v>21963</v>
      </c>
      <c r="C275" s="14" t="s">
        <v>21523</v>
      </c>
      <c r="D275" s="14" t="s">
        <v>21931</v>
      </c>
      <c r="E275" s="14">
        <v>1</v>
      </c>
      <c r="F275" s="14">
        <v>362</v>
      </c>
      <c r="G275" s="14">
        <v>40</v>
      </c>
      <c r="H275" s="14">
        <v>4984</v>
      </c>
      <c r="I275" s="14">
        <v>0.951613566940513</v>
      </c>
      <c r="J275" s="14">
        <v>0.999993588513658</v>
      </c>
      <c r="K275" s="14">
        <v>0.344198895027624</v>
      </c>
      <c r="L275" s="14" t="s">
        <v>4288</v>
      </c>
      <c r="M275" s="14" t="s">
        <v>21962</v>
      </c>
    </row>
    <row r="276" spans="1:13">
      <c r="A276" s="14" t="s">
        <v>21964</v>
      </c>
      <c r="B276" s="14" t="s">
        <v>21965</v>
      </c>
      <c r="C276" s="14" t="s">
        <v>21523</v>
      </c>
      <c r="D276" s="14" t="s">
        <v>21909</v>
      </c>
      <c r="E276" s="14">
        <v>2</v>
      </c>
      <c r="F276" s="14">
        <v>362</v>
      </c>
      <c r="G276" s="14">
        <v>43</v>
      </c>
      <c r="H276" s="14">
        <v>4984</v>
      </c>
      <c r="I276" s="14">
        <v>0.83058338478349</v>
      </c>
      <c r="J276" s="14">
        <v>0.999993588513658</v>
      </c>
      <c r="K276" s="14">
        <v>0.640370037260696</v>
      </c>
      <c r="L276" s="14" t="s">
        <v>21966</v>
      </c>
      <c r="M276" s="14" t="s">
        <v>21964</v>
      </c>
    </row>
    <row r="277" spans="1:13">
      <c r="A277" s="14" t="s">
        <v>16038</v>
      </c>
      <c r="B277" s="14" t="s">
        <v>16039</v>
      </c>
      <c r="C277" s="14" t="s">
        <v>21523</v>
      </c>
      <c r="D277" s="14" t="s">
        <v>21909</v>
      </c>
      <c r="E277" s="14">
        <v>6</v>
      </c>
      <c r="F277" s="14">
        <v>362</v>
      </c>
      <c r="G277" s="14">
        <v>43</v>
      </c>
      <c r="H277" s="14">
        <v>4984</v>
      </c>
      <c r="I277" s="14">
        <v>0.0881511332841155</v>
      </c>
      <c r="J277" s="14">
        <v>0.669472120346931</v>
      </c>
      <c r="K277" s="14">
        <v>1.92111011178209</v>
      </c>
      <c r="L277" s="14" t="s">
        <v>21967</v>
      </c>
      <c r="M277" s="14" t="s">
        <v>16038</v>
      </c>
    </row>
    <row r="278" spans="1:13">
      <c r="A278" s="14" t="s">
        <v>21968</v>
      </c>
      <c r="B278" s="14" t="s">
        <v>21969</v>
      </c>
      <c r="C278" s="14" t="s">
        <v>21523</v>
      </c>
      <c r="D278" s="14" t="s">
        <v>21909</v>
      </c>
      <c r="E278" s="14">
        <v>1</v>
      </c>
      <c r="F278" s="14">
        <v>362</v>
      </c>
      <c r="G278" s="14">
        <v>19</v>
      </c>
      <c r="H278" s="14">
        <v>4984</v>
      </c>
      <c r="I278" s="14">
        <v>0.761978490372629</v>
      </c>
      <c r="J278" s="14">
        <v>0.999993588513658</v>
      </c>
      <c r="K278" s="14">
        <v>0.724629252689735</v>
      </c>
      <c r="L278" s="14" t="s">
        <v>4288</v>
      </c>
      <c r="M278" s="14" t="s">
        <v>21968</v>
      </c>
    </row>
    <row r="279" spans="1:13">
      <c r="A279" s="14" t="s">
        <v>21970</v>
      </c>
      <c r="B279" s="14" t="s">
        <v>21971</v>
      </c>
      <c r="C279" s="14" t="s">
        <v>21523</v>
      </c>
      <c r="D279" s="14" t="s">
        <v>21972</v>
      </c>
      <c r="E279" s="14">
        <v>7</v>
      </c>
      <c r="F279" s="14">
        <v>362</v>
      </c>
      <c r="G279" s="14">
        <v>34</v>
      </c>
      <c r="H279" s="14">
        <v>4984</v>
      </c>
      <c r="I279" s="14">
        <v>0.00976268826155237</v>
      </c>
      <c r="J279" s="14">
        <v>0.228609616791351</v>
      </c>
      <c r="K279" s="14">
        <v>2.83457913552161</v>
      </c>
      <c r="L279" s="14" t="s">
        <v>16675</v>
      </c>
      <c r="M279" s="14" t="s">
        <v>21970</v>
      </c>
    </row>
    <row r="280" spans="1:13">
      <c r="A280" s="14" t="s">
        <v>21973</v>
      </c>
      <c r="B280" s="14" t="s">
        <v>21974</v>
      </c>
      <c r="C280" s="14" t="s">
        <v>21523</v>
      </c>
      <c r="D280" s="14" t="s">
        <v>21975</v>
      </c>
      <c r="E280" s="14">
        <v>2</v>
      </c>
      <c r="F280" s="14">
        <v>362</v>
      </c>
      <c r="G280" s="14">
        <v>127</v>
      </c>
      <c r="H280" s="14">
        <v>4984</v>
      </c>
      <c r="I280" s="14">
        <v>0.999315119010115</v>
      </c>
      <c r="J280" s="14">
        <v>0.999993588513658</v>
      </c>
      <c r="K280" s="14">
        <v>0.216818201592204</v>
      </c>
      <c r="L280" s="14" t="s">
        <v>21789</v>
      </c>
      <c r="M280" s="14" t="s">
        <v>21973</v>
      </c>
    </row>
    <row r="281" spans="1:13">
      <c r="A281" s="14" t="s">
        <v>21976</v>
      </c>
      <c r="B281" s="14" t="s">
        <v>21977</v>
      </c>
      <c r="C281" s="14" t="s">
        <v>21523</v>
      </c>
      <c r="D281" s="14" t="s">
        <v>21975</v>
      </c>
      <c r="E281" s="14">
        <v>1</v>
      </c>
      <c r="F281" s="14">
        <v>362</v>
      </c>
      <c r="G281" s="14">
        <v>11</v>
      </c>
      <c r="H281" s="14">
        <v>4984</v>
      </c>
      <c r="I281" s="14">
        <v>0.564091764590167</v>
      </c>
      <c r="J281" s="14">
        <v>0.999993588513658</v>
      </c>
      <c r="K281" s="14">
        <v>1.251632345555</v>
      </c>
      <c r="L281" s="14" t="s">
        <v>4385</v>
      </c>
      <c r="M281" s="14" t="s">
        <v>21976</v>
      </c>
    </row>
    <row r="282" spans="1:13">
      <c r="A282" s="14" t="s">
        <v>21978</v>
      </c>
      <c r="B282" s="14" t="s">
        <v>21979</v>
      </c>
      <c r="C282" s="14" t="s">
        <v>21523</v>
      </c>
      <c r="D282" s="14" t="s">
        <v>21975</v>
      </c>
      <c r="E282" s="14">
        <v>4</v>
      </c>
      <c r="F282" s="14">
        <v>362</v>
      </c>
      <c r="G282" s="14">
        <v>54</v>
      </c>
      <c r="H282" s="14">
        <v>4984</v>
      </c>
      <c r="I282" s="14">
        <v>0.559075178875504</v>
      </c>
      <c r="J282" s="14">
        <v>0.999993588513658</v>
      </c>
      <c r="K282" s="14">
        <v>1.01984857785963</v>
      </c>
      <c r="L282" s="14" t="s">
        <v>21980</v>
      </c>
      <c r="M282" s="14" t="s">
        <v>21978</v>
      </c>
    </row>
    <row r="283" spans="1:13">
      <c r="A283" s="14" t="s">
        <v>21981</v>
      </c>
      <c r="B283" s="14" t="s">
        <v>21982</v>
      </c>
      <c r="C283" s="14" t="s">
        <v>21523</v>
      </c>
      <c r="D283" s="14" t="s">
        <v>21975</v>
      </c>
      <c r="E283" s="14">
        <v>11</v>
      </c>
      <c r="F283" s="14">
        <v>362</v>
      </c>
      <c r="G283" s="14">
        <v>73</v>
      </c>
      <c r="H283" s="14">
        <v>4984</v>
      </c>
      <c r="I283" s="14">
        <v>0.0152868416018056</v>
      </c>
      <c r="J283" s="14">
        <v>0.30275799464727</v>
      </c>
      <c r="K283" s="14">
        <v>2.07462347687883</v>
      </c>
      <c r="L283" s="14" t="s">
        <v>21983</v>
      </c>
      <c r="M283" s="14" t="s">
        <v>21981</v>
      </c>
    </row>
  </sheetData>
  <mergeCells count="1">
    <mergeCell ref="A1:K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7"/>
  <sheetViews>
    <sheetView workbookViewId="0">
      <selection activeCell="D16" sqref="D16"/>
    </sheetView>
  </sheetViews>
  <sheetFormatPr defaultColWidth="10" defaultRowHeight="13.8"/>
  <cols>
    <col min="1" max="16384" width="10" style="14"/>
  </cols>
  <sheetData>
    <row r="1" s="33" customFormat="1" ht="13.2" spans="1:11">
      <c r="A1" s="34" t="s">
        <v>21984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3">
      <c r="A2" s="22" t="s">
        <v>16075</v>
      </c>
      <c r="B2" s="22" t="s">
        <v>16076</v>
      </c>
      <c r="C2" s="22" t="s">
        <v>21381</v>
      </c>
      <c r="D2" s="22" t="s">
        <v>21382</v>
      </c>
      <c r="E2" s="22" t="s">
        <v>16078</v>
      </c>
      <c r="F2" s="22" t="s">
        <v>16079</v>
      </c>
      <c r="G2" s="22" t="s">
        <v>16080</v>
      </c>
      <c r="H2" s="22" t="s">
        <v>16081</v>
      </c>
      <c r="I2" s="22" t="s">
        <v>130</v>
      </c>
      <c r="J2" s="22" t="s">
        <v>131</v>
      </c>
      <c r="K2" s="22" t="s">
        <v>16082</v>
      </c>
      <c r="L2" s="22" t="s">
        <v>16083</v>
      </c>
      <c r="M2" s="22" t="s">
        <v>21383</v>
      </c>
    </row>
    <row r="3" spans="1:13">
      <c r="A3" s="14" t="s">
        <v>5978</v>
      </c>
      <c r="B3" s="14" t="s">
        <v>5979</v>
      </c>
      <c r="C3" s="14" t="s">
        <v>21384</v>
      </c>
      <c r="D3" s="14" t="s">
        <v>21385</v>
      </c>
      <c r="E3" s="14">
        <v>17</v>
      </c>
      <c r="F3" s="14">
        <v>362</v>
      </c>
      <c r="G3" s="14">
        <v>107</v>
      </c>
      <c r="H3" s="14">
        <v>4984</v>
      </c>
      <c r="I3" s="14">
        <v>0.00162034625679458</v>
      </c>
      <c r="J3" s="14">
        <v>0.0769664471977425</v>
      </c>
      <c r="K3" s="14">
        <v>2.1874322300821</v>
      </c>
      <c r="L3" s="14" t="s">
        <v>21985</v>
      </c>
      <c r="M3" s="14" t="str">
        <f>HYPERLINK("../../3.KEGG_map/Tetraploid-vs-Diploid/ko00010.html","ko00010")</f>
        <v>ko00010</v>
      </c>
    </row>
    <row r="4" spans="1:13">
      <c r="A4" s="14" t="s">
        <v>21986</v>
      </c>
      <c r="B4" s="14" t="s">
        <v>21987</v>
      </c>
      <c r="C4" s="14" t="s">
        <v>21384</v>
      </c>
      <c r="D4" s="14" t="s">
        <v>21385</v>
      </c>
      <c r="E4" s="14">
        <v>4</v>
      </c>
      <c r="F4" s="14">
        <v>362</v>
      </c>
      <c r="G4" s="14">
        <v>41</v>
      </c>
      <c r="H4" s="14">
        <v>4984</v>
      </c>
      <c r="I4" s="14">
        <v>0.34743427709599</v>
      </c>
      <c r="J4" s="14">
        <v>0.999997675348157</v>
      </c>
      <c r="K4" s="14">
        <v>1.3432152001078</v>
      </c>
      <c r="L4" s="14" t="s">
        <v>21988</v>
      </c>
      <c r="M4" s="14" t="str">
        <f>HYPERLINK("../../3.KEGG_map/Tetraploid-vs-Diploid/ko00020.html","ko00020")</f>
        <v>ko00020</v>
      </c>
    </row>
    <row r="5" spans="1:13">
      <c r="A5" s="14" t="s">
        <v>2789</v>
      </c>
      <c r="B5" s="14" t="s">
        <v>2790</v>
      </c>
      <c r="C5" s="14" t="s">
        <v>21384</v>
      </c>
      <c r="D5" s="14" t="s">
        <v>21385</v>
      </c>
      <c r="E5" s="14">
        <v>12</v>
      </c>
      <c r="F5" s="14">
        <v>362</v>
      </c>
      <c r="G5" s="14">
        <v>57</v>
      </c>
      <c r="H5" s="14">
        <v>4984</v>
      </c>
      <c r="I5" s="14">
        <v>0.000637565830913513</v>
      </c>
      <c r="J5" s="14">
        <v>0.0363412523620702</v>
      </c>
      <c r="K5" s="14">
        <v>2.89851701075894</v>
      </c>
      <c r="L5" s="14" t="s">
        <v>21989</v>
      </c>
      <c r="M5" s="14" t="str">
        <f>HYPERLINK("../../3.KEGG_map/Tetraploid-vs-Diploid/ko00030.html","ko00030")</f>
        <v>ko00030</v>
      </c>
    </row>
    <row r="6" spans="1:13">
      <c r="A6" s="14" t="s">
        <v>1056</v>
      </c>
      <c r="B6" s="14" t="s">
        <v>1057</v>
      </c>
      <c r="C6" s="14" t="s">
        <v>21384</v>
      </c>
      <c r="D6" s="14" t="s">
        <v>21385</v>
      </c>
      <c r="E6" s="14">
        <v>4</v>
      </c>
      <c r="F6" s="14">
        <v>362</v>
      </c>
      <c r="G6" s="14">
        <v>98</v>
      </c>
      <c r="H6" s="14">
        <v>4984</v>
      </c>
      <c r="I6" s="14">
        <v>0.933387599261254</v>
      </c>
      <c r="J6" s="14">
        <v>0.999997675348157</v>
      </c>
      <c r="K6" s="14">
        <v>0.561957379636938</v>
      </c>
      <c r="L6" s="14" t="s">
        <v>21990</v>
      </c>
      <c r="M6" s="14" t="str">
        <f>HYPERLINK("../../3.KEGG_map/Tetraploid-vs-Diploid/ko00040.html","ko00040")</f>
        <v>ko00040</v>
      </c>
    </row>
    <row r="7" spans="1:13">
      <c r="A7" s="14" t="s">
        <v>1239</v>
      </c>
      <c r="B7" s="14" t="s">
        <v>1240</v>
      </c>
      <c r="C7" s="14" t="s">
        <v>21384</v>
      </c>
      <c r="D7" s="14" t="s">
        <v>21385</v>
      </c>
      <c r="E7" s="14">
        <v>9</v>
      </c>
      <c r="F7" s="14">
        <v>362</v>
      </c>
      <c r="G7" s="14">
        <v>49</v>
      </c>
      <c r="H7" s="14">
        <v>4984</v>
      </c>
      <c r="I7" s="14">
        <v>0.00776837369133373</v>
      </c>
      <c r="J7" s="14">
        <v>0.201271500184556</v>
      </c>
      <c r="K7" s="14">
        <v>2.52880820836622</v>
      </c>
      <c r="L7" s="14" t="s">
        <v>21991</v>
      </c>
      <c r="M7" s="14" t="str">
        <f>HYPERLINK("../../3.KEGG_map/Tetraploid-vs-Diploid/ko00051.html","ko00051")</f>
        <v>ko00051</v>
      </c>
    </row>
    <row r="8" spans="1:13">
      <c r="A8" s="14" t="s">
        <v>1128</v>
      </c>
      <c r="B8" s="14" t="s">
        <v>1129</v>
      </c>
      <c r="C8" s="14" t="s">
        <v>21384</v>
      </c>
      <c r="D8" s="14" t="s">
        <v>21385</v>
      </c>
      <c r="E8" s="14">
        <v>2</v>
      </c>
      <c r="F8" s="14">
        <v>362</v>
      </c>
      <c r="G8" s="14">
        <v>41</v>
      </c>
      <c r="H8" s="14">
        <v>4984</v>
      </c>
      <c r="I8" s="14">
        <v>0.809899256523569</v>
      </c>
      <c r="J8" s="14">
        <v>0.999997675348157</v>
      </c>
      <c r="K8" s="14">
        <v>0.671607600053901</v>
      </c>
      <c r="L8" s="14" t="s">
        <v>21992</v>
      </c>
      <c r="M8" s="14" t="str">
        <f>HYPERLINK("../../3.KEGG_map/Tetraploid-vs-Diploid/ko00052.html","ko00052")</f>
        <v>ko00052</v>
      </c>
    </row>
    <row r="9" spans="1:13">
      <c r="A9" s="14" t="s">
        <v>10129</v>
      </c>
      <c r="B9" s="14" t="s">
        <v>10130</v>
      </c>
      <c r="C9" s="14" t="s">
        <v>21384</v>
      </c>
      <c r="D9" s="14" t="s">
        <v>21385</v>
      </c>
      <c r="E9" s="14">
        <v>2</v>
      </c>
      <c r="F9" s="14">
        <v>362</v>
      </c>
      <c r="G9" s="14">
        <v>46</v>
      </c>
      <c r="H9" s="14">
        <v>4984</v>
      </c>
      <c r="I9" s="14">
        <v>0.857823509771243</v>
      </c>
      <c r="J9" s="14">
        <v>0.999997675348157</v>
      </c>
      <c r="K9" s="14">
        <v>0.598606773961086</v>
      </c>
      <c r="L9" s="14" t="s">
        <v>21993</v>
      </c>
      <c r="M9" s="14" t="str">
        <f>HYPERLINK("../../3.KEGG_map/Tetraploid-vs-Diploid/ko00053.html","ko00053")</f>
        <v>ko00053</v>
      </c>
    </row>
    <row r="10" spans="1:13">
      <c r="A10" s="14" t="s">
        <v>21395</v>
      </c>
      <c r="B10" s="14" t="s">
        <v>21396</v>
      </c>
      <c r="C10" s="14" t="s">
        <v>21384</v>
      </c>
      <c r="D10" s="14" t="s">
        <v>21394</v>
      </c>
      <c r="E10" s="14">
        <v>2</v>
      </c>
      <c r="F10" s="14">
        <v>362</v>
      </c>
      <c r="G10" s="14">
        <v>26</v>
      </c>
      <c r="H10" s="14">
        <v>4984</v>
      </c>
      <c r="I10" s="14">
        <v>0.573168661188382</v>
      </c>
      <c r="J10" s="14">
        <v>0.999997675348157</v>
      </c>
      <c r="K10" s="14">
        <v>1.05907352316192</v>
      </c>
      <c r="L10" s="14" t="s">
        <v>20723</v>
      </c>
      <c r="M10" s="14" t="str">
        <f>HYPERLINK("../../3.KEGG_map/Tetraploid-vs-Diploid/ko00062.html","ko00062")</f>
        <v>ko00062</v>
      </c>
    </row>
    <row r="11" spans="1:13">
      <c r="A11" s="14" t="s">
        <v>12631</v>
      </c>
      <c r="B11" s="14" t="s">
        <v>12632</v>
      </c>
      <c r="C11" s="14" t="s">
        <v>21384</v>
      </c>
      <c r="D11" s="14" t="s">
        <v>21394</v>
      </c>
      <c r="E11" s="14">
        <v>1</v>
      </c>
      <c r="F11" s="14">
        <v>362</v>
      </c>
      <c r="G11" s="14">
        <v>41</v>
      </c>
      <c r="H11" s="14">
        <v>4984</v>
      </c>
      <c r="I11" s="14">
        <v>0.955156424700937</v>
      </c>
      <c r="J11" s="14">
        <v>0.999997675348157</v>
      </c>
      <c r="K11" s="14">
        <v>0.335803800026951</v>
      </c>
      <c r="L11" s="14" t="s">
        <v>8583</v>
      </c>
      <c r="M11" s="14" t="str">
        <f>HYPERLINK("../../3.KEGG_map/Tetraploid-vs-Diploid/ko00071.html","ko00071")</f>
        <v>ko00071</v>
      </c>
    </row>
    <row r="12" spans="1:13">
      <c r="A12" s="14" t="s">
        <v>811</v>
      </c>
      <c r="B12" s="14" t="s">
        <v>812</v>
      </c>
      <c r="C12" s="14" t="s">
        <v>21384</v>
      </c>
      <c r="D12" s="14" t="s">
        <v>21483</v>
      </c>
      <c r="E12" s="14">
        <v>6</v>
      </c>
      <c r="F12" s="14">
        <v>362</v>
      </c>
      <c r="G12" s="14">
        <v>33</v>
      </c>
      <c r="H12" s="14">
        <v>4984</v>
      </c>
      <c r="I12" s="14">
        <v>0.0292398323255986</v>
      </c>
      <c r="J12" s="14">
        <v>0.378788736945255</v>
      </c>
      <c r="K12" s="14">
        <v>2.50326469110999</v>
      </c>
      <c r="L12" s="14" t="s">
        <v>21994</v>
      </c>
      <c r="M12" s="14" t="str">
        <f>HYPERLINK("../../3.KEGG_map/Tetraploid-vs-Diploid/ko00130.html","ko00130")</f>
        <v>ko00130</v>
      </c>
    </row>
    <row r="13" spans="1:13">
      <c r="A13" s="14" t="s">
        <v>180</v>
      </c>
      <c r="B13" s="14" t="s">
        <v>181</v>
      </c>
      <c r="C13" s="14" t="s">
        <v>21384</v>
      </c>
      <c r="D13" s="14" t="s">
        <v>21400</v>
      </c>
      <c r="E13" s="14">
        <v>5</v>
      </c>
      <c r="F13" s="14">
        <v>362</v>
      </c>
      <c r="G13" s="14">
        <v>175</v>
      </c>
      <c r="H13" s="14">
        <v>4984</v>
      </c>
      <c r="I13" s="14">
        <v>0.99678421671144</v>
      </c>
      <c r="J13" s="14">
        <v>0.999997675348157</v>
      </c>
      <c r="K13" s="14">
        <v>0.393370165745856</v>
      </c>
      <c r="L13" s="14" t="s">
        <v>21995</v>
      </c>
      <c r="M13" s="14" t="str">
        <f>HYPERLINK("../../3.KEGG_map/Tetraploid-vs-Diploid/ko00190.html","ko00190")</f>
        <v>ko00190</v>
      </c>
    </row>
    <row r="14" spans="1:13">
      <c r="A14" s="14" t="s">
        <v>2754</v>
      </c>
      <c r="B14" s="14" t="s">
        <v>2755</v>
      </c>
      <c r="C14" s="14" t="s">
        <v>21384</v>
      </c>
      <c r="D14" s="14" t="s">
        <v>21400</v>
      </c>
      <c r="E14" s="14">
        <v>13</v>
      </c>
      <c r="F14" s="14">
        <v>362</v>
      </c>
      <c r="G14" s="14">
        <v>133</v>
      </c>
      <c r="H14" s="14">
        <v>4984</v>
      </c>
      <c r="I14" s="14">
        <v>0.166590556917423</v>
      </c>
      <c r="J14" s="14">
        <v>0.968945075948278</v>
      </c>
      <c r="K14" s="14">
        <v>1.34574004070951</v>
      </c>
      <c r="L14" s="14" t="s">
        <v>21996</v>
      </c>
      <c r="M14" s="14" t="str">
        <f>HYPERLINK("../../3.KEGG_map/Tetraploid-vs-Diploid/ko00195.html","ko00195")</f>
        <v>ko00195</v>
      </c>
    </row>
    <row r="15" spans="1:13">
      <c r="A15" s="14" t="s">
        <v>12799</v>
      </c>
      <c r="B15" s="14" t="s">
        <v>12800</v>
      </c>
      <c r="C15" s="14" t="s">
        <v>21384</v>
      </c>
      <c r="D15" s="14" t="s">
        <v>21400</v>
      </c>
      <c r="E15" s="14">
        <v>1</v>
      </c>
      <c r="F15" s="14">
        <v>362</v>
      </c>
      <c r="G15" s="14">
        <v>14</v>
      </c>
      <c r="H15" s="14">
        <v>4984</v>
      </c>
      <c r="I15" s="14">
        <v>0.652540262344045</v>
      </c>
      <c r="J15" s="14">
        <v>0.999997675348157</v>
      </c>
      <c r="K15" s="14">
        <v>0.983425414364641</v>
      </c>
      <c r="L15" s="14" t="s">
        <v>12794</v>
      </c>
      <c r="M15" s="14" t="str">
        <f>HYPERLINK("../../3.KEGG_map/Tetraploid-vs-Diploid/ko00196.html","ko00196")</f>
        <v>ko00196</v>
      </c>
    </row>
    <row r="16" spans="1:13">
      <c r="A16" s="14" t="s">
        <v>21997</v>
      </c>
      <c r="B16" s="14" t="s">
        <v>21998</v>
      </c>
      <c r="C16" s="14" t="s">
        <v>21384</v>
      </c>
      <c r="D16" s="14" t="s">
        <v>21406</v>
      </c>
      <c r="E16" s="14">
        <v>1</v>
      </c>
      <c r="F16" s="14">
        <v>362</v>
      </c>
      <c r="G16" s="14">
        <v>27</v>
      </c>
      <c r="H16" s="14">
        <v>4984</v>
      </c>
      <c r="I16" s="14">
        <v>0.870163390869769</v>
      </c>
      <c r="J16" s="14">
        <v>0.999997675348157</v>
      </c>
      <c r="K16" s="14">
        <v>0.509924288929814</v>
      </c>
      <c r="L16" s="14" t="s">
        <v>13161</v>
      </c>
      <c r="M16" s="14" t="str">
        <f>HYPERLINK("../../3.KEGG_map/Tetraploid-vs-Diploid/ko00220.html","ko00220")</f>
        <v>ko00220</v>
      </c>
    </row>
    <row r="17" spans="1:13">
      <c r="A17" s="14" t="s">
        <v>1065</v>
      </c>
      <c r="B17" s="14" t="s">
        <v>1066</v>
      </c>
      <c r="C17" s="14" t="s">
        <v>21384</v>
      </c>
      <c r="D17" s="14" t="s">
        <v>21403</v>
      </c>
      <c r="E17" s="14">
        <v>6</v>
      </c>
      <c r="F17" s="14">
        <v>362</v>
      </c>
      <c r="G17" s="14">
        <v>76</v>
      </c>
      <c r="H17" s="14">
        <v>4984</v>
      </c>
      <c r="I17" s="14">
        <v>0.478468541664444</v>
      </c>
      <c r="J17" s="14">
        <v>0.999997675348157</v>
      </c>
      <c r="K17" s="14">
        <v>1.0869438790346</v>
      </c>
      <c r="L17" s="14" t="s">
        <v>21999</v>
      </c>
      <c r="M17" s="14" t="str">
        <f>HYPERLINK("../../3.KEGG_map/Tetraploid-vs-Diploid/ko00230.html","ko00230")</f>
        <v>ko00230</v>
      </c>
    </row>
    <row r="18" spans="1:13">
      <c r="A18" s="14" t="s">
        <v>6420</v>
      </c>
      <c r="B18" s="14" t="s">
        <v>6421</v>
      </c>
      <c r="C18" s="14" t="s">
        <v>21384</v>
      </c>
      <c r="D18" s="14" t="s">
        <v>21403</v>
      </c>
      <c r="E18" s="14">
        <v>3</v>
      </c>
      <c r="F18" s="14">
        <v>362</v>
      </c>
      <c r="G18" s="14">
        <v>50</v>
      </c>
      <c r="H18" s="14">
        <v>4984</v>
      </c>
      <c r="I18" s="14">
        <v>0.714936922081004</v>
      </c>
      <c r="J18" s="14">
        <v>0.999997675348157</v>
      </c>
      <c r="K18" s="14">
        <v>0.826077348066298</v>
      </c>
      <c r="L18" s="14" t="s">
        <v>22000</v>
      </c>
      <c r="M18" s="14" t="str">
        <f>HYPERLINK("../../3.KEGG_map/Tetraploid-vs-Diploid/ko00240.html","ko00240")</f>
        <v>ko00240</v>
      </c>
    </row>
    <row r="19" spans="1:13">
      <c r="A19" s="14" t="s">
        <v>2222</v>
      </c>
      <c r="B19" s="14" t="s">
        <v>2223</v>
      </c>
      <c r="C19" s="14" t="s">
        <v>21384</v>
      </c>
      <c r="D19" s="14" t="s">
        <v>21406</v>
      </c>
      <c r="E19" s="14">
        <v>5</v>
      </c>
      <c r="F19" s="14">
        <v>362</v>
      </c>
      <c r="G19" s="14">
        <v>38</v>
      </c>
      <c r="H19" s="14">
        <v>4984</v>
      </c>
      <c r="I19" s="14">
        <v>0.138046773897122</v>
      </c>
      <c r="J19" s="14">
        <v>0.961823531177483</v>
      </c>
      <c r="K19" s="14">
        <v>1.81157313172434</v>
      </c>
      <c r="L19" s="14" t="s">
        <v>22001</v>
      </c>
      <c r="M19" s="14" t="str">
        <f>HYPERLINK("../../3.KEGG_map/Tetraploid-vs-Diploid/ko00250.html","ko00250")</f>
        <v>ko00250</v>
      </c>
    </row>
    <row r="20" spans="1:13">
      <c r="A20" s="14" t="s">
        <v>5021</v>
      </c>
      <c r="B20" s="14" t="s">
        <v>5022</v>
      </c>
      <c r="C20" s="14" t="s">
        <v>21384</v>
      </c>
      <c r="D20" s="14" t="s">
        <v>21406</v>
      </c>
      <c r="E20" s="14">
        <v>10</v>
      </c>
      <c r="F20" s="14">
        <v>362</v>
      </c>
      <c r="G20" s="14">
        <v>49</v>
      </c>
      <c r="H20" s="14">
        <v>4984</v>
      </c>
      <c r="I20" s="14">
        <v>0.00228908798626086</v>
      </c>
      <c r="J20" s="14">
        <v>0.0859426988825088</v>
      </c>
      <c r="K20" s="14">
        <v>2.80978689818469</v>
      </c>
      <c r="L20" s="14" t="s">
        <v>22002</v>
      </c>
      <c r="M20" s="14" t="str">
        <f>HYPERLINK("../../3.KEGG_map/Tetraploid-vs-Diploid/ko00260.html","ko00260")</f>
        <v>ko00260</v>
      </c>
    </row>
    <row r="21" spans="1:13">
      <c r="A21" s="14" t="s">
        <v>22003</v>
      </c>
      <c r="B21" s="14" t="s">
        <v>22004</v>
      </c>
      <c r="C21" s="14" t="s">
        <v>21384</v>
      </c>
      <c r="D21" s="14" t="s">
        <v>21421</v>
      </c>
      <c r="E21" s="14">
        <v>1</v>
      </c>
      <c r="F21" s="14">
        <v>362</v>
      </c>
      <c r="G21" s="14">
        <v>7</v>
      </c>
      <c r="H21" s="14">
        <v>4984</v>
      </c>
      <c r="I21" s="14">
        <v>0.410315240267262</v>
      </c>
      <c r="J21" s="14">
        <v>0.999997675348157</v>
      </c>
      <c r="K21" s="14">
        <v>1.96685082872928</v>
      </c>
      <c r="L21" s="14" t="s">
        <v>3339</v>
      </c>
      <c r="M21" s="14" t="str">
        <f>HYPERLINK("../../3.KEGG_map/Tetraploid-vs-Diploid/ko00261.html","ko00261")</f>
        <v>ko00261</v>
      </c>
    </row>
    <row r="22" spans="1:13">
      <c r="A22" s="14" t="s">
        <v>9450</v>
      </c>
      <c r="B22" s="14" t="s">
        <v>9451</v>
      </c>
      <c r="C22" s="14" t="s">
        <v>21384</v>
      </c>
      <c r="D22" s="14" t="s">
        <v>21406</v>
      </c>
      <c r="E22" s="14">
        <v>13</v>
      </c>
      <c r="F22" s="14">
        <v>362</v>
      </c>
      <c r="G22" s="14">
        <v>91</v>
      </c>
      <c r="H22" s="14">
        <v>4984</v>
      </c>
      <c r="I22" s="14">
        <v>0.0135058928537918</v>
      </c>
      <c r="J22" s="14">
        <v>0.274941390237904</v>
      </c>
      <c r="K22" s="14">
        <v>1.96685082872928</v>
      </c>
      <c r="L22" s="14" t="s">
        <v>22005</v>
      </c>
      <c r="M22" s="14" t="str">
        <f>HYPERLINK("../../3.KEGG_map/Tetraploid-vs-Diploid/ko00270.html","ko00270")</f>
        <v>ko00270</v>
      </c>
    </row>
    <row r="23" spans="1:13">
      <c r="A23" s="14" t="s">
        <v>21410</v>
      </c>
      <c r="B23" s="14" t="s">
        <v>21411</v>
      </c>
      <c r="C23" s="14" t="s">
        <v>21384</v>
      </c>
      <c r="D23" s="14" t="s">
        <v>21406</v>
      </c>
      <c r="E23" s="14">
        <v>1</v>
      </c>
      <c r="F23" s="14">
        <v>362</v>
      </c>
      <c r="G23" s="14">
        <v>45</v>
      </c>
      <c r="H23" s="14">
        <v>4984</v>
      </c>
      <c r="I23" s="14">
        <v>0.966922149642478</v>
      </c>
      <c r="J23" s="14">
        <v>0.999997675348157</v>
      </c>
      <c r="K23" s="14">
        <v>0.305954573357888</v>
      </c>
      <c r="L23" s="14" t="s">
        <v>9131</v>
      </c>
      <c r="M23" s="14" t="str">
        <f>HYPERLINK("../../3.KEGG_map/Tetraploid-vs-Diploid/ko00280.html","ko00280")</f>
        <v>ko00280</v>
      </c>
    </row>
    <row r="24" spans="1:13">
      <c r="A24" s="14" t="s">
        <v>21413</v>
      </c>
      <c r="B24" s="14" t="s">
        <v>21414</v>
      </c>
      <c r="C24" s="14" t="s">
        <v>21384</v>
      </c>
      <c r="D24" s="14" t="s">
        <v>21406</v>
      </c>
      <c r="E24" s="14">
        <v>1</v>
      </c>
      <c r="F24" s="14">
        <v>362</v>
      </c>
      <c r="G24" s="14">
        <v>15</v>
      </c>
      <c r="H24" s="14">
        <v>4984</v>
      </c>
      <c r="I24" s="14">
        <v>0.677848194945947</v>
      </c>
      <c r="J24" s="14">
        <v>0.999997675348157</v>
      </c>
      <c r="K24" s="14">
        <v>0.917863720073665</v>
      </c>
      <c r="L24" s="14" t="s">
        <v>9673</v>
      </c>
      <c r="M24" s="14" t="str">
        <f>HYPERLINK("../../3.KEGG_map/Tetraploid-vs-Diploid/ko00290.html","ko00290")</f>
        <v>ko00290</v>
      </c>
    </row>
    <row r="25" spans="1:13">
      <c r="A25" s="14" t="s">
        <v>21415</v>
      </c>
      <c r="B25" s="14" t="s">
        <v>21416</v>
      </c>
      <c r="C25" s="14" t="s">
        <v>21384</v>
      </c>
      <c r="D25" s="14" t="s">
        <v>21406</v>
      </c>
      <c r="E25" s="14">
        <v>1</v>
      </c>
      <c r="F25" s="14">
        <v>362</v>
      </c>
      <c r="G25" s="14">
        <v>22</v>
      </c>
      <c r="H25" s="14">
        <v>4984</v>
      </c>
      <c r="I25" s="14">
        <v>0.81034655891836</v>
      </c>
      <c r="J25" s="14">
        <v>0.999997675348157</v>
      </c>
      <c r="K25" s="14">
        <v>0.625816172777499</v>
      </c>
      <c r="L25" s="14" t="s">
        <v>9131</v>
      </c>
      <c r="M25" s="14" t="str">
        <f>HYPERLINK("../../3.KEGG_map/Tetraploid-vs-Diploid/ko00310.html","ko00310")</f>
        <v>ko00310</v>
      </c>
    </row>
    <row r="26" spans="1:13">
      <c r="A26" s="14" t="s">
        <v>10390</v>
      </c>
      <c r="B26" s="14" t="s">
        <v>10391</v>
      </c>
      <c r="C26" s="14" t="s">
        <v>21384</v>
      </c>
      <c r="D26" s="14" t="s">
        <v>21406</v>
      </c>
      <c r="E26" s="14">
        <v>2</v>
      </c>
      <c r="F26" s="14">
        <v>362</v>
      </c>
      <c r="G26" s="14">
        <v>52</v>
      </c>
      <c r="H26" s="14">
        <v>4984</v>
      </c>
      <c r="I26" s="14">
        <v>0.900666410340773</v>
      </c>
      <c r="J26" s="14">
        <v>0.999997675348157</v>
      </c>
      <c r="K26" s="14">
        <v>0.52953676158096</v>
      </c>
      <c r="L26" s="14" t="s">
        <v>22006</v>
      </c>
      <c r="M26" s="14" t="str">
        <f>HYPERLINK("../../3.KEGG_map/Tetraploid-vs-Diploid/ko00330.html","ko00330")</f>
        <v>ko00330</v>
      </c>
    </row>
    <row r="27" spans="1:13">
      <c r="A27" s="14" t="s">
        <v>21424</v>
      </c>
      <c r="B27" s="14" t="s">
        <v>21425</v>
      </c>
      <c r="C27" s="14" t="s">
        <v>21384</v>
      </c>
      <c r="D27" s="14" t="s">
        <v>21406</v>
      </c>
      <c r="E27" s="14">
        <v>6</v>
      </c>
      <c r="F27" s="14">
        <v>362</v>
      </c>
      <c r="G27" s="14">
        <v>38</v>
      </c>
      <c r="H27" s="14">
        <v>4984</v>
      </c>
      <c r="I27" s="14">
        <v>0.0538577958797494</v>
      </c>
      <c r="J27" s="14">
        <v>0.568498956508466</v>
      </c>
      <c r="K27" s="14">
        <v>2.17388775806921</v>
      </c>
      <c r="L27" s="14" t="s">
        <v>22007</v>
      </c>
      <c r="M27" s="14" t="str">
        <f>HYPERLINK("../../3.KEGG_map/Tetraploid-vs-Diploid/ko00350.html","ko00350")</f>
        <v>ko00350</v>
      </c>
    </row>
    <row r="28" spans="1:13">
      <c r="A28" s="14" t="s">
        <v>21426</v>
      </c>
      <c r="B28" s="14" t="s">
        <v>21427</v>
      </c>
      <c r="C28" s="14" t="s">
        <v>21384</v>
      </c>
      <c r="D28" s="14" t="s">
        <v>21406</v>
      </c>
      <c r="E28" s="14">
        <v>5</v>
      </c>
      <c r="F28" s="14">
        <v>362</v>
      </c>
      <c r="G28" s="14">
        <v>41</v>
      </c>
      <c r="H28" s="14">
        <v>4984</v>
      </c>
      <c r="I28" s="14">
        <v>0.17365224489713</v>
      </c>
      <c r="J28" s="14">
        <v>0.970710243903273</v>
      </c>
      <c r="K28" s="14">
        <v>1.67901900013475</v>
      </c>
      <c r="L28" s="14" t="s">
        <v>22008</v>
      </c>
      <c r="M28" s="14" t="str">
        <f>HYPERLINK("../../3.KEGG_map/Tetraploid-vs-Diploid/ko00360.html","ko00360")</f>
        <v>ko00360</v>
      </c>
    </row>
    <row r="29" spans="1:13">
      <c r="A29" s="14" t="s">
        <v>4179</v>
      </c>
      <c r="B29" s="14" t="s">
        <v>4180</v>
      </c>
      <c r="C29" s="14" t="s">
        <v>21384</v>
      </c>
      <c r="D29" s="14" t="s">
        <v>21406</v>
      </c>
      <c r="E29" s="14">
        <v>10</v>
      </c>
      <c r="F29" s="14">
        <v>362</v>
      </c>
      <c r="G29" s="14">
        <v>62</v>
      </c>
      <c r="H29" s="14">
        <v>4984</v>
      </c>
      <c r="I29" s="14">
        <v>0.012897951117092</v>
      </c>
      <c r="J29" s="14">
        <v>0.274941390237904</v>
      </c>
      <c r="K29" s="14">
        <v>2.22063803243629</v>
      </c>
      <c r="L29" s="14" t="s">
        <v>22009</v>
      </c>
      <c r="M29" s="14" t="str">
        <f>HYPERLINK("../../3.KEGG_map/Tetraploid-vs-Diploid/ko00380.html","ko00380")</f>
        <v>ko00380</v>
      </c>
    </row>
    <row r="30" spans="1:13">
      <c r="A30" s="14" t="s">
        <v>3667</v>
      </c>
      <c r="B30" s="14" t="s">
        <v>3668</v>
      </c>
      <c r="C30" s="14" t="s">
        <v>21384</v>
      </c>
      <c r="D30" s="14" t="s">
        <v>21406</v>
      </c>
      <c r="E30" s="14">
        <v>3</v>
      </c>
      <c r="F30" s="14">
        <v>362</v>
      </c>
      <c r="G30" s="14">
        <v>38</v>
      </c>
      <c r="H30" s="14">
        <v>4984</v>
      </c>
      <c r="I30" s="14">
        <v>0.528542431655981</v>
      </c>
      <c r="J30" s="14">
        <v>0.999997675348157</v>
      </c>
      <c r="K30" s="14">
        <v>1.0869438790346</v>
      </c>
      <c r="L30" s="14" t="s">
        <v>22010</v>
      </c>
      <c r="M30" s="14" t="str">
        <f>HYPERLINK("../../3.KEGG_map/Tetraploid-vs-Diploid/ko00400.html","ko00400")</f>
        <v>ko00400</v>
      </c>
    </row>
    <row r="31" spans="1:13">
      <c r="A31" s="14" t="s">
        <v>21431</v>
      </c>
      <c r="B31" s="14" t="s">
        <v>21432</v>
      </c>
      <c r="C31" s="14" t="s">
        <v>21384</v>
      </c>
      <c r="D31" s="14" t="s">
        <v>21433</v>
      </c>
      <c r="E31" s="14">
        <v>4</v>
      </c>
      <c r="F31" s="14">
        <v>362</v>
      </c>
      <c r="G31" s="14">
        <v>40</v>
      </c>
      <c r="H31" s="14">
        <v>4984</v>
      </c>
      <c r="I31" s="14">
        <v>0.330479932491223</v>
      </c>
      <c r="J31" s="14">
        <v>0.999997675348157</v>
      </c>
      <c r="K31" s="14">
        <v>1.3767955801105</v>
      </c>
      <c r="L31" s="14" t="s">
        <v>22011</v>
      </c>
      <c r="M31" s="14" t="str">
        <f>HYPERLINK("../../3.KEGG_map/Tetraploid-vs-Diploid/ko00410.html","ko00410")</f>
        <v>ko00410</v>
      </c>
    </row>
    <row r="32" spans="1:13">
      <c r="A32" s="14" t="s">
        <v>21435</v>
      </c>
      <c r="B32" s="14" t="s">
        <v>21436</v>
      </c>
      <c r="C32" s="14" t="s">
        <v>21384</v>
      </c>
      <c r="D32" s="14" t="s">
        <v>21433</v>
      </c>
      <c r="E32" s="14">
        <v>3</v>
      </c>
      <c r="F32" s="14">
        <v>362</v>
      </c>
      <c r="G32" s="14">
        <v>11</v>
      </c>
      <c r="H32" s="14">
        <v>4984</v>
      </c>
      <c r="I32" s="14">
        <v>0.0404632489424445</v>
      </c>
      <c r="J32" s="14">
        <v>0.501392432547682</v>
      </c>
      <c r="K32" s="14">
        <v>3.75489703666499</v>
      </c>
      <c r="L32" s="14" t="s">
        <v>22012</v>
      </c>
      <c r="M32" s="14" t="str">
        <f>HYPERLINK("../../3.KEGG_map/Tetraploid-vs-Diploid/ko00430.html","ko00430")</f>
        <v>ko00430</v>
      </c>
    </row>
    <row r="33" spans="1:13">
      <c r="A33" s="14" t="s">
        <v>14860</v>
      </c>
      <c r="B33" s="14" t="s">
        <v>14861</v>
      </c>
      <c r="C33" s="14" t="s">
        <v>21384</v>
      </c>
      <c r="D33" s="14" t="s">
        <v>21433</v>
      </c>
      <c r="E33" s="14">
        <v>4</v>
      </c>
      <c r="F33" s="14">
        <v>362</v>
      </c>
      <c r="G33" s="14">
        <v>14</v>
      </c>
      <c r="H33" s="14">
        <v>4984</v>
      </c>
      <c r="I33" s="14">
        <v>0.0152746256434752</v>
      </c>
      <c r="J33" s="14">
        <v>0.280176987088405</v>
      </c>
      <c r="K33" s="14">
        <v>3.93370165745856</v>
      </c>
      <c r="L33" s="14" t="s">
        <v>22013</v>
      </c>
      <c r="M33" s="14" t="str">
        <f>HYPERLINK("../../3.KEGG_map/Tetraploid-vs-Diploid/ko00450.html","ko00450")</f>
        <v>ko00450</v>
      </c>
    </row>
    <row r="34" spans="1:13">
      <c r="A34" s="14" t="s">
        <v>21437</v>
      </c>
      <c r="B34" s="14" t="s">
        <v>21438</v>
      </c>
      <c r="C34" s="14" t="s">
        <v>21384</v>
      </c>
      <c r="D34" s="14" t="s">
        <v>21433</v>
      </c>
      <c r="E34" s="14">
        <v>3</v>
      </c>
      <c r="F34" s="14">
        <v>362</v>
      </c>
      <c r="G34" s="14">
        <v>31</v>
      </c>
      <c r="H34" s="14">
        <v>4984</v>
      </c>
      <c r="I34" s="14">
        <v>0.393707310239147</v>
      </c>
      <c r="J34" s="14">
        <v>0.999997675348157</v>
      </c>
      <c r="K34" s="14">
        <v>1.33238281946177</v>
      </c>
      <c r="L34" s="14" t="s">
        <v>22014</v>
      </c>
      <c r="M34" s="14" t="str">
        <f>HYPERLINK("../../3.KEGG_map/Tetraploid-vs-Diploid/ko00460.html","ko00460")</f>
        <v>ko00460</v>
      </c>
    </row>
    <row r="35" spans="1:13">
      <c r="A35" s="14" t="s">
        <v>21440</v>
      </c>
      <c r="B35" s="14" t="s">
        <v>21441</v>
      </c>
      <c r="C35" s="14" t="s">
        <v>21384</v>
      </c>
      <c r="D35" s="14" t="s">
        <v>21433</v>
      </c>
      <c r="E35" s="14">
        <v>3</v>
      </c>
      <c r="F35" s="14">
        <v>362</v>
      </c>
      <c r="G35" s="14">
        <v>78</v>
      </c>
      <c r="H35" s="14">
        <v>4984</v>
      </c>
      <c r="I35" s="14">
        <v>0.930283737589494</v>
      </c>
      <c r="J35" s="14">
        <v>0.999997675348157</v>
      </c>
      <c r="K35" s="14">
        <v>0.52953676158096</v>
      </c>
      <c r="L35" s="14" t="s">
        <v>22015</v>
      </c>
      <c r="M35" s="14" t="str">
        <f>HYPERLINK("../../3.KEGG_map/Tetraploid-vs-Diploid/ko00480.html","ko00480")</f>
        <v>ko00480</v>
      </c>
    </row>
    <row r="36" spans="1:13">
      <c r="A36" s="14" t="s">
        <v>771</v>
      </c>
      <c r="B36" s="14" t="s">
        <v>772</v>
      </c>
      <c r="C36" s="14" t="s">
        <v>21384</v>
      </c>
      <c r="D36" s="14" t="s">
        <v>21385</v>
      </c>
      <c r="E36" s="14">
        <v>19</v>
      </c>
      <c r="F36" s="14">
        <v>362</v>
      </c>
      <c r="G36" s="14">
        <v>130</v>
      </c>
      <c r="H36" s="14">
        <v>4984</v>
      </c>
      <c r="I36" s="14">
        <v>0.00241242663529849</v>
      </c>
      <c r="J36" s="14">
        <v>0.0859426988825088</v>
      </c>
      <c r="K36" s="14">
        <v>2.01223969400765</v>
      </c>
      <c r="L36" s="14" t="s">
        <v>22016</v>
      </c>
      <c r="M36" s="14" t="str">
        <f>HYPERLINK("../../3.KEGG_map/Tetraploid-vs-Diploid/ko00500.html","ko00500")</f>
        <v>ko00500</v>
      </c>
    </row>
    <row r="37" spans="1:13">
      <c r="A37" s="14" t="s">
        <v>1086</v>
      </c>
      <c r="B37" s="14" t="s">
        <v>1087</v>
      </c>
      <c r="C37" s="14" t="s">
        <v>21384</v>
      </c>
      <c r="D37" s="14" t="s">
        <v>21385</v>
      </c>
      <c r="E37" s="14">
        <v>7</v>
      </c>
      <c r="F37" s="14">
        <v>362</v>
      </c>
      <c r="G37" s="14">
        <v>99</v>
      </c>
      <c r="H37" s="14">
        <v>4984</v>
      </c>
      <c r="I37" s="14">
        <v>0.586502231642776</v>
      </c>
      <c r="J37" s="14">
        <v>0.999997675348157</v>
      </c>
      <c r="K37" s="14">
        <v>0.973491824320553</v>
      </c>
      <c r="L37" s="14" t="s">
        <v>22017</v>
      </c>
      <c r="M37" s="14" t="str">
        <f>HYPERLINK("../../3.KEGG_map/Tetraploid-vs-Diploid/ko00520.html","ko00520")</f>
        <v>ko00520</v>
      </c>
    </row>
    <row r="38" spans="1:13">
      <c r="A38" s="14" t="s">
        <v>22018</v>
      </c>
      <c r="B38" s="14" t="s">
        <v>22019</v>
      </c>
      <c r="C38" s="14" t="s">
        <v>21384</v>
      </c>
      <c r="D38" s="14" t="s">
        <v>21421</v>
      </c>
      <c r="E38" s="14">
        <v>1</v>
      </c>
      <c r="F38" s="14">
        <v>362</v>
      </c>
      <c r="G38" s="14">
        <v>9</v>
      </c>
      <c r="H38" s="14">
        <v>4984</v>
      </c>
      <c r="I38" s="14">
        <v>0.492984557877304</v>
      </c>
      <c r="J38" s="14">
        <v>0.999997675348157</v>
      </c>
      <c r="K38" s="14">
        <v>1.52977286678944</v>
      </c>
      <c r="L38" s="14" t="s">
        <v>4322</v>
      </c>
      <c r="M38" s="14" t="str">
        <f>HYPERLINK("../../3.KEGG_map/Tetraploid-vs-Diploid/ko00521.html","ko00521")</f>
        <v>ko00521</v>
      </c>
    </row>
    <row r="39" spans="1:13">
      <c r="A39" s="14" t="s">
        <v>22020</v>
      </c>
      <c r="B39" s="14" t="s">
        <v>22021</v>
      </c>
      <c r="C39" s="14" t="s">
        <v>21384</v>
      </c>
      <c r="D39" s="14" t="s">
        <v>21421</v>
      </c>
      <c r="E39" s="14">
        <v>1</v>
      </c>
      <c r="F39" s="14">
        <v>362</v>
      </c>
      <c r="G39" s="14">
        <v>5</v>
      </c>
      <c r="H39" s="14">
        <v>4984</v>
      </c>
      <c r="I39" s="14">
        <v>0.314209842931513</v>
      </c>
      <c r="J39" s="14">
        <v>0.999997675348157</v>
      </c>
      <c r="K39" s="14">
        <v>2.75359116022099</v>
      </c>
      <c r="L39" s="14" t="s">
        <v>4322</v>
      </c>
      <c r="M39" s="14" t="str">
        <f>HYPERLINK("../../3.KEGG_map/Tetraploid-vs-Diploid/ko00524.html","ko00524")</f>
        <v>ko00524</v>
      </c>
    </row>
    <row r="40" spans="1:13">
      <c r="A40" s="14" t="s">
        <v>8346</v>
      </c>
      <c r="B40" s="14" t="s">
        <v>8347</v>
      </c>
      <c r="C40" s="14" t="s">
        <v>21384</v>
      </c>
      <c r="D40" s="14" t="s">
        <v>21460</v>
      </c>
      <c r="E40" s="14">
        <v>1</v>
      </c>
      <c r="F40" s="14">
        <v>362</v>
      </c>
      <c r="G40" s="14">
        <v>8</v>
      </c>
      <c r="H40" s="14">
        <v>4984</v>
      </c>
      <c r="I40" s="14">
        <v>0.453205713046698</v>
      </c>
      <c r="J40" s="14">
        <v>0.999997675348157</v>
      </c>
      <c r="K40" s="14">
        <v>1.72099447513812</v>
      </c>
      <c r="L40" s="14" t="s">
        <v>8341</v>
      </c>
      <c r="M40" s="14" t="str">
        <f>HYPERLINK("../../3.KEGG_map/Tetraploid-vs-Diploid/ko00540.html","ko00540")</f>
        <v>ko00540</v>
      </c>
    </row>
    <row r="41" spans="1:13">
      <c r="A41" s="14" t="s">
        <v>22022</v>
      </c>
      <c r="B41" s="14" t="s">
        <v>22023</v>
      </c>
      <c r="C41" s="14" t="s">
        <v>21384</v>
      </c>
      <c r="D41" s="14" t="s">
        <v>21460</v>
      </c>
      <c r="E41" s="14">
        <v>1</v>
      </c>
      <c r="F41" s="14">
        <v>362</v>
      </c>
      <c r="G41" s="14">
        <v>14</v>
      </c>
      <c r="H41" s="14">
        <v>4984</v>
      </c>
      <c r="I41" s="14">
        <v>0.652540262344045</v>
      </c>
      <c r="J41" s="14">
        <v>0.999997675348157</v>
      </c>
      <c r="K41" s="14">
        <v>0.983425414364641</v>
      </c>
      <c r="L41" s="14" t="s">
        <v>6212</v>
      </c>
      <c r="M41" s="14" t="str">
        <f>HYPERLINK("../../3.KEGG_map/Tetraploid-vs-Diploid/ko00541.html","ko00541")</f>
        <v>ko00541</v>
      </c>
    </row>
    <row r="42" spans="1:13">
      <c r="A42" s="14" t="s">
        <v>4592</v>
      </c>
      <c r="B42" s="14" t="s">
        <v>4593</v>
      </c>
      <c r="C42" s="14" t="s">
        <v>21384</v>
      </c>
      <c r="D42" s="14" t="s">
        <v>21394</v>
      </c>
      <c r="E42" s="14">
        <v>6</v>
      </c>
      <c r="F42" s="14">
        <v>362</v>
      </c>
      <c r="G42" s="14">
        <v>60</v>
      </c>
      <c r="H42" s="14">
        <v>4984</v>
      </c>
      <c r="I42" s="14">
        <v>0.26803743831071</v>
      </c>
      <c r="J42" s="14">
        <v>0.999997675348157</v>
      </c>
      <c r="K42" s="14">
        <v>1.3767955801105</v>
      </c>
      <c r="L42" s="14" t="s">
        <v>22024</v>
      </c>
      <c r="M42" s="14" t="str">
        <f>HYPERLINK("../../3.KEGG_map/Tetraploid-vs-Diploid/ko00561.html","ko00561")</f>
        <v>ko00561</v>
      </c>
    </row>
    <row r="43" spans="1:13">
      <c r="A43" s="14" t="s">
        <v>6898</v>
      </c>
      <c r="B43" s="14" t="s">
        <v>6899</v>
      </c>
      <c r="C43" s="14" t="s">
        <v>21384</v>
      </c>
      <c r="D43" s="14" t="s">
        <v>21385</v>
      </c>
      <c r="E43" s="14">
        <v>4</v>
      </c>
      <c r="F43" s="14">
        <v>362</v>
      </c>
      <c r="G43" s="14">
        <v>51</v>
      </c>
      <c r="H43" s="14">
        <v>4984</v>
      </c>
      <c r="I43" s="14">
        <v>0.512981760598774</v>
      </c>
      <c r="J43" s="14">
        <v>0.999997675348157</v>
      </c>
      <c r="K43" s="14">
        <v>1.0798396706749</v>
      </c>
      <c r="L43" s="14" t="s">
        <v>22025</v>
      </c>
      <c r="M43" s="14" t="str">
        <f>HYPERLINK("../../3.KEGG_map/Tetraploid-vs-Diploid/ko00562.html","ko00562")</f>
        <v>ko00562</v>
      </c>
    </row>
    <row r="44" spans="1:13">
      <c r="A44" s="14" t="s">
        <v>2596</v>
      </c>
      <c r="B44" s="14" t="s">
        <v>2597</v>
      </c>
      <c r="C44" s="14" t="s">
        <v>21384</v>
      </c>
      <c r="D44" s="14" t="s">
        <v>21394</v>
      </c>
      <c r="E44" s="14">
        <v>5</v>
      </c>
      <c r="F44" s="14">
        <v>362</v>
      </c>
      <c r="G44" s="14">
        <v>86</v>
      </c>
      <c r="H44" s="14">
        <v>4984</v>
      </c>
      <c r="I44" s="14">
        <v>0.759325422491668</v>
      </c>
      <c r="J44" s="14">
        <v>0.999997675348157</v>
      </c>
      <c r="K44" s="14">
        <v>0.80046254657587</v>
      </c>
      <c r="L44" s="14" t="s">
        <v>22026</v>
      </c>
      <c r="M44" s="14" t="str">
        <f>HYPERLINK("../../3.KEGG_map/Tetraploid-vs-Diploid/ko00564.html","ko00564")</f>
        <v>ko00564</v>
      </c>
    </row>
    <row r="45" spans="1:13">
      <c r="A45" s="14" t="s">
        <v>21448</v>
      </c>
      <c r="B45" s="14" t="s">
        <v>21449</v>
      </c>
      <c r="C45" s="14" t="s">
        <v>21384</v>
      </c>
      <c r="D45" s="14" t="s">
        <v>21394</v>
      </c>
      <c r="E45" s="14">
        <v>2</v>
      </c>
      <c r="F45" s="14">
        <v>362</v>
      </c>
      <c r="G45" s="14">
        <v>26</v>
      </c>
      <c r="H45" s="14">
        <v>4984</v>
      </c>
      <c r="I45" s="14">
        <v>0.573168661188382</v>
      </c>
      <c r="J45" s="14">
        <v>0.999997675348157</v>
      </c>
      <c r="K45" s="14">
        <v>1.05907352316192</v>
      </c>
      <c r="L45" s="14" t="s">
        <v>20361</v>
      </c>
      <c r="M45" s="14" t="str">
        <f>HYPERLINK("../../3.KEGG_map/Tetraploid-vs-Diploid/ko00565.html","ko00565")</f>
        <v>ko00565</v>
      </c>
    </row>
    <row r="46" spans="1:13">
      <c r="A46" s="14" t="s">
        <v>9343</v>
      </c>
      <c r="B46" s="14" t="s">
        <v>9344</v>
      </c>
      <c r="C46" s="14" t="s">
        <v>21384</v>
      </c>
      <c r="D46" s="14" t="s">
        <v>21394</v>
      </c>
      <c r="E46" s="14">
        <v>1</v>
      </c>
      <c r="F46" s="14">
        <v>362</v>
      </c>
      <c r="G46" s="14">
        <v>15</v>
      </c>
      <c r="H46" s="14">
        <v>4984</v>
      </c>
      <c r="I46" s="14">
        <v>0.677848194945947</v>
      </c>
      <c r="J46" s="14">
        <v>0.999997675348157</v>
      </c>
      <c r="K46" s="14">
        <v>0.917863720073665</v>
      </c>
      <c r="L46" s="14" t="s">
        <v>9339</v>
      </c>
      <c r="M46" s="14" t="str">
        <f>HYPERLINK("../../3.KEGG_map/Tetraploid-vs-Diploid/ko00591.html","ko00591")</f>
        <v>ko00591</v>
      </c>
    </row>
    <row r="47" spans="1:13">
      <c r="A47" s="14" t="s">
        <v>3188</v>
      </c>
      <c r="B47" s="14" t="s">
        <v>3189</v>
      </c>
      <c r="C47" s="14" t="s">
        <v>21384</v>
      </c>
      <c r="D47" s="14" t="s">
        <v>21394</v>
      </c>
      <c r="E47" s="14">
        <v>4</v>
      </c>
      <c r="F47" s="14">
        <v>362</v>
      </c>
      <c r="G47" s="14">
        <v>50</v>
      </c>
      <c r="H47" s="14">
        <v>4984</v>
      </c>
      <c r="I47" s="14">
        <v>0.497134350113065</v>
      </c>
      <c r="J47" s="14">
        <v>0.999997675348157</v>
      </c>
      <c r="K47" s="14">
        <v>1.1014364640884</v>
      </c>
      <c r="L47" s="14" t="s">
        <v>22027</v>
      </c>
      <c r="M47" s="14" t="str">
        <f>HYPERLINK("../../3.KEGG_map/Tetraploid-vs-Diploid/ko00592.html","ko00592")</f>
        <v>ko00592</v>
      </c>
    </row>
    <row r="48" spans="1:13">
      <c r="A48" s="14" t="s">
        <v>3844</v>
      </c>
      <c r="B48" s="14" t="s">
        <v>3845</v>
      </c>
      <c r="C48" s="14" t="s">
        <v>21384</v>
      </c>
      <c r="D48" s="14" t="s">
        <v>21385</v>
      </c>
      <c r="E48" s="14">
        <v>12</v>
      </c>
      <c r="F48" s="14">
        <v>362</v>
      </c>
      <c r="G48" s="14">
        <v>85</v>
      </c>
      <c r="H48" s="14">
        <v>4984</v>
      </c>
      <c r="I48" s="14">
        <v>0.0188549028304139</v>
      </c>
      <c r="J48" s="14">
        <v>0.280176987088405</v>
      </c>
      <c r="K48" s="14">
        <v>1.94371140721482</v>
      </c>
      <c r="L48" s="14" t="s">
        <v>22028</v>
      </c>
      <c r="M48" s="14" t="str">
        <f>HYPERLINK("../../3.KEGG_map/Tetraploid-vs-Diploid/ko00620.html","ko00620")</f>
        <v>ko00620</v>
      </c>
    </row>
    <row r="49" spans="1:13">
      <c r="A49" s="14" t="s">
        <v>5329</v>
      </c>
      <c r="B49" s="14" t="s">
        <v>5330</v>
      </c>
      <c r="C49" s="14" t="s">
        <v>21384</v>
      </c>
      <c r="D49" s="14" t="s">
        <v>21385</v>
      </c>
      <c r="E49" s="14">
        <v>20</v>
      </c>
      <c r="F49" s="14">
        <v>362</v>
      </c>
      <c r="G49" s="14">
        <v>61</v>
      </c>
      <c r="H49" s="14">
        <v>4984</v>
      </c>
      <c r="I49" s="36">
        <v>3.91839682210762e-9</v>
      </c>
      <c r="J49" s="36">
        <v>5.58371547150336e-7</v>
      </c>
      <c r="K49" s="14">
        <v>4.51408386921474</v>
      </c>
      <c r="L49" s="14" t="s">
        <v>22029</v>
      </c>
      <c r="M49" s="14" t="str">
        <f>HYPERLINK("../../3.KEGG_map/Tetraploid-vs-Diploid/ko00630.html","ko00630")</f>
        <v>ko00630</v>
      </c>
    </row>
    <row r="50" spans="1:13">
      <c r="A50" s="14" t="s">
        <v>21467</v>
      </c>
      <c r="B50" s="14" t="s">
        <v>21468</v>
      </c>
      <c r="C50" s="14" t="s">
        <v>21384</v>
      </c>
      <c r="D50" s="14" t="s">
        <v>21385</v>
      </c>
      <c r="E50" s="14">
        <v>1</v>
      </c>
      <c r="F50" s="14">
        <v>362</v>
      </c>
      <c r="G50" s="14">
        <v>37</v>
      </c>
      <c r="H50" s="14">
        <v>4984</v>
      </c>
      <c r="I50" s="14">
        <v>0.939221200148606</v>
      </c>
      <c r="J50" s="14">
        <v>0.999997675348157</v>
      </c>
      <c r="K50" s="14">
        <v>0.372106913543378</v>
      </c>
      <c r="L50" s="14" t="s">
        <v>9131</v>
      </c>
      <c r="M50" s="14" t="str">
        <f>HYPERLINK("../../3.KEGG_map/Tetraploid-vs-Diploid/ko00640.html","ko00640")</f>
        <v>ko00640</v>
      </c>
    </row>
    <row r="51" spans="1:13">
      <c r="A51" s="14" t="s">
        <v>21472</v>
      </c>
      <c r="B51" s="14" t="s">
        <v>21473</v>
      </c>
      <c r="C51" s="14" t="s">
        <v>21384</v>
      </c>
      <c r="D51" s="14" t="s">
        <v>21385</v>
      </c>
      <c r="E51" s="14">
        <v>1</v>
      </c>
      <c r="F51" s="14">
        <v>362</v>
      </c>
      <c r="G51" s="14">
        <v>19</v>
      </c>
      <c r="H51" s="14">
        <v>4984</v>
      </c>
      <c r="I51" s="14">
        <v>0.761978490372629</v>
      </c>
      <c r="J51" s="14">
        <v>0.999997675348157</v>
      </c>
      <c r="K51" s="14">
        <v>0.724629252689735</v>
      </c>
      <c r="L51" s="14" t="s">
        <v>4955</v>
      </c>
      <c r="M51" s="14" t="str">
        <f>HYPERLINK("../../3.KEGG_map/Tetraploid-vs-Diploid/ko00650.html","ko00650")</f>
        <v>ko00650</v>
      </c>
    </row>
    <row r="52" spans="1:13">
      <c r="A52" s="14" t="s">
        <v>21475</v>
      </c>
      <c r="B52" s="14" t="s">
        <v>21476</v>
      </c>
      <c r="C52" s="14" t="s">
        <v>21384</v>
      </c>
      <c r="D52" s="14" t="s">
        <v>21385</v>
      </c>
      <c r="E52" s="14">
        <v>1</v>
      </c>
      <c r="F52" s="14">
        <v>362</v>
      </c>
      <c r="G52" s="14">
        <v>6</v>
      </c>
      <c r="H52" s="14">
        <v>4984</v>
      </c>
      <c r="I52" s="14">
        <v>0.364070464915605</v>
      </c>
      <c r="J52" s="14">
        <v>0.999997675348157</v>
      </c>
      <c r="K52" s="14">
        <v>2.29465930018416</v>
      </c>
      <c r="L52" s="14" t="s">
        <v>9673</v>
      </c>
      <c r="M52" s="14" t="str">
        <f>HYPERLINK("../../3.KEGG_map/Tetraploid-vs-Diploid/ko00660.html","ko00660")</f>
        <v>ko00660</v>
      </c>
    </row>
    <row r="53" spans="1:13">
      <c r="A53" s="14" t="s">
        <v>22030</v>
      </c>
      <c r="B53" s="14" t="s">
        <v>22031</v>
      </c>
      <c r="C53" s="14" t="s">
        <v>21384</v>
      </c>
      <c r="D53" s="14" t="s">
        <v>21483</v>
      </c>
      <c r="E53" s="14">
        <v>3</v>
      </c>
      <c r="F53" s="14">
        <v>362</v>
      </c>
      <c r="G53" s="14">
        <v>20</v>
      </c>
      <c r="H53" s="14">
        <v>4984</v>
      </c>
      <c r="I53" s="14">
        <v>0.173706043645849</v>
      </c>
      <c r="J53" s="14">
        <v>0.970710243903273</v>
      </c>
      <c r="K53" s="14">
        <v>2.06519337016575</v>
      </c>
      <c r="L53" s="14" t="s">
        <v>22032</v>
      </c>
      <c r="M53" s="14" t="str">
        <f>HYPERLINK("../../3.KEGG_map/Tetraploid-vs-Diploid/ko00670.html","ko00670")</f>
        <v>ko00670</v>
      </c>
    </row>
    <row r="54" spans="1:13">
      <c r="A54" s="14" t="s">
        <v>21477</v>
      </c>
      <c r="B54" s="14" t="s">
        <v>21478</v>
      </c>
      <c r="C54" s="14" t="s">
        <v>21384</v>
      </c>
      <c r="D54" s="14" t="s">
        <v>21400</v>
      </c>
      <c r="E54" s="14">
        <v>7</v>
      </c>
      <c r="F54" s="14">
        <v>362</v>
      </c>
      <c r="G54" s="14">
        <v>46</v>
      </c>
      <c r="H54" s="14">
        <v>4984</v>
      </c>
      <c r="I54" s="14">
        <v>0.046137310290215</v>
      </c>
      <c r="J54" s="14">
        <v>0.540610766358799</v>
      </c>
      <c r="K54" s="14">
        <v>2.0951237088638</v>
      </c>
      <c r="L54" s="14" t="s">
        <v>22033</v>
      </c>
      <c r="M54" s="14" t="str">
        <f>HYPERLINK("../../3.KEGG_map/Tetraploid-vs-Diploid/ko00680.html","ko00680")</f>
        <v>ko00680</v>
      </c>
    </row>
    <row r="55" spans="1:13">
      <c r="A55" s="14" t="s">
        <v>3487</v>
      </c>
      <c r="B55" s="14" t="s">
        <v>3488</v>
      </c>
      <c r="C55" s="14" t="s">
        <v>21384</v>
      </c>
      <c r="D55" s="14" t="s">
        <v>21400</v>
      </c>
      <c r="E55" s="14">
        <v>24</v>
      </c>
      <c r="F55" s="14">
        <v>362</v>
      </c>
      <c r="G55" s="14">
        <v>68</v>
      </c>
      <c r="H55" s="14">
        <v>4984</v>
      </c>
      <c r="I55" s="36">
        <v>1.71759580715518e-11</v>
      </c>
      <c r="J55" s="36">
        <v>4.89514805039226e-9</v>
      </c>
      <c r="K55" s="14">
        <v>4.85927851803705</v>
      </c>
      <c r="L55" s="14" t="s">
        <v>22034</v>
      </c>
      <c r="M55" s="14" t="str">
        <f>HYPERLINK("../../3.KEGG_map/Tetraploid-vs-Diploid/ko00710.html","ko00710")</f>
        <v>ko00710</v>
      </c>
    </row>
    <row r="56" spans="1:13">
      <c r="A56" s="14" t="s">
        <v>21481</v>
      </c>
      <c r="B56" s="14" t="s">
        <v>21482</v>
      </c>
      <c r="C56" s="14" t="s">
        <v>21384</v>
      </c>
      <c r="D56" s="14" t="s">
        <v>21400</v>
      </c>
      <c r="E56" s="14">
        <v>3</v>
      </c>
      <c r="F56" s="14">
        <v>362</v>
      </c>
      <c r="G56" s="14">
        <v>31</v>
      </c>
      <c r="H56" s="14">
        <v>4984</v>
      </c>
      <c r="I56" s="14">
        <v>0.393707310239147</v>
      </c>
      <c r="J56" s="14">
        <v>0.999997675348157</v>
      </c>
      <c r="K56" s="14">
        <v>1.33238281946177</v>
      </c>
      <c r="L56" s="14" t="s">
        <v>22035</v>
      </c>
      <c r="M56" s="14" t="str">
        <f>HYPERLINK("../../3.KEGG_map/Tetraploid-vs-Diploid/ko00720.html","ko00720")</f>
        <v>ko00720</v>
      </c>
    </row>
    <row r="57" spans="1:13">
      <c r="A57" s="14" t="s">
        <v>2019</v>
      </c>
      <c r="B57" s="14" t="s">
        <v>2020</v>
      </c>
      <c r="C57" s="14" t="s">
        <v>21384</v>
      </c>
      <c r="D57" s="14" t="s">
        <v>21483</v>
      </c>
      <c r="E57" s="14">
        <v>2</v>
      </c>
      <c r="F57" s="14">
        <v>362</v>
      </c>
      <c r="G57" s="14">
        <v>22</v>
      </c>
      <c r="H57" s="14">
        <v>4984</v>
      </c>
      <c r="I57" s="14">
        <v>0.482070096241945</v>
      </c>
      <c r="J57" s="14">
        <v>0.999997675348157</v>
      </c>
      <c r="K57" s="14">
        <v>1.251632345555</v>
      </c>
      <c r="L57" s="14" t="s">
        <v>20411</v>
      </c>
      <c r="M57" s="14" t="str">
        <f>HYPERLINK("../../3.KEGG_map/Tetraploid-vs-Diploid/ko00730.html","ko00730")</f>
        <v>ko00730</v>
      </c>
    </row>
    <row r="58" spans="1:13">
      <c r="A58" s="14" t="s">
        <v>8813</v>
      </c>
      <c r="B58" s="14" t="s">
        <v>8814</v>
      </c>
      <c r="C58" s="14" t="s">
        <v>21384</v>
      </c>
      <c r="D58" s="14" t="s">
        <v>21483</v>
      </c>
      <c r="E58" s="14">
        <v>3</v>
      </c>
      <c r="F58" s="14">
        <v>362</v>
      </c>
      <c r="G58" s="14">
        <v>19</v>
      </c>
      <c r="H58" s="14">
        <v>4984</v>
      </c>
      <c r="I58" s="14">
        <v>0.155515470347235</v>
      </c>
      <c r="J58" s="14">
        <v>0.968945075948278</v>
      </c>
      <c r="K58" s="14">
        <v>2.17388775806921</v>
      </c>
      <c r="L58" s="14" t="s">
        <v>22036</v>
      </c>
      <c r="M58" s="14" t="str">
        <f>HYPERLINK("../../3.KEGG_map/Tetraploid-vs-Diploid/ko00740.html","ko00740")</f>
        <v>ko00740</v>
      </c>
    </row>
    <row r="59" spans="1:13">
      <c r="A59" s="14" t="s">
        <v>1735</v>
      </c>
      <c r="B59" s="14" t="s">
        <v>1736</v>
      </c>
      <c r="C59" s="14" t="s">
        <v>21384</v>
      </c>
      <c r="D59" s="14" t="s">
        <v>21483</v>
      </c>
      <c r="E59" s="14">
        <v>6</v>
      </c>
      <c r="F59" s="14">
        <v>362</v>
      </c>
      <c r="G59" s="14">
        <v>16</v>
      </c>
      <c r="H59" s="14">
        <v>4984</v>
      </c>
      <c r="I59" s="14">
        <v>0.000603084369874461</v>
      </c>
      <c r="J59" s="14">
        <v>0.0363412523620702</v>
      </c>
      <c r="K59" s="14">
        <v>5.16298342541436</v>
      </c>
      <c r="L59" s="14" t="s">
        <v>22037</v>
      </c>
      <c r="M59" s="14" t="str">
        <f>HYPERLINK("../../3.KEGG_map/Tetraploid-vs-Diploid/ko00750.html","ko00750")</f>
        <v>ko00750</v>
      </c>
    </row>
    <row r="60" spans="1:13">
      <c r="A60" s="14" t="s">
        <v>1219</v>
      </c>
      <c r="B60" s="14" t="s">
        <v>1220</v>
      </c>
      <c r="C60" s="14" t="s">
        <v>21384</v>
      </c>
      <c r="D60" s="14" t="s">
        <v>21483</v>
      </c>
      <c r="E60" s="14">
        <v>2</v>
      </c>
      <c r="F60" s="14">
        <v>362</v>
      </c>
      <c r="G60" s="14">
        <v>21</v>
      </c>
      <c r="H60" s="14">
        <v>4984</v>
      </c>
      <c r="I60" s="14">
        <v>0.457489243415606</v>
      </c>
      <c r="J60" s="14">
        <v>0.999997675348157</v>
      </c>
      <c r="K60" s="14">
        <v>1.31123388581952</v>
      </c>
      <c r="L60" s="14" t="s">
        <v>22038</v>
      </c>
      <c r="M60" s="14" t="str">
        <f>HYPERLINK("../../3.KEGG_map/Tetraploid-vs-Diploid/ko00760.html","ko00760")</f>
        <v>ko00760</v>
      </c>
    </row>
    <row r="61" spans="1:13">
      <c r="A61" s="14" t="s">
        <v>2782</v>
      </c>
      <c r="B61" s="14" t="s">
        <v>2783</v>
      </c>
      <c r="C61" s="14" t="s">
        <v>21384</v>
      </c>
      <c r="D61" s="14" t="s">
        <v>21483</v>
      </c>
      <c r="E61" s="14">
        <v>1</v>
      </c>
      <c r="F61" s="14">
        <v>362</v>
      </c>
      <c r="G61" s="14">
        <v>21</v>
      </c>
      <c r="H61" s="14">
        <v>4984</v>
      </c>
      <c r="I61" s="14">
        <v>0.795424901523977</v>
      </c>
      <c r="J61" s="14">
        <v>0.999997675348157</v>
      </c>
      <c r="K61" s="14">
        <v>0.655616942909761</v>
      </c>
      <c r="L61" s="14" t="s">
        <v>2777</v>
      </c>
      <c r="M61" s="14" t="str">
        <f>HYPERLINK("../../3.KEGG_map/Tetraploid-vs-Diploid/ko00780.html","ko00780")</f>
        <v>ko00780</v>
      </c>
    </row>
    <row r="62" spans="1:13">
      <c r="A62" s="14" t="s">
        <v>3823</v>
      </c>
      <c r="B62" s="14" t="s">
        <v>3824</v>
      </c>
      <c r="C62" s="14" t="s">
        <v>21384</v>
      </c>
      <c r="D62" s="14" t="s">
        <v>21483</v>
      </c>
      <c r="E62" s="14">
        <v>2</v>
      </c>
      <c r="F62" s="14">
        <v>362</v>
      </c>
      <c r="G62" s="14">
        <v>24</v>
      </c>
      <c r="H62" s="14">
        <v>4984</v>
      </c>
      <c r="I62" s="14">
        <v>0.529109957726775</v>
      </c>
      <c r="J62" s="14">
        <v>0.999997675348157</v>
      </c>
      <c r="K62" s="14">
        <v>1.14732965009208</v>
      </c>
      <c r="L62" s="14" t="s">
        <v>22039</v>
      </c>
      <c r="M62" s="14" t="str">
        <f>HYPERLINK("../../3.KEGG_map/Tetraploid-vs-Diploid/ko00790.html","ko00790")</f>
        <v>ko00790</v>
      </c>
    </row>
    <row r="63" spans="1:13">
      <c r="A63" s="14" t="s">
        <v>841</v>
      </c>
      <c r="B63" s="14" t="s">
        <v>842</v>
      </c>
      <c r="C63" s="14" t="s">
        <v>21384</v>
      </c>
      <c r="D63" s="14" t="s">
        <v>21483</v>
      </c>
      <c r="E63" s="14">
        <v>6</v>
      </c>
      <c r="F63" s="14">
        <v>362</v>
      </c>
      <c r="G63" s="14">
        <v>47</v>
      </c>
      <c r="H63" s="14">
        <v>4984</v>
      </c>
      <c r="I63" s="14">
        <v>0.122455055336475</v>
      </c>
      <c r="J63" s="14">
        <v>0.961823531177483</v>
      </c>
      <c r="K63" s="14">
        <v>1.75761137886446</v>
      </c>
      <c r="L63" s="14" t="s">
        <v>22040</v>
      </c>
      <c r="M63" s="14" t="str">
        <f>HYPERLINK("../../3.KEGG_map/Tetraploid-vs-Diploid/ko00860.html","ko00860")</f>
        <v>ko00860</v>
      </c>
    </row>
    <row r="64" spans="1:13">
      <c r="A64" s="14" t="s">
        <v>565</v>
      </c>
      <c r="B64" s="14" t="s">
        <v>566</v>
      </c>
      <c r="C64" s="14" t="s">
        <v>21384</v>
      </c>
      <c r="D64" s="14" t="s">
        <v>21488</v>
      </c>
      <c r="E64" s="14">
        <v>7</v>
      </c>
      <c r="F64" s="14">
        <v>362</v>
      </c>
      <c r="G64" s="14">
        <v>51</v>
      </c>
      <c r="H64" s="14">
        <v>4984</v>
      </c>
      <c r="I64" s="14">
        <v>0.0734798869510575</v>
      </c>
      <c r="J64" s="14">
        <v>0.747920277894693</v>
      </c>
      <c r="K64" s="14">
        <v>1.88971942368107</v>
      </c>
      <c r="L64" s="14" t="s">
        <v>22041</v>
      </c>
      <c r="M64" s="14" t="str">
        <f>HYPERLINK("../../3.KEGG_map/Tetraploid-vs-Diploid/ko00900.html","ko00900")</f>
        <v>ko00900</v>
      </c>
    </row>
    <row r="65" spans="1:13">
      <c r="A65" s="14" t="s">
        <v>294</v>
      </c>
      <c r="B65" s="14" t="s">
        <v>295</v>
      </c>
      <c r="C65" s="14" t="s">
        <v>21384</v>
      </c>
      <c r="D65" s="14" t="s">
        <v>21488</v>
      </c>
      <c r="E65" s="14">
        <v>4</v>
      </c>
      <c r="F65" s="14">
        <v>362</v>
      </c>
      <c r="G65" s="14">
        <v>23</v>
      </c>
      <c r="H65" s="14">
        <v>4984</v>
      </c>
      <c r="I65" s="14">
        <v>0.080899877865764</v>
      </c>
      <c r="J65" s="14">
        <v>0.795050523853198</v>
      </c>
      <c r="K65" s="14">
        <v>2.39442709584434</v>
      </c>
      <c r="L65" s="14" t="s">
        <v>22042</v>
      </c>
      <c r="M65" s="14" t="str">
        <f>HYPERLINK("../../3.KEGG_map/Tetraploid-vs-Diploid/ko00904.html","ko00904")</f>
        <v>ko00904</v>
      </c>
    </row>
    <row r="66" spans="1:13">
      <c r="A66" s="14" t="s">
        <v>798</v>
      </c>
      <c r="B66" s="14" t="s">
        <v>799</v>
      </c>
      <c r="C66" s="14" t="s">
        <v>21384</v>
      </c>
      <c r="D66" s="14" t="s">
        <v>21488</v>
      </c>
      <c r="E66" s="14">
        <v>11</v>
      </c>
      <c r="F66" s="14">
        <v>362</v>
      </c>
      <c r="G66" s="14">
        <v>36</v>
      </c>
      <c r="H66" s="14">
        <v>4984</v>
      </c>
      <c r="I66" s="36">
        <v>2.92525079455357e-5</v>
      </c>
      <c r="J66" s="14">
        <v>0.0027789882548259</v>
      </c>
      <c r="K66" s="14">
        <v>4.20687538367096</v>
      </c>
      <c r="L66" s="14" t="s">
        <v>22043</v>
      </c>
      <c r="M66" s="14" t="str">
        <f>HYPERLINK("../../3.KEGG_map/Tetraploid-vs-Diploid/ko00906.html","ko00906")</f>
        <v>ko00906</v>
      </c>
    </row>
    <row r="67" spans="1:13">
      <c r="A67" s="14" t="s">
        <v>907</v>
      </c>
      <c r="B67" s="14" t="s">
        <v>908</v>
      </c>
      <c r="C67" s="14" t="s">
        <v>21384</v>
      </c>
      <c r="D67" s="14" t="s">
        <v>21488</v>
      </c>
      <c r="E67" s="14">
        <v>5</v>
      </c>
      <c r="F67" s="14">
        <v>362</v>
      </c>
      <c r="G67" s="14">
        <v>23</v>
      </c>
      <c r="H67" s="14">
        <v>4984</v>
      </c>
      <c r="I67" s="14">
        <v>0.0222502269058353</v>
      </c>
      <c r="J67" s="14">
        <v>0.301967365150622</v>
      </c>
      <c r="K67" s="14">
        <v>2.99303386980543</v>
      </c>
      <c r="L67" s="14" t="s">
        <v>22044</v>
      </c>
      <c r="M67" s="14" t="str">
        <f>HYPERLINK("../../3.KEGG_map/Tetraploid-vs-Diploid/ko00908.html","ko00908")</f>
        <v>ko00908</v>
      </c>
    </row>
    <row r="68" spans="1:13">
      <c r="A68" s="14" t="s">
        <v>5747</v>
      </c>
      <c r="B68" s="14" t="s">
        <v>5748</v>
      </c>
      <c r="C68" s="14" t="s">
        <v>21384</v>
      </c>
      <c r="D68" s="14" t="s">
        <v>21400</v>
      </c>
      <c r="E68" s="14">
        <v>7</v>
      </c>
      <c r="F68" s="14">
        <v>362</v>
      </c>
      <c r="G68" s="14">
        <v>32</v>
      </c>
      <c r="H68" s="14">
        <v>4984</v>
      </c>
      <c r="I68" s="14">
        <v>0.00692368385981836</v>
      </c>
      <c r="J68" s="14">
        <v>0.197324990004823</v>
      </c>
      <c r="K68" s="14">
        <v>3.01174033149171</v>
      </c>
      <c r="L68" s="14" t="s">
        <v>22045</v>
      </c>
      <c r="M68" s="14" t="str">
        <f>HYPERLINK("../../3.KEGG_map/Tetraploid-vs-Diploid/ko00910.html","ko00910")</f>
        <v>ko00910</v>
      </c>
    </row>
    <row r="69" spans="1:13">
      <c r="A69" s="14" t="s">
        <v>6555</v>
      </c>
      <c r="B69" s="14" t="s">
        <v>6556</v>
      </c>
      <c r="C69" s="14" t="s">
        <v>21384</v>
      </c>
      <c r="D69" s="14" t="s">
        <v>21400</v>
      </c>
      <c r="E69" s="14">
        <v>6</v>
      </c>
      <c r="F69" s="14">
        <v>362</v>
      </c>
      <c r="G69" s="14">
        <v>30</v>
      </c>
      <c r="H69" s="14">
        <v>4984</v>
      </c>
      <c r="I69" s="14">
        <v>0.0188206724666158</v>
      </c>
      <c r="J69" s="14">
        <v>0.280176987088405</v>
      </c>
      <c r="K69" s="14">
        <v>2.75359116022099</v>
      </c>
      <c r="L69" s="14" t="s">
        <v>22046</v>
      </c>
      <c r="M69" s="14" t="str">
        <f>HYPERLINK("../../3.KEGG_map/Tetraploid-vs-Diploid/ko00920.html","ko00920")</f>
        <v>ko00920</v>
      </c>
    </row>
    <row r="70" spans="1:13">
      <c r="A70" s="14" t="s">
        <v>556</v>
      </c>
      <c r="B70" s="14" t="s">
        <v>557</v>
      </c>
      <c r="C70" s="14" t="s">
        <v>21384</v>
      </c>
      <c r="D70" s="14" t="s">
        <v>21421</v>
      </c>
      <c r="E70" s="14">
        <v>8</v>
      </c>
      <c r="F70" s="14">
        <v>362</v>
      </c>
      <c r="G70" s="14">
        <v>110</v>
      </c>
      <c r="H70" s="14">
        <v>4984</v>
      </c>
      <c r="I70" s="14">
        <v>0.552309106458563</v>
      </c>
      <c r="J70" s="14">
        <v>0.999997675348157</v>
      </c>
      <c r="K70" s="14">
        <v>1.001305876444</v>
      </c>
      <c r="L70" s="14" t="s">
        <v>22047</v>
      </c>
      <c r="M70" s="14" t="str">
        <f>HYPERLINK("../../3.KEGG_map/Tetraploid-vs-Diploid/ko00940.html","ko00940")</f>
        <v>ko00940</v>
      </c>
    </row>
    <row r="71" spans="1:13">
      <c r="A71" s="14" t="s">
        <v>3258</v>
      </c>
      <c r="B71" s="14" t="s">
        <v>3259</v>
      </c>
      <c r="C71" s="14" t="s">
        <v>21384</v>
      </c>
      <c r="D71" s="14" t="s">
        <v>21421</v>
      </c>
      <c r="E71" s="14">
        <v>4</v>
      </c>
      <c r="F71" s="14">
        <v>362</v>
      </c>
      <c r="G71" s="14">
        <v>41</v>
      </c>
      <c r="H71" s="14">
        <v>4984</v>
      </c>
      <c r="I71" s="14">
        <v>0.34743427709599</v>
      </c>
      <c r="J71" s="14">
        <v>0.999997675348157</v>
      </c>
      <c r="K71" s="14">
        <v>1.3432152001078</v>
      </c>
      <c r="L71" s="14" t="s">
        <v>22048</v>
      </c>
      <c r="M71" s="14" t="str">
        <f>HYPERLINK("../../3.KEGG_map/Tetraploid-vs-Diploid/ko00941.html","ko00941")</f>
        <v>ko00941</v>
      </c>
    </row>
    <row r="72" spans="1:13">
      <c r="A72" s="14" t="s">
        <v>22049</v>
      </c>
      <c r="B72" s="14" t="s">
        <v>22050</v>
      </c>
      <c r="C72" s="14" t="s">
        <v>21384</v>
      </c>
      <c r="D72" s="14" t="s">
        <v>21421</v>
      </c>
      <c r="E72" s="14">
        <v>1</v>
      </c>
      <c r="F72" s="14">
        <v>362</v>
      </c>
      <c r="G72" s="14">
        <v>8</v>
      </c>
      <c r="H72" s="14">
        <v>4984</v>
      </c>
      <c r="I72" s="14">
        <v>0.453205713046698</v>
      </c>
      <c r="J72" s="14">
        <v>0.999997675348157</v>
      </c>
      <c r="K72" s="14">
        <v>1.72099447513812</v>
      </c>
      <c r="L72" s="14" t="s">
        <v>5966</v>
      </c>
      <c r="M72" s="14" t="str">
        <f>HYPERLINK("../../3.KEGG_map/Tetraploid-vs-Diploid/ko00944.html","ko00944")</f>
        <v>ko00944</v>
      </c>
    </row>
    <row r="73" spans="1:13">
      <c r="A73" s="14" t="s">
        <v>21498</v>
      </c>
      <c r="B73" s="14" t="s">
        <v>21499</v>
      </c>
      <c r="C73" s="14" t="s">
        <v>21384</v>
      </c>
      <c r="D73" s="14" t="s">
        <v>21421</v>
      </c>
      <c r="E73" s="14">
        <v>1</v>
      </c>
      <c r="F73" s="14">
        <v>362</v>
      </c>
      <c r="G73" s="14">
        <v>22</v>
      </c>
      <c r="H73" s="14">
        <v>4984</v>
      </c>
      <c r="I73" s="14">
        <v>0.81034655891836</v>
      </c>
      <c r="J73" s="14">
        <v>0.999997675348157</v>
      </c>
      <c r="K73" s="14">
        <v>0.625816172777499</v>
      </c>
      <c r="L73" s="14" t="s">
        <v>8322</v>
      </c>
      <c r="M73" s="14" t="str">
        <f>HYPERLINK("../../3.KEGG_map/Tetraploid-vs-Diploid/ko00945.html","ko00945")</f>
        <v>ko00945</v>
      </c>
    </row>
    <row r="74" spans="1:13">
      <c r="A74" s="14" t="s">
        <v>22051</v>
      </c>
      <c r="B74" s="14" t="s">
        <v>22052</v>
      </c>
      <c r="C74" s="14" t="s">
        <v>21384</v>
      </c>
      <c r="D74" s="14" t="s">
        <v>21421</v>
      </c>
      <c r="E74" s="14">
        <v>4</v>
      </c>
      <c r="F74" s="14">
        <v>362</v>
      </c>
      <c r="G74" s="14">
        <v>20</v>
      </c>
      <c r="H74" s="14">
        <v>4984</v>
      </c>
      <c r="I74" s="14">
        <v>0.0524355549884247</v>
      </c>
      <c r="J74" s="14">
        <v>0.568498956508466</v>
      </c>
      <c r="K74" s="14">
        <v>2.75359116022099</v>
      </c>
      <c r="L74" s="14" t="s">
        <v>22053</v>
      </c>
      <c r="M74" s="14" t="str">
        <f>HYPERLINK("../../3.KEGG_map/Tetraploid-vs-Diploid/ko00950.html","ko00950")</f>
        <v>ko00950</v>
      </c>
    </row>
    <row r="75" spans="1:13">
      <c r="A75" s="14" t="s">
        <v>1936</v>
      </c>
      <c r="B75" s="14" t="s">
        <v>1937</v>
      </c>
      <c r="C75" s="14" t="s">
        <v>21384</v>
      </c>
      <c r="D75" s="14" t="s">
        <v>21421</v>
      </c>
      <c r="E75" s="14">
        <v>4</v>
      </c>
      <c r="F75" s="14">
        <v>362</v>
      </c>
      <c r="G75" s="14">
        <v>26</v>
      </c>
      <c r="H75" s="14">
        <v>4984</v>
      </c>
      <c r="I75" s="14">
        <v>0.115491276004592</v>
      </c>
      <c r="J75" s="14">
        <v>0.961823531177483</v>
      </c>
      <c r="K75" s="14">
        <v>2.11814704632384</v>
      </c>
      <c r="L75" s="14" t="s">
        <v>22054</v>
      </c>
      <c r="M75" s="14" t="str">
        <f>HYPERLINK("../../3.KEGG_map/Tetraploid-vs-Diploid/ko00960.html","ko00960")</f>
        <v>ko00960</v>
      </c>
    </row>
    <row r="76" spans="1:13">
      <c r="A76" s="14" t="s">
        <v>21505</v>
      </c>
      <c r="B76" s="14" t="s">
        <v>21506</v>
      </c>
      <c r="C76" s="14" t="s">
        <v>21384</v>
      </c>
      <c r="D76" s="14" t="s">
        <v>21421</v>
      </c>
      <c r="E76" s="14">
        <v>1</v>
      </c>
      <c r="F76" s="14">
        <v>362</v>
      </c>
      <c r="G76" s="14">
        <v>9</v>
      </c>
      <c r="H76" s="14">
        <v>4984</v>
      </c>
      <c r="I76" s="14">
        <v>0.492984557877304</v>
      </c>
      <c r="J76" s="14">
        <v>0.999997675348157</v>
      </c>
      <c r="K76" s="14">
        <v>1.52977286678944</v>
      </c>
      <c r="L76" s="14" t="s">
        <v>9673</v>
      </c>
      <c r="M76" s="14" t="str">
        <f>HYPERLINK("../../3.KEGG_map/Tetraploid-vs-Diploid/ko00966.html","ko00966")</f>
        <v>ko00966</v>
      </c>
    </row>
    <row r="77" spans="1:13">
      <c r="A77" s="14" t="s">
        <v>6520</v>
      </c>
      <c r="B77" s="14" t="s">
        <v>6521</v>
      </c>
      <c r="C77" s="14" t="s">
        <v>21507</v>
      </c>
      <c r="D77" s="14" t="s">
        <v>21508</v>
      </c>
      <c r="E77" s="14">
        <v>3</v>
      </c>
      <c r="F77" s="14">
        <v>362</v>
      </c>
      <c r="G77" s="14">
        <v>55</v>
      </c>
      <c r="H77" s="14">
        <v>4984</v>
      </c>
      <c r="I77" s="14">
        <v>0.773702948100474</v>
      </c>
      <c r="J77" s="14">
        <v>0.999997675348157</v>
      </c>
      <c r="K77" s="14">
        <v>0.750979407332999</v>
      </c>
      <c r="L77" s="14" t="s">
        <v>22055</v>
      </c>
      <c r="M77" s="14" t="str">
        <f>HYPERLINK("../../3.KEGG_map/Tetraploid-vs-Diploid/ko00970.html","ko00970")</f>
        <v>ko00970</v>
      </c>
    </row>
    <row r="78" spans="1:13">
      <c r="A78" s="14" t="s">
        <v>21512</v>
      </c>
      <c r="B78" s="14" t="s">
        <v>21513</v>
      </c>
      <c r="C78" s="14" t="s">
        <v>21384</v>
      </c>
      <c r="D78" s="14" t="s">
        <v>21464</v>
      </c>
      <c r="E78" s="14">
        <v>2</v>
      </c>
      <c r="F78" s="14">
        <v>362</v>
      </c>
      <c r="G78" s="14">
        <v>51</v>
      </c>
      <c r="H78" s="14">
        <v>4984</v>
      </c>
      <c r="I78" s="14">
        <v>0.894476949675081</v>
      </c>
      <c r="J78" s="14">
        <v>0.999997675348157</v>
      </c>
      <c r="K78" s="14">
        <v>0.53991983533745</v>
      </c>
      <c r="L78" s="14" t="s">
        <v>22056</v>
      </c>
      <c r="M78" s="14" t="str">
        <f>HYPERLINK("../../3.KEGG_map/Tetraploid-vs-Diploid/ko00982.html","ko00982")</f>
        <v>ko00982</v>
      </c>
    </row>
    <row r="79" spans="1:13">
      <c r="A79" s="14" t="s">
        <v>21515</v>
      </c>
      <c r="B79" s="14" t="s">
        <v>21516</v>
      </c>
      <c r="C79" s="14" t="s">
        <v>21384</v>
      </c>
      <c r="D79" s="14" t="s">
        <v>21464</v>
      </c>
      <c r="E79" s="14">
        <v>1</v>
      </c>
      <c r="F79" s="14">
        <v>362</v>
      </c>
      <c r="G79" s="14">
        <v>63</v>
      </c>
      <c r="H79" s="14">
        <v>4984</v>
      </c>
      <c r="I79" s="14">
        <v>0.991616515704891</v>
      </c>
      <c r="J79" s="14">
        <v>0.999997675348157</v>
      </c>
      <c r="K79" s="14">
        <v>0.21853898096992</v>
      </c>
      <c r="L79" s="14" t="s">
        <v>6075</v>
      </c>
      <c r="M79" s="14" t="str">
        <f>HYPERLINK("../../3.KEGG_map/Tetraploid-vs-Diploid/ko00983.html","ko00983")</f>
        <v>ko00983</v>
      </c>
    </row>
    <row r="80" spans="1:13">
      <c r="A80" s="14" t="s">
        <v>5148</v>
      </c>
      <c r="B80" s="14" t="s">
        <v>5149</v>
      </c>
      <c r="C80" s="14" t="s">
        <v>21384</v>
      </c>
      <c r="D80" s="14" t="s">
        <v>21421</v>
      </c>
      <c r="E80" s="14">
        <v>4</v>
      </c>
      <c r="F80" s="14">
        <v>362</v>
      </c>
      <c r="G80" s="14">
        <v>47</v>
      </c>
      <c r="H80" s="14">
        <v>4984</v>
      </c>
      <c r="I80" s="14">
        <v>0.448380558813169</v>
      </c>
      <c r="J80" s="14">
        <v>0.999997675348157</v>
      </c>
      <c r="K80" s="14">
        <v>1.17174091924298</v>
      </c>
      <c r="L80" s="14" t="s">
        <v>22057</v>
      </c>
      <c r="M80" s="14" t="str">
        <f>HYPERLINK("../../3.KEGG_map/Tetraploid-vs-Diploid/ko00999.html","ko00999")</f>
        <v>ko00999</v>
      </c>
    </row>
    <row r="81" spans="1:13">
      <c r="A81" s="14" t="s">
        <v>21521</v>
      </c>
      <c r="B81" s="14" t="s">
        <v>21522</v>
      </c>
      <c r="C81" s="14" t="s">
        <v>21523</v>
      </c>
      <c r="D81" s="14" t="s">
        <v>21524</v>
      </c>
      <c r="E81" s="14">
        <v>1</v>
      </c>
      <c r="F81" s="14">
        <v>362</v>
      </c>
      <c r="G81" s="14">
        <v>17</v>
      </c>
      <c r="H81" s="14">
        <v>4984</v>
      </c>
      <c r="I81" s="14">
        <v>0.723081397609551</v>
      </c>
      <c r="J81" s="14">
        <v>0.999997675348157</v>
      </c>
      <c r="K81" s="14">
        <v>0.809879753006175</v>
      </c>
      <c r="L81" s="14" t="s">
        <v>4297</v>
      </c>
      <c r="M81" s="14" t="str">
        <f>HYPERLINK("../../3.KEGG_map/Tetraploid-vs-Diploid/ko01521.html","ko01521")</f>
        <v>ko01521</v>
      </c>
    </row>
    <row r="82" spans="1:13">
      <c r="A82" s="14" t="s">
        <v>21525</v>
      </c>
      <c r="B82" s="14" t="s">
        <v>21526</v>
      </c>
      <c r="C82" s="14" t="s">
        <v>21523</v>
      </c>
      <c r="D82" s="14" t="s">
        <v>21524</v>
      </c>
      <c r="E82" s="14">
        <v>1</v>
      </c>
      <c r="F82" s="14">
        <v>362</v>
      </c>
      <c r="G82" s="14">
        <v>10</v>
      </c>
      <c r="H82" s="14">
        <v>4984</v>
      </c>
      <c r="I82" s="14">
        <v>0.529876937786533</v>
      </c>
      <c r="J82" s="14">
        <v>0.999997675348157</v>
      </c>
      <c r="K82" s="14">
        <v>1.3767955801105</v>
      </c>
      <c r="L82" s="14" t="s">
        <v>4297</v>
      </c>
      <c r="M82" s="14" t="str">
        <f>HYPERLINK("../../3.KEGG_map/Tetraploid-vs-Diploid/ko01522.html","ko01522")</f>
        <v>ko01522</v>
      </c>
    </row>
    <row r="83" spans="1:13">
      <c r="A83" s="14" t="s">
        <v>21527</v>
      </c>
      <c r="B83" s="14" t="s">
        <v>21528</v>
      </c>
      <c r="C83" s="14" t="s">
        <v>21523</v>
      </c>
      <c r="D83" s="14" t="s">
        <v>21524</v>
      </c>
      <c r="E83" s="14">
        <v>5</v>
      </c>
      <c r="F83" s="14">
        <v>362</v>
      </c>
      <c r="G83" s="14">
        <v>40</v>
      </c>
      <c r="H83" s="14">
        <v>4984</v>
      </c>
      <c r="I83" s="14">
        <v>0.161409699725153</v>
      </c>
      <c r="J83" s="14">
        <v>0.968945075948278</v>
      </c>
      <c r="K83" s="14">
        <v>1.72099447513812</v>
      </c>
      <c r="L83" s="14" t="s">
        <v>22058</v>
      </c>
      <c r="M83" s="14" t="str">
        <f>HYPERLINK("../../3.KEGG_map/Tetraploid-vs-Diploid/ko01523.html","ko01523")</f>
        <v>ko01523</v>
      </c>
    </row>
    <row r="84" spans="1:13">
      <c r="A84" s="14" t="s">
        <v>21530</v>
      </c>
      <c r="B84" s="14" t="s">
        <v>21531</v>
      </c>
      <c r="C84" s="14" t="s">
        <v>21523</v>
      </c>
      <c r="D84" s="14" t="s">
        <v>21524</v>
      </c>
      <c r="E84" s="14">
        <v>1</v>
      </c>
      <c r="F84" s="14">
        <v>362</v>
      </c>
      <c r="G84" s="14">
        <v>62</v>
      </c>
      <c r="H84" s="14">
        <v>4984</v>
      </c>
      <c r="I84" s="14">
        <v>0.990950984714797</v>
      </c>
      <c r="J84" s="14">
        <v>0.999997675348157</v>
      </c>
      <c r="K84" s="14">
        <v>0.222063803243629</v>
      </c>
      <c r="L84" s="14" t="s">
        <v>4971</v>
      </c>
      <c r="M84" s="14" t="str">
        <f>HYPERLINK("../../3.KEGG_map/Tetraploid-vs-Diploid/ko01524.html","ko01524")</f>
        <v>ko01524</v>
      </c>
    </row>
    <row r="85" spans="1:13">
      <c r="A85" s="14" t="s">
        <v>3743</v>
      </c>
      <c r="B85" s="14" t="s">
        <v>3744</v>
      </c>
      <c r="C85" s="14" t="s">
        <v>21533</v>
      </c>
      <c r="D85" s="14" t="s">
        <v>21534</v>
      </c>
      <c r="E85" s="14">
        <v>7</v>
      </c>
      <c r="F85" s="14">
        <v>362</v>
      </c>
      <c r="G85" s="14">
        <v>71</v>
      </c>
      <c r="H85" s="14">
        <v>4984</v>
      </c>
      <c r="I85" s="14">
        <v>0.255131488769771</v>
      </c>
      <c r="J85" s="14">
        <v>0.999997675348157</v>
      </c>
      <c r="K85" s="14">
        <v>1.35740409306669</v>
      </c>
      <c r="L85" s="14" t="s">
        <v>22059</v>
      </c>
      <c r="M85" s="14" t="str">
        <f>HYPERLINK("../../3.KEGG_map/Tetraploid-vs-Diploid/ko02010.html","ko02010")</f>
        <v>ko02010</v>
      </c>
    </row>
    <row r="86" spans="1:13">
      <c r="A86" s="14" t="s">
        <v>21536</v>
      </c>
      <c r="B86" s="14" t="s">
        <v>21537</v>
      </c>
      <c r="C86" s="14" t="s">
        <v>21533</v>
      </c>
      <c r="D86" s="14" t="s">
        <v>21538</v>
      </c>
      <c r="E86" s="14">
        <v>2</v>
      </c>
      <c r="F86" s="14">
        <v>362</v>
      </c>
      <c r="G86" s="14">
        <v>60</v>
      </c>
      <c r="H86" s="14">
        <v>4984</v>
      </c>
      <c r="I86" s="14">
        <v>0.93927628756571</v>
      </c>
      <c r="J86" s="14">
        <v>0.999997675348157</v>
      </c>
      <c r="K86" s="14">
        <v>0.458931860036832</v>
      </c>
      <c r="L86" s="14" t="s">
        <v>22060</v>
      </c>
      <c r="M86" s="14" t="str">
        <f>HYPERLINK("../../3.KEGG_map/Tetraploid-vs-Diploid/ko02020.html","ko02020")</f>
        <v>ko02020</v>
      </c>
    </row>
    <row r="87" spans="1:13">
      <c r="A87" s="14" t="s">
        <v>21540</v>
      </c>
      <c r="B87" s="14" t="s">
        <v>21541</v>
      </c>
      <c r="C87" s="14" t="s">
        <v>21542</v>
      </c>
      <c r="D87" s="14" t="s">
        <v>21543</v>
      </c>
      <c r="E87" s="14">
        <v>4</v>
      </c>
      <c r="F87" s="14">
        <v>362</v>
      </c>
      <c r="G87" s="14">
        <v>55</v>
      </c>
      <c r="H87" s="14">
        <v>4984</v>
      </c>
      <c r="I87" s="14">
        <v>0.573910690740413</v>
      </c>
      <c r="J87" s="14">
        <v>0.999997675348157</v>
      </c>
      <c r="K87" s="14">
        <v>1.001305876444</v>
      </c>
      <c r="L87" s="14" t="s">
        <v>22061</v>
      </c>
      <c r="M87" s="14" t="str">
        <f>HYPERLINK("../../3.KEGG_map/Tetraploid-vs-Diploid/ko02024.html","ko02024")</f>
        <v>ko02024</v>
      </c>
    </row>
    <row r="88" spans="1:13">
      <c r="A88" s="14" t="s">
        <v>22062</v>
      </c>
      <c r="B88" s="14" t="s">
        <v>22063</v>
      </c>
      <c r="C88" s="14" t="s">
        <v>21542</v>
      </c>
      <c r="D88" s="14" t="s">
        <v>21543</v>
      </c>
      <c r="E88" s="14">
        <v>4</v>
      </c>
      <c r="F88" s="14">
        <v>362</v>
      </c>
      <c r="G88" s="14">
        <v>15</v>
      </c>
      <c r="H88" s="14">
        <v>4984</v>
      </c>
      <c r="I88" s="14">
        <v>0.0196615429535723</v>
      </c>
      <c r="J88" s="14">
        <v>0.280176987088405</v>
      </c>
      <c r="K88" s="14">
        <v>3.67145488029466</v>
      </c>
      <c r="L88" s="14" t="s">
        <v>22064</v>
      </c>
      <c r="M88" s="14" t="str">
        <f>HYPERLINK("../../3.KEGG_map/Tetraploid-vs-Diploid/ko02026.html","ko02026")</f>
        <v>ko02026</v>
      </c>
    </row>
    <row r="89" spans="1:13">
      <c r="A89" s="14" t="s">
        <v>1536</v>
      </c>
      <c r="B89" s="14" t="s">
        <v>1537</v>
      </c>
      <c r="C89" s="14" t="s">
        <v>21507</v>
      </c>
      <c r="D89" s="14" t="s">
        <v>21508</v>
      </c>
      <c r="E89" s="14">
        <v>12</v>
      </c>
      <c r="F89" s="14">
        <v>362</v>
      </c>
      <c r="G89" s="14">
        <v>325</v>
      </c>
      <c r="H89" s="14">
        <v>4984</v>
      </c>
      <c r="I89" s="14">
        <v>0.998151509694304</v>
      </c>
      <c r="J89" s="14">
        <v>0.999997675348157</v>
      </c>
      <c r="K89" s="14">
        <v>0.508355291117722</v>
      </c>
      <c r="L89" s="14" t="s">
        <v>22065</v>
      </c>
      <c r="M89" s="14" t="str">
        <f>HYPERLINK("../../3.KEGG_map/Tetraploid-vs-Diploid/ko03010.html","ko03010")</f>
        <v>ko03010</v>
      </c>
    </row>
    <row r="90" spans="1:13">
      <c r="A90" s="14" t="s">
        <v>8718</v>
      </c>
      <c r="B90" s="14" t="s">
        <v>8719</v>
      </c>
      <c r="C90" s="14" t="s">
        <v>21507</v>
      </c>
      <c r="D90" s="14" t="s">
        <v>21508</v>
      </c>
      <c r="E90" s="14">
        <v>1</v>
      </c>
      <c r="F90" s="14">
        <v>362</v>
      </c>
      <c r="G90" s="14">
        <v>87</v>
      </c>
      <c r="H90" s="14">
        <v>4984</v>
      </c>
      <c r="I90" s="14">
        <v>0.998666252922218</v>
      </c>
      <c r="J90" s="14">
        <v>0.999997675348157</v>
      </c>
      <c r="K90" s="14">
        <v>0.158252365529942</v>
      </c>
      <c r="L90" s="14" t="s">
        <v>8714</v>
      </c>
      <c r="M90" s="14" t="str">
        <f>HYPERLINK("../../3.KEGG_map/Tetraploid-vs-Diploid/ko03013.html","ko03013")</f>
        <v>ko03013</v>
      </c>
    </row>
    <row r="91" spans="1:13">
      <c r="A91" s="14" t="s">
        <v>9156</v>
      </c>
      <c r="B91" s="14" t="s">
        <v>9157</v>
      </c>
      <c r="C91" s="14" t="s">
        <v>21507</v>
      </c>
      <c r="D91" s="14" t="s">
        <v>21508</v>
      </c>
      <c r="E91" s="14">
        <v>3</v>
      </c>
      <c r="F91" s="14">
        <v>362</v>
      </c>
      <c r="G91" s="14">
        <v>100</v>
      </c>
      <c r="H91" s="14">
        <v>4984</v>
      </c>
      <c r="I91" s="14">
        <v>0.980063845758513</v>
      </c>
      <c r="J91" s="14">
        <v>0.999997675348157</v>
      </c>
      <c r="K91" s="14">
        <v>0.413038674033149</v>
      </c>
      <c r="L91" s="14" t="s">
        <v>22066</v>
      </c>
      <c r="M91" s="14" t="str">
        <f>HYPERLINK("../../3.KEGG_map/Tetraploid-vs-Diploid/ko03015.html","ko03015")</f>
        <v>ko03015</v>
      </c>
    </row>
    <row r="92" spans="1:13">
      <c r="A92" s="14" t="s">
        <v>6666</v>
      </c>
      <c r="B92" s="14" t="s">
        <v>6667</v>
      </c>
      <c r="C92" s="14" t="s">
        <v>21507</v>
      </c>
      <c r="D92" s="14" t="s">
        <v>21548</v>
      </c>
      <c r="E92" s="14">
        <v>2</v>
      </c>
      <c r="F92" s="14">
        <v>362</v>
      </c>
      <c r="G92" s="14">
        <v>83</v>
      </c>
      <c r="H92" s="14">
        <v>4984</v>
      </c>
      <c r="I92" s="14">
        <v>0.98618793961012</v>
      </c>
      <c r="J92" s="14">
        <v>0.999997675348157</v>
      </c>
      <c r="K92" s="14">
        <v>0.331757971110963</v>
      </c>
      <c r="L92" s="14" t="s">
        <v>22067</v>
      </c>
      <c r="M92" s="14" t="str">
        <f>HYPERLINK("../../3.KEGG_map/Tetraploid-vs-Diploid/ko03018.html","ko03018")</f>
        <v>ko03018</v>
      </c>
    </row>
    <row r="93" spans="1:13">
      <c r="A93" s="14" t="s">
        <v>2112</v>
      </c>
      <c r="B93" s="14" t="s">
        <v>2113</v>
      </c>
      <c r="C93" s="14" t="s">
        <v>21507</v>
      </c>
      <c r="D93" s="14" t="s">
        <v>21550</v>
      </c>
      <c r="E93" s="14">
        <v>1</v>
      </c>
      <c r="F93" s="14">
        <v>362</v>
      </c>
      <c r="G93" s="14">
        <v>57</v>
      </c>
      <c r="H93" s="14">
        <v>4984</v>
      </c>
      <c r="I93" s="14">
        <v>0.98674498672929</v>
      </c>
      <c r="J93" s="14">
        <v>0.999997675348157</v>
      </c>
      <c r="K93" s="14">
        <v>0.241543084229912</v>
      </c>
      <c r="L93" s="14" t="s">
        <v>4163</v>
      </c>
      <c r="M93" s="14" t="str">
        <f>HYPERLINK("../../3.KEGG_map/Tetraploid-vs-Diploid/ko03020.html","ko03020")</f>
        <v>ko03020</v>
      </c>
    </row>
    <row r="94" spans="1:13">
      <c r="A94" s="14" t="s">
        <v>14157</v>
      </c>
      <c r="B94" s="14" t="s">
        <v>14158</v>
      </c>
      <c r="C94" s="14" t="s">
        <v>21507</v>
      </c>
      <c r="D94" s="14" t="s">
        <v>21559</v>
      </c>
      <c r="E94" s="14">
        <v>4</v>
      </c>
      <c r="F94" s="14">
        <v>362</v>
      </c>
      <c r="G94" s="14">
        <v>47</v>
      </c>
      <c r="H94" s="14">
        <v>4984</v>
      </c>
      <c r="I94" s="14">
        <v>0.448380558813169</v>
      </c>
      <c r="J94" s="14">
        <v>0.999997675348157</v>
      </c>
      <c r="K94" s="14">
        <v>1.17174091924298</v>
      </c>
      <c r="L94" s="14" t="s">
        <v>22068</v>
      </c>
      <c r="M94" s="14" t="str">
        <f>HYPERLINK("../../3.KEGG_map/Tetraploid-vs-Diploid/ko03030.html","ko03030")</f>
        <v>ko03030</v>
      </c>
    </row>
    <row r="95" spans="1:13">
      <c r="A95" s="14" t="s">
        <v>21552</v>
      </c>
      <c r="B95" s="14" t="s">
        <v>21553</v>
      </c>
      <c r="C95" s="14" t="s">
        <v>21507</v>
      </c>
      <c r="D95" s="14" t="s">
        <v>21550</v>
      </c>
      <c r="E95" s="14">
        <v>2</v>
      </c>
      <c r="F95" s="14">
        <v>362</v>
      </c>
      <c r="G95" s="14">
        <v>156</v>
      </c>
      <c r="H95" s="14">
        <v>4984</v>
      </c>
      <c r="I95" s="14">
        <v>0.999912534236358</v>
      </c>
      <c r="J95" s="14">
        <v>0.999997675348157</v>
      </c>
      <c r="K95" s="14">
        <v>0.17651225386032</v>
      </c>
      <c r="L95" s="14" t="s">
        <v>22069</v>
      </c>
      <c r="M95" s="14" t="str">
        <f>HYPERLINK("../../3.KEGG_map/Tetraploid-vs-Diploid/ko03040.html","ko03040")</f>
        <v>ko03040</v>
      </c>
    </row>
    <row r="96" spans="1:13">
      <c r="A96" s="14" t="s">
        <v>7744</v>
      </c>
      <c r="B96" s="14" t="s">
        <v>7745</v>
      </c>
      <c r="C96" s="14" t="s">
        <v>21507</v>
      </c>
      <c r="D96" s="14" t="s">
        <v>21548</v>
      </c>
      <c r="E96" s="14">
        <v>3</v>
      </c>
      <c r="F96" s="14">
        <v>362</v>
      </c>
      <c r="G96" s="14">
        <v>42</v>
      </c>
      <c r="H96" s="14">
        <v>4984</v>
      </c>
      <c r="I96" s="14">
        <v>0.597729166650901</v>
      </c>
      <c r="J96" s="14">
        <v>0.999997675348157</v>
      </c>
      <c r="K96" s="14">
        <v>0.983425414364641</v>
      </c>
      <c r="L96" s="14" t="s">
        <v>22070</v>
      </c>
      <c r="M96" s="14" t="str">
        <f>HYPERLINK("../../3.KEGG_map/Tetraploid-vs-Diploid/ko03060.html","ko03060")</f>
        <v>ko03060</v>
      </c>
    </row>
    <row r="97" spans="1:13">
      <c r="A97" s="14" t="s">
        <v>22071</v>
      </c>
      <c r="B97" s="14" t="s">
        <v>22072</v>
      </c>
      <c r="C97" s="14" t="s">
        <v>21533</v>
      </c>
      <c r="D97" s="14" t="s">
        <v>21534</v>
      </c>
      <c r="E97" s="14">
        <v>2</v>
      </c>
      <c r="F97" s="14">
        <v>362</v>
      </c>
      <c r="G97" s="14">
        <v>15</v>
      </c>
      <c r="H97" s="14">
        <v>4984</v>
      </c>
      <c r="I97" s="14">
        <v>0.298229205917408</v>
      </c>
      <c r="J97" s="14">
        <v>0.999997675348157</v>
      </c>
      <c r="K97" s="14">
        <v>1.83572744014733</v>
      </c>
      <c r="L97" s="14" t="s">
        <v>22073</v>
      </c>
      <c r="M97" s="14" t="str">
        <f>HYPERLINK("../../3.KEGG_map/Tetraploid-vs-Diploid/ko03070.html","ko03070")</f>
        <v>ko03070</v>
      </c>
    </row>
    <row r="98" spans="1:13">
      <c r="A98" s="14" t="s">
        <v>14789</v>
      </c>
      <c r="B98" s="14" t="s">
        <v>14790</v>
      </c>
      <c r="C98" s="14" t="s">
        <v>21507</v>
      </c>
      <c r="D98" s="14" t="s">
        <v>21559</v>
      </c>
      <c r="E98" s="14">
        <v>3</v>
      </c>
      <c r="F98" s="14">
        <v>362</v>
      </c>
      <c r="G98" s="14">
        <v>47</v>
      </c>
      <c r="H98" s="14">
        <v>4984</v>
      </c>
      <c r="I98" s="14">
        <v>0.674379603969123</v>
      </c>
      <c r="J98" s="14">
        <v>0.999997675348157</v>
      </c>
      <c r="K98" s="14">
        <v>0.878805689432232</v>
      </c>
      <c r="L98" s="14" t="s">
        <v>22074</v>
      </c>
      <c r="M98" s="14" t="str">
        <f>HYPERLINK("../../3.KEGG_map/Tetraploid-vs-Diploid/ko03410.html","ko03410")</f>
        <v>ko03410</v>
      </c>
    </row>
    <row r="99" spans="1:13">
      <c r="A99" s="14" t="s">
        <v>21560</v>
      </c>
      <c r="B99" s="14" t="s">
        <v>21561</v>
      </c>
      <c r="C99" s="14" t="s">
        <v>21507</v>
      </c>
      <c r="D99" s="14" t="s">
        <v>21559</v>
      </c>
      <c r="E99" s="14">
        <v>3</v>
      </c>
      <c r="F99" s="14">
        <v>362</v>
      </c>
      <c r="G99" s="14">
        <v>70</v>
      </c>
      <c r="H99" s="14">
        <v>4984</v>
      </c>
      <c r="I99" s="14">
        <v>0.893050472752334</v>
      </c>
      <c r="J99" s="14">
        <v>0.999997675348157</v>
      </c>
      <c r="K99" s="14">
        <v>0.590055248618785</v>
      </c>
      <c r="L99" s="14" t="s">
        <v>22075</v>
      </c>
      <c r="M99" s="14" t="str">
        <f>HYPERLINK("../../3.KEGG_map/Tetraploid-vs-Diploid/ko03420.html","ko03420")</f>
        <v>ko03420</v>
      </c>
    </row>
    <row r="100" spans="1:13">
      <c r="A100" s="14" t="s">
        <v>21562</v>
      </c>
      <c r="B100" s="14" t="s">
        <v>21563</v>
      </c>
      <c r="C100" s="14" t="s">
        <v>21507</v>
      </c>
      <c r="D100" s="14" t="s">
        <v>21559</v>
      </c>
      <c r="E100" s="14">
        <v>3</v>
      </c>
      <c r="F100" s="14">
        <v>362</v>
      </c>
      <c r="G100" s="14">
        <v>39</v>
      </c>
      <c r="H100" s="14">
        <v>4984</v>
      </c>
      <c r="I100" s="14">
        <v>0.546456558526095</v>
      </c>
      <c r="J100" s="14">
        <v>0.999997675348157</v>
      </c>
      <c r="K100" s="14">
        <v>1.05907352316192</v>
      </c>
      <c r="L100" s="14" t="s">
        <v>22075</v>
      </c>
      <c r="M100" s="14" t="str">
        <f>HYPERLINK("../../3.KEGG_map/Tetraploid-vs-Diploid/ko03430.html","ko03430")</f>
        <v>ko03430</v>
      </c>
    </row>
    <row r="101" spans="1:13">
      <c r="A101" s="14" t="s">
        <v>6442</v>
      </c>
      <c r="B101" s="14" t="s">
        <v>6443</v>
      </c>
      <c r="C101" s="14" t="s">
        <v>21507</v>
      </c>
      <c r="D101" s="14" t="s">
        <v>21559</v>
      </c>
      <c r="E101" s="14">
        <v>1</v>
      </c>
      <c r="F101" s="14">
        <v>362</v>
      </c>
      <c r="G101" s="14">
        <v>50</v>
      </c>
      <c r="H101" s="14">
        <v>4984</v>
      </c>
      <c r="I101" s="14">
        <v>0.977396425705342</v>
      </c>
      <c r="J101" s="14">
        <v>0.999997675348157</v>
      </c>
      <c r="K101" s="14">
        <v>0.275359116022099</v>
      </c>
      <c r="L101" s="14" t="s">
        <v>3585</v>
      </c>
      <c r="M101" s="14" t="str">
        <f>HYPERLINK("../../3.KEGG_map/Tetraploid-vs-Diploid/ko03440.html","ko03440")</f>
        <v>ko03440</v>
      </c>
    </row>
    <row r="102" spans="1:13">
      <c r="A102" s="14" t="s">
        <v>2231</v>
      </c>
      <c r="B102" s="14" t="s">
        <v>2232</v>
      </c>
      <c r="C102" s="14" t="s">
        <v>21507</v>
      </c>
      <c r="D102" s="14" t="s">
        <v>21559</v>
      </c>
      <c r="E102" s="14">
        <v>3</v>
      </c>
      <c r="F102" s="14">
        <v>362</v>
      </c>
      <c r="G102" s="14">
        <v>44</v>
      </c>
      <c r="H102" s="14">
        <v>4984</v>
      </c>
      <c r="I102" s="14">
        <v>0.629740782440373</v>
      </c>
      <c r="J102" s="14">
        <v>0.999997675348157</v>
      </c>
      <c r="K102" s="14">
        <v>0.938724259166248</v>
      </c>
      <c r="L102" s="14" t="s">
        <v>22076</v>
      </c>
      <c r="M102" s="14" t="str">
        <f>HYPERLINK("../../3.KEGG_map/Tetraploid-vs-Diploid/ko03460.html","ko03460")</f>
        <v>ko03460</v>
      </c>
    </row>
    <row r="103" spans="1:13">
      <c r="A103" s="14" t="s">
        <v>1768</v>
      </c>
      <c r="B103" s="14" t="s">
        <v>1769</v>
      </c>
      <c r="C103" s="14" t="s">
        <v>21533</v>
      </c>
      <c r="D103" s="14" t="s">
        <v>21538</v>
      </c>
      <c r="E103" s="14">
        <v>4</v>
      </c>
      <c r="F103" s="14">
        <v>362</v>
      </c>
      <c r="G103" s="14">
        <v>33</v>
      </c>
      <c r="H103" s="14">
        <v>4984</v>
      </c>
      <c r="I103" s="14">
        <v>0.215184643329637</v>
      </c>
      <c r="J103" s="14">
        <v>0.999997675348157</v>
      </c>
      <c r="K103" s="14">
        <v>1.66884312740666</v>
      </c>
      <c r="L103" s="14" t="s">
        <v>22077</v>
      </c>
      <c r="M103" s="14" t="str">
        <f>HYPERLINK("../../3.KEGG_map/Tetraploid-vs-Diploid/ko04010.html","ko04010")</f>
        <v>ko04010</v>
      </c>
    </row>
    <row r="104" spans="1:13">
      <c r="A104" s="14" t="s">
        <v>22078</v>
      </c>
      <c r="B104" s="14" t="s">
        <v>22079</v>
      </c>
      <c r="C104" s="14" t="s">
        <v>21533</v>
      </c>
      <c r="D104" s="14" t="s">
        <v>21538</v>
      </c>
      <c r="E104" s="14">
        <v>2</v>
      </c>
      <c r="F104" s="14">
        <v>362</v>
      </c>
      <c r="G104" s="14">
        <v>30</v>
      </c>
      <c r="H104" s="14">
        <v>4984</v>
      </c>
      <c r="I104" s="14">
        <v>0.652069420441335</v>
      </c>
      <c r="J104" s="14">
        <v>0.999997675348157</v>
      </c>
      <c r="K104" s="14">
        <v>0.917863720073665</v>
      </c>
      <c r="L104" s="14" t="s">
        <v>22080</v>
      </c>
      <c r="M104" s="14" t="str">
        <f>HYPERLINK("../../3.KEGG_map/Tetraploid-vs-Diploid/ko04011.html","ko04011")</f>
        <v>ko04011</v>
      </c>
    </row>
    <row r="105" spans="1:13">
      <c r="A105" s="14" t="s">
        <v>21566</v>
      </c>
      <c r="B105" s="14" t="s">
        <v>21567</v>
      </c>
      <c r="C105" s="14" t="s">
        <v>21533</v>
      </c>
      <c r="D105" s="14" t="s">
        <v>21538</v>
      </c>
      <c r="E105" s="14">
        <v>1</v>
      </c>
      <c r="F105" s="14">
        <v>362</v>
      </c>
      <c r="G105" s="14">
        <v>7</v>
      </c>
      <c r="H105" s="14">
        <v>4984</v>
      </c>
      <c r="I105" s="14">
        <v>0.410315240267262</v>
      </c>
      <c r="J105" s="14">
        <v>0.999997675348157</v>
      </c>
      <c r="K105" s="14">
        <v>1.96685082872928</v>
      </c>
      <c r="L105" s="14" t="s">
        <v>4297</v>
      </c>
      <c r="M105" s="14" t="str">
        <f>HYPERLINK("../../3.KEGG_map/Tetraploid-vs-Diploid/ko04012.html","ko04012")</f>
        <v>ko04012</v>
      </c>
    </row>
    <row r="106" spans="1:13">
      <c r="A106" s="14" t="s">
        <v>21568</v>
      </c>
      <c r="B106" s="14" t="s">
        <v>21569</v>
      </c>
      <c r="C106" s="14" t="s">
        <v>21533</v>
      </c>
      <c r="D106" s="14" t="s">
        <v>21538</v>
      </c>
      <c r="E106" s="14">
        <v>1</v>
      </c>
      <c r="F106" s="14">
        <v>362</v>
      </c>
      <c r="G106" s="14">
        <v>36</v>
      </c>
      <c r="H106" s="14">
        <v>4984</v>
      </c>
      <c r="I106" s="14">
        <v>0.934423571377083</v>
      </c>
      <c r="J106" s="14">
        <v>0.999997675348157</v>
      </c>
      <c r="K106" s="14">
        <v>0.38244321669736</v>
      </c>
      <c r="L106" s="14" t="s">
        <v>4297</v>
      </c>
      <c r="M106" s="14" t="str">
        <f>HYPERLINK("../../3.KEGG_map/Tetraploid-vs-Diploid/ko04013.html","ko04013")</f>
        <v>ko04013</v>
      </c>
    </row>
    <row r="107" spans="1:13">
      <c r="A107" s="14" t="s">
        <v>21571</v>
      </c>
      <c r="B107" s="14" t="s">
        <v>21572</v>
      </c>
      <c r="C107" s="14" t="s">
        <v>21533</v>
      </c>
      <c r="D107" s="14" t="s">
        <v>21538</v>
      </c>
      <c r="E107" s="14">
        <v>4</v>
      </c>
      <c r="F107" s="14">
        <v>362</v>
      </c>
      <c r="G107" s="14">
        <v>40</v>
      </c>
      <c r="H107" s="14">
        <v>4984</v>
      </c>
      <c r="I107" s="14">
        <v>0.330479932491223</v>
      </c>
      <c r="J107" s="14">
        <v>0.999997675348157</v>
      </c>
      <c r="K107" s="14">
        <v>1.3767955801105</v>
      </c>
      <c r="L107" s="14" t="s">
        <v>22081</v>
      </c>
      <c r="M107" s="14" t="str">
        <f>HYPERLINK("../../3.KEGG_map/Tetraploid-vs-Diploid/ko04014.html","ko04014")</f>
        <v>ko04014</v>
      </c>
    </row>
    <row r="108" spans="1:13">
      <c r="A108" s="14" t="s">
        <v>21574</v>
      </c>
      <c r="B108" s="14" t="s">
        <v>21575</v>
      </c>
      <c r="C108" s="14" t="s">
        <v>21533</v>
      </c>
      <c r="D108" s="14" t="s">
        <v>21538</v>
      </c>
      <c r="E108" s="14">
        <v>2</v>
      </c>
      <c r="F108" s="14">
        <v>362</v>
      </c>
      <c r="G108" s="14">
        <v>20</v>
      </c>
      <c r="H108" s="14">
        <v>4984</v>
      </c>
      <c r="I108" s="14">
        <v>0.432247988214107</v>
      </c>
      <c r="J108" s="14">
        <v>0.999997675348157</v>
      </c>
      <c r="K108" s="14">
        <v>1.3767955801105</v>
      </c>
      <c r="L108" s="14" t="s">
        <v>22082</v>
      </c>
      <c r="M108" s="14" t="str">
        <f>HYPERLINK("../../3.KEGG_map/Tetraploid-vs-Diploid/ko04015.html","ko04015")</f>
        <v>ko04015</v>
      </c>
    </row>
    <row r="109" spans="1:13">
      <c r="A109" s="14" t="s">
        <v>6537</v>
      </c>
      <c r="B109" s="14" t="s">
        <v>6538</v>
      </c>
      <c r="C109" s="14" t="s">
        <v>21533</v>
      </c>
      <c r="D109" s="14" t="s">
        <v>21538</v>
      </c>
      <c r="E109" s="14">
        <v>7</v>
      </c>
      <c r="F109" s="14">
        <v>362</v>
      </c>
      <c r="G109" s="14">
        <v>114</v>
      </c>
      <c r="H109" s="14">
        <v>4984</v>
      </c>
      <c r="I109" s="14">
        <v>0.732361707290913</v>
      </c>
      <c r="J109" s="14">
        <v>0.999997675348157</v>
      </c>
      <c r="K109" s="14">
        <v>0.845400794804691</v>
      </c>
      <c r="L109" s="14" t="s">
        <v>22083</v>
      </c>
      <c r="M109" s="14" t="str">
        <f>HYPERLINK("../../3.KEGG_map/Tetraploid-vs-Diploid/ko04016.html","ko04016")</f>
        <v>ko04016</v>
      </c>
    </row>
    <row r="110" spans="1:13">
      <c r="A110" s="14" t="s">
        <v>21578</v>
      </c>
      <c r="B110" s="14" t="s">
        <v>21579</v>
      </c>
      <c r="C110" s="14" t="s">
        <v>21533</v>
      </c>
      <c r="D110" s="14" t="s">
        <v>21538</v>
      </c>
      <c r="E110" s="14">
        <v>4</v>
      </c>
      <c r="F110" s="14">
        <v>362</v>
      </c>
      <c r="G110" s="14">
        <v>28</v>
      </c>
      <c r="H110" s="14">
        <v>4984</v>
      </c>
      <c r="I110" s="14">
        <v>0.141572283992836</v>
      </c>
      <c r="J110" s="14">
        <v>0.961823531177483</v>
      </c>
      <c r="K110" s="14">
        <v>1.96685082872928</v>
      </c>
      <c r="L110" s="14" t="s">
        <v>22084</v>
      </c>
      <c r="M110" s="14" t="str">
        <f>HYPERLINK("../../3.KEGG_map/Tetraploid-vs-Diploid/ko04020.html","ko04020")</f>
        <v>ko04020</v>
      </c>
    </row>
    <row r="111" spans="1:13">
      <c r="A111" s="14" t="s">
        <v>21580</v>
      </c>
      <c r="B111" s="14" t="s">
        <v>21581</v>
      </c>
      <c r="C111" s="14" t="s">
        <v>21533</v>
      </c>
      <c r="D111" s="14" t="s">
        <v>21538</v>
      </c>
      <c r="E111" s="14">
        <v>3</v>
      </c>
      <c r="F111" s="14">
        <v>362</v>
      </c>
      <c r="G111" s="14">
        <v>30</v>
      </c>
      <c r="H111" s="14">
        <v>4984</v>
      </c>
      <c r="I111" s="14">
        <v>0.373461258939019</v>
      </c>
      <c r="J111" s="14">
        <v>0.999997675348157</v>
      </c>
      <c r="K111" s="14">
        <v>1.3767955801105</v>
      </c>
      <c r="L111" s="14" t="s">
        <v>22085</v>
      </c>
      <c r="M111" s="14" t="str">
        <f>HYPERLINK("../../3.KEGG_map/Tetraploid-vs-Diploid/ko04022.html","ko04022")</f>
        <v>ko04022</v>
      </c>
    </row>
    <row r="112" spans="1:13">
      <c r="A112" s="14" t="s">
        <v>21583</v>
      </c>
      <c r="B112" s="14" t="s">
        <v>21584</v>
      </c>
      <c r="C112" s="14" t="s">
        <v>21533</v>
      </c>
      <c r="D112" s="14" t="s">
        <v>21538</v>
      </c>
      <c r="E112" s="14">
        <v>4</v>
      </c>
      <c r="F112" s="14">
        <v>362</v>
      </c>
      <c r="G112" s="14">
        <v>41</v>
      </c>
      <c r="H112" s="14">
        <v>4984</v>
      </c>
      <c r="I112" s="14">
        <v>0.34743427709599</v>
      </c>
      <c r="J112" s="14">
        <v>0.999997675348157</v>
      </c>
      <c r="K112" s="14">
        <v>1.3432152001078</v>
      </c>
      <c r="L112" s="14" t="s">
        <v>22081</v>
      </c>
      <c r="M112" s="14" t="str">
        <f>HYPERLINK("../../3.KEGG_map/Tetraploid-vs-Diploid/ko04024.html","ko04024")</f>
        <v>ko04024</v>
      </c>
    </row>
    <row r="113" spans="1:13">
      <c r="A113" s="14" t="s">
        <v>21586</v>
      </c>
      <c r="B113" s="14" t="s">
        <v>21587</v>
      </c>
      <c r="C113" s="14" t="s">
        <v>21556</v>
      </c>
      <c r="D113" s="14" t="s">
        <v>21588</v>
      </c>
      <c r="E113" s="14">
        <v>1</v>
      </c>
      <c r="F113" s="14">
        <v>362</v>
      </c>
      <c r="G113" s="14">
        <v>14</v>
      </c>
      <c r="H113" s="14">
        <v>4984</v>
      </c>
      <c r="I113" s="14">
        <v>0.652540262344045</v>
      </c>
      <c r="J113" s="14">
        <v>0.999997675348157</v>
      </c>
      <c r="K113" s="14">
        <v>0.983425414364641</v>
      </c>
      <c r="L113" s="14" t="s">
        <v>4297</v>
      </c>
      <c r="M113" s="14" t="str">
        <f>HYPERLINK("../../3.KEGG_map/Tetraploid-vs-Diploid/ko04062.html","ko04062")</f>
        <v>ko04062</v>
      </c>
    </row>
    <row r="114" spans="1:13">
      <c r="A114" s="14" t="s">
        <v>21590</v>
      </c>
      <c r="B114" s="14" t="s">
        <v>21591</v>
      </c>
      <c r="C114" s="14" t="s">
        <v>21533</v>
      </c>
      <c r="D114" s="14" t="s">
        <v>21538</v>
      </c>
      <c r="E114" s="14">
        <v>6</v>
      </c>
      <c r="F114" s="14">
        <v>362</v>
      </c>
      <c r="G114" s="14">
        <v>53</v>
      </c>
      <c r="H114" s="14">
        <v>4984</v>
      </c>
      <c r="I114" s="14">
        <v>0.184128225408705</v>
      </c>
      <c r="J114" s="14">
        <v>0.999997675348157</v>
      </c>
      <c r="K114" s="14">
        <v>1.55863650578547</v>
      </c>
      <c r="L114" s="14" t="s">
        <v>22086</v>
      </c>
      <c r="M114" s="14" t="str">
        <f>HYPERLINK("../../3.KEGG_map/Tetraploid-vs-Diploid/ko04066.html","ko04066")</f>
        <v>ko04066</v>
      </c>
    </row>
    <row r="115" spans="1:13">
      <c r="A115" s="14" t="s">
        <v>21593</v>
      </c>
      <c r="B115" s="14" t="s">
        <v>21594</v>
      </c>
      <c r="C115" s="14" t="s">
        <v>21533</v>
      </c>
      <c r="D115" s="14" t="s">
        <v>21538</v>
      </c>
      <c r="E115" s="14">
        <v>3</v>
      </c>
      <c r="F115" s="14">
        <v>362</v>
      </c>
      <c r="G115" s="14">
        <v>43</v>
      </c>
      <c r="H115" s="14">
        <v>4984</v>
      </c>
      <c r="I115" s="14">
        <v>0.613957473808301</v>
      </c>
      <c r="J115" s="14">
        <v>0.999997675348157</v>
      </c>
      <c r="K115" s="14">
        <v>0.960555055891045</v>
      </c>
      <c r="L115" s="14" t="s">
        <v>22087</v>
      </c>
      <c r="M115" s="14" t="str">
        <f>HYPERLINK("../../3.KEGG_map/Tetraploid-vs-Diploid/ko04068.html","ko04068")</f>
        <v>ko04068</v>
      </c>
    </row>
    <row r="116" spans="1:13">
      <c r="A116" s="14" t="s">
        <v>6814</v>
      </c>
      <c r="B116" s="14" t="s">
        <v>6815</v>
      </c>
      <c r="C116" s="14" t="s">
        <v>21533</v>
      </c>
      <c r="D116" s="14" t="s">
        <v>21538</v>
      </c>
      <c r="E116" s="14">
        <v>4</v>
      </c>
      <c r="F116" s="14">
        <v>362</v>
      </c>
      <c r="G116" s="14">
        <v>43</v>
      </c>
      <c r="H116" s="14">
        <v>4984</v>
      </c>
      <c r="I116" s="14">
        <v>0.381351737885575</v>
      </c>
      <c r="J116" s="14">
        <v>0.999997675348157</v>
      </c>
      <c r="K116" s="14">
        <v>1.28074007452139</v>
      </c>
      <c r="L116" s="14" t="s">
        <v>22088</v>
      </c>
      <c r="M116" s="14" t="str">
        <f>HYPERLINK("../../3.KEGG_map/Tetraploid-vs-Diploid/ko04070.html","ko04070")</f>
        <v>ko04070</v>
      </c>
    </row>
    <row r="117" spans="1:13">
      <c r="A117" s="14" t="s">
        <v>21596</v>
      </c>
      <c r="B117" s="14" t="s">
        <v>21597</v>
      </c>
      <c r="C117" s="14" t="s">
        <v>21533</v>
      </c>
      <c r="D117" s="14" t="s">
        <v>21538</v>
      </c>
      <c r="E117" s="14">
        <v>3</v>
      </c>
      <c r="F117" s="14">
        <v>362</v>
      </c>
      <c r="G117" s="14">
        <v>56</v>
      </c>
      <c r="H117" s="14">
        <v>4984</v>
      </c>
      <c r="I117" s="14">
        <v>0.784188261621937</v>
      </c>
      <c r="J117" s="14">
        <v>0.999997675348157</v>
      </c>
      <c r="K117" s="14">
        <v>0.737569060773481</v>
      </c>
      <c r="L117" s="14" t="s">
        <v>22089</v>
      </c>
      <c r="M117" s="14" t="str">
        <f>HYPERLINK("../../3.KEGG_map/Tetraploid-vs-Diploid/ko04071.html","ko04071")</f>
        <v>ko04071</v>
      </c>
    </row>
    <row r="118" spans="1:13">
      <c r="A118" s="14" t="s">
        <v>21599</v>
      </c>
      <c r="B118" s="14" t="s">
        <v>21600</v>
      </c>
      <c r="C118" s="14" t="s">
        <v>21533</v>
      </c>
      <c r="D118" s="14" t="s">
        <v>21538</v>
      </c>
      <c r="E118" s="14">
        <v>4</v>
      </c>
      <c r="F118" s="14">
        <v>362</v>
      </c>
      <c r="G118" s="14">
        <v>41</v>
      </c>
      <c r="H118" s="14">
        <v>4984</v>
      </c>
      <c r="I118" s="14">
        <v>0.34743427709599</v>
      </c>
      <c r="J118" s="14">
        <v>0.999997675348157</v>
      </c>
      <c r="K118" s="14">
        <v>1.3432152001078</v>
      </c>
      <c r="L118" s="14" t="s">
        <v>22090</v>
      </c>
      <c r="M118" s="14" t="str">
        <f>HYPERLINK("../../3.KEGG_map/Tetraploid-vs-Diploid/ko04072.html","ko04072")</f>
        <v>ko04072</v>
      </c>
    </row>
    <row r="119" spans="1:13">
      <c r="A119" s="14" t="s">
        <v>341</v>
      </c>
      <c r="B119" s="14" t="s">
        <v>342</v>
      </c>
      <c r="C119" s="14" t="s">
        <v>21533</v>
      </c>
      <c r="D119" s="14" t="s">
        <v>21538</v>
      </c>
      <c r="E119" s="14">
        <v>13</v>
      </c>
      <c r="F119" s="14">
        <v>362</v>
      </c>
      <c r="G119" s="14">
        <v>229</v>
      </c>
      <c r="H119" s="14">
        <v>4984</v>
      </c>
      <c r="I119" s="14">
        <v>0.861097921453881</v>
      </c>
      <c r="J119" s="14">
        <v>0.999997675348157</v>
      </c>
      <c r="K119" s="14">
        <v>0.781587010543077</v>
      </c>
      <c r="L119" s="14" t="s">
        <v>22091</v>
      </c>
      <c r="M119" s="14" t="str">
        <f>HYPERLINK("../../3.KEGG_map/Tetraploid-vs-Diploid/ko04075.html","ko04075")</f>
        <v>ko04075</v>
      </c>
    </row>
    <row r="120" spans="1:13">
      <c r="A120" s="14" t="s">
        <v>13244</v>
      </c>
      <c r="B120" s="14" t="s">
        <v>13245</v>
      </c>
      <c r="C120" s="14" t="s">
        <v>21542</v>
      </c>
      <c r="D120" s="14" t="s">
        <v>21603</v>
      </c>
      <c r="E120" s="14">
        <v>4</v>
      </c>
      <c r="F120" s="14">
        <v>362</v>
      </c>
      <c r="G120" s="14">
        <v>119</v>
      </c>
      <c r="H120" s="14">
        <v>4984</v>
      </c>
      <c r="I120" s="14">
        <v>0.977714899774076</v>
      </c>
      <c r="J120" s="14">
        <v>0.999997675348157</v>
      </c>
      <c r="K120" s="14">
        <v>0.462788430289243</v>
      </c>
      <c r="L120" s="14" t="s">
        <v>22092</v>
      </c>
      <c r="M120" s="14" t="str">
        <f>HYPERLINK("../../3.KEGG_map/Tetraploid-vs-Diploid/ko04110.html","ko04110")</f>
        <v>ko04110</v>
      </c>
    </row>
    <row r="121" spans="1:13">
      <c r="A121" s="14" t="s">
        <v>8739</v>
      </c>
      <c r="B121" s="14" t="s">
        <v>8740</v>
      </c>
      <c r="C121" s="14" t="s">
        <v>21542</v>
      </c>
      <c r="D121" s="14" t="s">
        <v>21603</v>
      </c>
      <c r="E121" s="14">
        <v>4</v>
      </c>
      <c r="F121" s="14">
        <v>362</v>
      </c>
      <c r="G121" s="14">
        <v>84</v>
      </c>
      <c r="H121" s="14">
        <v>4984</v>
      </c>
      <c r="I121" s="14">
        <v>0.869513230813961</v>
      </c>
      <c r="J121" s="14">
        <v>0.999997675348157</v>
      </c>
      <c r="K121" s="14">
        <v>0.655616942909761</v>
      </c>
      <c r="L121" s="14" t="s">
        <v>22093</v>
      </c>
      <c r="M121" s="14" t="str">
        <f>HYPERLINK("../../3.KEGG_map/Tetraploid-vs-Diploid/ko04111.html","ko04111")</f>
        <v>ko04111</v>
      </c>
    </row>
    <row r="122" spans="1:13">
      <c r="A122" s="14" t="s">
        <v>10403</v>
      </c>
      <c r="B122" s="14" t="s">
        <v>10404</v>
      </c>
      <c r="C122" s="14" t="s">
        <v>21542</v>
      </c>
      <c r="D122" s="14" t="s">
        <v>21603</v>
      </c>
      <c r="E122" s="14">
        <v>3</v>
      </c>
      <c r="F122" s="14">
        <v>362</v>
      </c>
      <c r="G122" s="14">
        <v>23</v>
      </c>
      <c r="H122" s="14">
        <v>4984</v>
      </c>
      <c r="I122" s="14">
        <v>0.23129784074518</v>
      </c>
      <c r="J122" s="14">
        <v>0.999997675348157</v>
      </c>
      <c r="K122" s="14">
        <v>1.79582032188326</v>
      </c>
      <c r="L122" s="14" t="s">
        <v>22094</v>
      </c>
      <c r="M122" s="14" t="str">
        <f>HYPERLINK("../../3.KEGG_map/Tetraploid-vs-Diploid/ko04112.html","ko04112")</f>
        <v>ko04112</v>
      </c>
    </row>
    <row r="123" spans="1:13">
      <c r="A123" s="14" t="s">
        <v>9480</v>
      </c>
      <c r="B123" s="14" t="s">
        <v>9481</v>
      </c>
      <c r="C123" s="14" t="s">
        <v>21542</v>
      </c>
      <c r="D123" s="14" t="s">
        <v>21603</v>
      </c>
      <c r="E123" s="14">
        <v>6</v>
      </c>
      <c r="F123" s="14">
        <v>362</v>
      </c>
      <c r="G123" s="14">
        <v>64</v>
      </c>
      <c r="H123" s="14">
        <v>4984</v>
      </c>
      <c r="I123" s="14">
        <v>0.319697964633949</v>
      </c>
      <c r="J123" s="14">
        <v>0.999997675348157</v>
      </c>
      <c r="K123" s="14">
        <v>1.29074585635359</v>
      </c>
      <c r="L123" s="14" t="s">
        <v>22095</v>
      </c>
      <c r="M123" s="14" t="str">
        <f>HYPERLINK("../../3.KEGG_map/Tetraploid-vs-Diploid/ko04113.html","ko04113")</f>
        <v>ko04113</v>
      </c>
    </row>
    <row r="124" spans="1:13">
      <c r="A124" s="14" t="s">
        <v>21607</v>
      </c>
      <c r="B124" s="14" t="s">
        <v>21608</v>
      </c>
      <c r="C124" s="14" t="s">
        <v>21542</v>
      </c>
      <c r="D124" s="14" t="s">
        <v>21603</v>
      </c>
      <c r="E124" s="14">
        <v>2</v>
      </c>
      <c r="F124" s="14">
        <v>362</v>
      </c>
      <c r="G124" s="14">
        <v>75</v>
      </c>
      <c r="H124" s="14">
        <v>4984</v>
      </c>
      <c r="I124" s="14">
        <v>0.976667169111261</v>
      </c>
      <c r="J124" s="14">
        <v>0.999997675348157</v>
      </c>
      <c r="K124" s="14">
        <v>0.367145488029466</v>
      </c>
      <c r="L124" s="14" t="s">
        <v>22082</v>
      </c>
      <c r="M124" s="14" t="str">
        <f>HYPERLINK("../../3.KEGG_map/Tetraploid-vs-Diploid/ko04114.html","ko04114")</f>
        <v>ko04114</v>
      </c>
    </row>
    <row r="125" spans="1:13">
      <c r="A125" s="14" t="s">
        <v>387</v>
      </c>
      <c r="B125" s="14" t="s">
        <v>388</v>
      </c>
      <c r="C125" s="14" t="s">
        <v>21507</v>
      </c>
      <c r="D125" s="14" t="s">
        <v>21548</v>
      </c>
      <c r="E125" s="14">
        <v>3</v>
      </c>
      <c r="F125" s="14">
        <v>362</v>
      </c>
      <c r="G125" s="14">
        <v>98</v>
      </c>
      <c r="H125" s="14">
        <v>4984</v>
      </c>
      <c r="I125" s="14">
        <v>0.977574652821339</v>
      </c>
      <c r="J125" s="14">
        <v>0.999997675348157</v>
      </c>
      <c r="K125" s="14">
        <v>0.421468034727703</v>
      </c>
      <c r="L125" s="14" t="s">
        <v>22096</v>
      </c>
      <c r="M125" s="14" t="str">
        <f>HYPERLINK("../../3.KEGG_map/Tetraploid-vs-Diploid/ko04120.html","ko04120")</f>
        <v>ko04120</v>
      </c>
    </row>
    <row r="126" spans="1:13">
      <c r="A126" s="14" t="s">
        <v>242</v>
      </c>
      <c r="B126" s="14" t="s">
        <v>243</v>
      </c>
      <c r="C126" s="14" t="s">
        <v>21507</v>
      </c>
      <c r="D126" s="14" t="s">
        <v>21548</v>
      </c>
      <c r="E126" s="14">
        <v>2</v>
      </c>
      <c r="F126" s="14">
        <v>362</v>
      </c>
      <c r="G126" s="14">
        <v>27</v>
      </c>
      <c r="H126" s="14">
        <v>4984</v>
      </c>
      <c r="I126" s="14">
        <v>0.594048722105872</v>
      </c>
      <c r="J126" s="14">
        <v>0.999997675348157</v>
      </c>
      <c r="K126" s="14">
        <v>1.01984857785963</v>
      </c>
      <c r="L126" s="14" t="s">
        <v>22097</v>
      </c>
      <c r="M126" s="14" t="str">
        <f>HYPERLINK("../../3.KEGG_map/Tetraploid-vs-Diploid/ko04130.html","ko04130")</f>
        <v>ko04130</v>
      </c>
    </row>
    <row r="127" spans="1:13">
      <c r="A127" s="14" t="s">
        <v>22098</v>
      </c>
      <c r="B127" s="14" t="s">
        <v>22099</v>
      </c>
      <c r="C127" s="14" t="s">
        <v>21542</v>
      </c>
      <c r="D127" s="14" t="s">
        <v>21616</v>
      </c>
      <c r="E127" s="14">
        <v>1</v>
      </c>
      <c r="F127" s="14">
        <v>362</v>
      </c>
      <c r="G127" s="14">
        <v>32</v>
      </c>
      <c r="H127" s="14">
        <v>4984</v>
      </c>
      <c r="I127" s="14">
        <v>0.911149253039301</v>
      </c>
      <c r="J127" s="14">
        <v>0.999997675348157</v>
      </c>
      <c r="K127" s="14">
        <v>0.43024861878453</v>
      </c>
      <c r="L127" s="14" t="s">
        <v>8640</v>
      </c>
      <c r="M127" s="14" t="str">
        <f>HYPERLINK("../../3.KEGG_map/Tetraploid-vs-Diploid/ko04136.html","ko04136")</f>
        <v>ko04136</v>
      </c>
    </row>
    <row r="128" spans="1:13">
      <c r="A128" s="14" t="s">
        <v>22100</v>
      </c>
      <c r="B128" s="14" t="s">
        <v>22101</v>
      </c>
      <c r="C128" s="14" t="s">
        <v>21542</v>
      </c>
      <c r="D128" s="14" t="s">
        <v>21616</v>
      </c>
      <c r="E128" s="14">
        <v>3</v>
      </c>
      <c r="F128" s="14">
        <v>362</v>
      </c>
      <c r="G128" s="14">
        <v>32</v>
      </c>
      <c r="H128" s="14">
        <v>4984</v>
      </c>
      <c r="I128" s="14">
        <v>0.413780976145957</v>
      </c>
      <c r="J128" s="14">
        <v>0.999997675348157</v>
      </c>
      <c r="K128" s="14">
        <v>1.29074585635359</v>
      </c>
      <c r="L128" s="14" t="s">
        <v>22102</v>
      </c>
      <c r="M128" s="14" t="str">
        <f>HYPERLINK("../../3.KEGG_map/Tetraploid-vs-Diploid/ko04137.html","ko04137")</f>
        <v>ko04137</v>
      </c>
    </row>
    <row r="129" spans="1:13">
      <c r="A129" s="14" t="s">
        <v>22103</v>
      </c>
      <c r="B129" s="14" t="s">
        <v>22104</v>
      </c>
      <c r="C129" s="14" t="s">
        <v>21542</v>
      </c>
      <c r="D129" s="14" t="s">
        <v>21616</v>
      </c>
      <c r="E129" s="14">
        <v>3</v>
      </c>
      <c r="F129" s="14">
        <v>362</v>
      </c>
      <c r="G129" s="14">
        <v>64</v>
      </c>
      <c r="H129" s="14">
        <v>4984</v>
      </c>
      <c r="I129" s="14">
        <v>0.854337258504919</v>
      </c>
      <c r="J129" s="14">
        <v>0.999997675348157</v>
      </c>
      <c r="K129" s="14">
        <v>0.645372928176796</v>
      </c>
      <c r="L129" s="14" t="s">
        <v>22102</v>
      </c>
      <c r="M129" s="14" t="str">
        <f>HYPERLINK("../../3.KEGG_map/Tetraploid-vs-Diploid/ko04138.html","ko04138")</f>
        <v>ko04138</v>
      </c>
    </row>
    <row r="130" spans="1:13">
      <c r="A130" s="14" t="s">
        <v>22105</v>
      </c>
      <c r="B130" s="14" t="s">
        <v>22106</v>
      </c>
      <c r="C130" s="14" t="s">
        <v>21542</v>
      </c>
      <c r="D130" s="14" t="s">
        <v>21616</v>
      </c>
      <c r="E130" s="14">
        <v>1</v>
      </c>
      <c r="F130" s="14">
        <v>362</v>
      </c>
      <c r="G130" s="14">
        <v>34</v>
      </c>
      <c r="H130" s="14">
        <v>4984</v>
      </c>
      <c r="I130" s="14">
        <v>0.9236659571917</v>
      </c>
      <c r="J130" s="14">
        <v>0.999997675348157</v>
      </c>
      <c r="K130" s="14">
        <v>0.404939876503087</v>
      </c>
      <c r="L130" s="14" t="s">
        <v>8640</v>
      </c>
      <c r="M130" s="14" t="str">
        <f>HYPERLINK("../../3.KEGG_map/Tetraploid-vs-Diploid/ko04139.html","ko04139")</f>
        <v>ko04139</v>
      </c>
    </row>
    <row r="131" spans="1:13">
      <c r="A131" s="14" t="s">
        <v>21614</v>
      </c>
      <c r="B131" s="14" t="s">
        <v>21615</v>
      </c>
      <c r="C131" s="14" t="s">
        <v>21542</v>
      </c>
      <c r="D131" s="14" t="s">
        <v>21616</v>
      </c>
      <c r="E131" s="14">
        <v>4</v>
      </c>
      <c r="F131" s="14">
        <v>362</v>
      </c>
      <c r="G131" s="14">
        <v>61</v>
      </c>
      <c r="H131" s="14">
        <v>4984</v>
      </c>
      <c r="I131" s="14">
        <v>0.656676792323231</v>
      </c>
      <c r="J131" s="14">
        <v>0.999997675348157</v>
      </c>
      <c r="K131" s="14">
        <v>0.902816773842949</v>
      </c>
      <c r="L131" s="14" t="s">
        <v>22107</v>
      </c>
      <c r="M131" s="14" t="str">
        <f>HYPERLINK("../../3.KEGG_map/Tetraploid-vs-Diploid/ko04140.html","ko04140")</f>
        <v>ko04140</v>
      </c>
    </row>
    <row r="132" spans="1:13">
      <c r="A132" s="14" t="s">
        <v>480</v>
      </c>
      <c r="B132" s="14" t="s">
        <v>481</v>
      </c>
      <c r="C132" s="14" t="s">
        <v>21507</v>
      </c>
      <c r="D132" s="14" t="s">
        <v>21548</v>
      </c>
      <c r="E132" s="14">
        <v>9</v>
      </c>
      <c r="F132" s="14">
        <v>362</v>
      </c>
      <c r="G132" s="14">
        <v>168</v>
      </c>
      <c r="H132" s="14">
        <v>4984</v>
      </c>
      <c r="I132" s="14">
        <v>0.871633225167493</v>
      </c>
      <c r="J132" s="14">
        <v>0.999997675348157</v>
      </c>
      <c r="K132" s="14">
        <v>0.737569060773481</v>
      </c>
      <c r="L132" s="14" t="s">
        <v>22108</v>
      </c>
      <c r="M132" s="14" t="str">
        <f>HYPERLINK("../../3.KEGG_map/Tetraploid-vs-Diploid/ko04141.html","ko04141")</f>
        <v>ko04141</v>
      </c>
    </row>
    <row r="133" spans="1:13">
      <c r="A133" s="14" t="s">
        <v>3282</v>
      </c>
      <c r="B133" s="14" t="s">
        <v>3283</v>
      </c>
      <c r="C133" s="14" t="s">
        <v>21542</v>
      </c>
      <c r="D133" s="14" t="s">
        <v>21616</v>
      </c>
      <c r="E133" s="14">
        <v>5</v>
      </c>
      <c r="F133" s="14">
        <v>362</v>
      </c>
      <c r="G133" s="14">
        <v>60</v>
      </c>
      <c r="H133" s="14">
        <v>4984</v>
      </c>
      <c r="I133" s="14">
        <v>0.44364316886068</v>
      </c>
      <c r="J133" s="14">
        <v>0.999997675348157</v>
      </c>
      <c r="K133" s="14">
        <v>1.14732965009208</v>
      </c>
      <c r="L133" s="14" t="s">
        <v>22109</v>
      </c>
      <c r="M133" s="14" t="str">
        <f>HYPERLINK("../../3.KEGG_map/Tetraploid-vs-Diploid/ko04142.html","ko04142")</f>
        <v>ko04142</v>
      </c>
    </row>
    <row r="134" spans="1:13">
      <c r="A134" s="14" t="s">
        <v>5536</v>
      </c>
      <c r="B134" s="14" t="s">
        <v>5537</v>
      </c>
      <c r="C134" s="14" t="s">
        <v>21542</v>
      </c>
      <c r="D134" s="14" t="s">
        <v>21616</v>
      </c>
      <c r="E134" s="14">
        <v>9</v>
      </c>
      <c r="F134" s="14">
        <v>362</v>
      </c>
      <c r="G134" s="14">
        <v>129</v>
      </c>
      <c r="H134" s="14">
        <v>4984</v>
      </c>
      <c r="I134" s="14">
        <v>0.600699713617557</v>
      </c>
      <c r="J134" s="14">
        <v>0.999997675348157</v>
      </c>
      <c r="K134" s="14">
        <v>0.960555055891045</v>
      </c>
      <c r="L134" s="14" t="s">
        <v>22110</v>
      </c>
      <c r="M134" s="14" t="str">
        <f>HYPERLINK("../../3.KEGG_map/Tetraploid-vs-Diploid/ko04144.html","ko04144")</f>
        <v>ko04144</v>
      </c>
    </row>
    <row r="135" spans="1:13">
      <c r="A135" s="14" t="s">
        <v>21620</v>
      </c>
      <c r="B135" s="14" t="s">
        <v>21621</v>
      </c>
      <c r="C135" s="14" t="s">
        <v>21542</v>
      </c>
      <c r="D135" s="14" t="s">
        <v>21616</v>
      </c>
      <c r="E135" s="14">
        <v>4</v>
      </c>
      <c r="F135" s="14">
        <v>362</v>
      </c>
      <c r="G135" s="14">
        <v>63</v>
      </c>
      <c r="H135" s="14">
        <v>4984</v>
      </c>
      <c r="I135" s="14">
        <v>0.681739197550841</v>
      </c>
      <c r="J135" s="14">
        <v>0.999997675348157</v>
      </c>
      <c r="K135" s="14">
        <v>0.874155923879681</v>
      </c>
      <c r="L135" s="14" t="s">
        <v>22111</v>
      </c>
      <c r="M135" s="14" t="str">
        <f>HYPERLINK("../../3.KEGG_map/Tetraploid-vs-Diploid/ko04145.html","ko04145")</f>
        <v>ko04145</v>
      </c>
    </row>
    <row r="136" spans="1:13">
      <c r="A136" s="14" t="s">
        <v>21623</v>
      </c>
      <c r="B136" s="14" t="s">
        <v>21624</v>
      </c>
      <c r="C136" s="14" t="s">
        <v>21542</v>
      </c>
      <c r="D136" s="14" t="s">
        <v>21616</v>
      </c>
      <c r="E136" s="14">
        <v>2</v>
      </c>
      <c r="F136" s="14">
        <v>362</v>
      </c>
      <c r="G136" s="14">
        <v>65</v>
      </c>
      <c r="H136" s="14">
        <v>4984</v>
      </c>
      <c r="I136" s="14">
        <v>0.95565991758935</v>
      </c>
      <c r="J136" s="14">
        <v>0.999997675348157</v>
      </c>
      <c r="K136" s="14">
        <v>0.423629409264768</v>
      </c>
      <c r="L136" s="14" t="s">
        <v>22112</v>
      </c>
      <c r="M136" s="14" t="str">
        <f>HYPERLINK("../../3.KEGG_map/Tetraploid-vs-Diploid/ko04146.html","ko04146")</f>
        <v>ko04146</v>
      </c>
    </row>
    <row r="137" spans="1:13">
      <c r="A137" s="14" t="s">
        <v>21626</v>
      </c>
      <c r="B137" s="14" t="s">
        <v>21627</v>
      </c>
      <c r="C137" s="14" t="s">
        <v>21533</v>
      </c>
      <c r="D137" s="14" t="s">
        <v>21538</v>
      </c>
      <c r="E137" s="14">
        <v>2</v>
      </c>
      <c r="F137" s="14">
        <v>362</v>
      </c>
      <c r="G137" s="14">
        <v>49</v>
      </c>
      <c r="H137" s="14">
        <v>4984</v>
      </c>
      <c r="I137" s="14">
        <v>0.881011383206558</v>
      </c>
      <c r="J137" s="14">
        <v>0.999997675348157</v>
      </c>
      <c r="K137" s="14">
        <v>0.561957379636938</v>
      </c>
      <c r="L137" s="14" t="s">
        <v>22113</v>
      </c>
      <c r="M137" s="14" t="str">
        <f>HYPERLINK("../../3.KEGG_map/Tetraploid-vs-Diploid/ko04150.html","ko04150")</f>
        <v>ko04150</v>
      </c>
    </row>
    <row r="138" spans="1:13">
      <c r="A138" s="14" t="s">
        <v>21628</v>
      </c>
      <c r="B138" s="14" t="s">
        <v>21629</v>
      </c>
      <c r="C138" s="14" t="s">
        <v>21533</v>
      </c>
      <c r="D138" s="14" t="s">
        <v>21538</v>
      </c>
      <c r="E138" s="14">
        <v>3</v>
      </c>
      <c r="F138" s="14">
        <v>362</v>
      </c>
      <c r="G138" s="14">
        <v>70</v>
      </c>
      <c r="H138" s="14">
        <v>4984</v>
      </c>
      <c r="I138" s="14">
        <v>0.893050472752334</v>
      </c>
      <c r="J138" s="14">
        <v>0.999997675348157</v>
      </c>
      <c r="K138" s="14">
        <v>0.590055248618785</v>
      </c>
      <c r="L138" s="14" t="s">
        <v>22114</v>
      </c>
      <c r="M138" s="14" t="str">
        <f>HYPERLINK("../../3.KEGG_map/Tetraploid-vs-Diploid/ko04151.html","ko04151")</f>
        <v>ko04151</v>
      </c>
    </row>
    <row r="139" spans="1:13">
      <c r="A139" s="14" t="s">
        <v>21631</v>
      </c>
      <c r="B139" s="14" t="s">
        <v>21632</v>
      </c>
      <c r="C139" s="14" t="s">
        <v>21533</v>
      </c>
      <c r="D139" s="14" t="s">
        <v>21538</v>
      </c>
      <c r="E139" s="14">
        <v>3</v>
      </c>
      <c r="F139" s="14">
        <v>362</v>
      </c>
      <c r="G139" s="14">
        <v>63</v>
      </c>
      <c r="H139" s="14">
        <v>4984</v>
      </c>
      <c r="I139" s="14">
        <v>0.846811213835625</v>
      </c>
      <c r="J139" s="14">
        <v>0.999997675348157</v>
      </c>
      <c r="K139" s="14">
        <v>0.655616942909761</v>
      </c>
      <c r="L139" s="14" t="s">
        <v>22115</v>
      </c>
      <c r="M139" s="14" t="str">
        <f>HYPERLINK("../../3.KEGG_map/Tetraploid-vs-Diploid/ko04152.html","ko04152")</f>
        <v>ko04152</v>
      </c>
    </row>
    <row r="140" spans="1:13">
      <c r="A140" s="14" t="s">
        <v>21633</v>
      </c>
      <c r="B140" s="14" t="s">
        <v>21634</v>
      </c>
      <c r="C140" s="14" t="s">
        <v>21542</v>
      </c>
      <c r="D140" s="14" t="s">
        <v>21603</v>
      </c>
      <c r="E140" s="14">
        <v>3</v>
      </c>
      <c r="F140" s="14">
        <v>362</v>
      </c>
      <c r="G140" s="14">
        <v>24</v>
      </c>
      <c r="H140" s="14">
        <v>4984</v>
      </c>
      <c r="I140" s="14">
        <v>0.251228483333687</v>
      </c>
      <c r="J140" s="14">
        <v>0.999997675348157</v>
      </c>
      <c r="K140" s="14">
        <v>1.72099447513812</v>
      </c>
      <c r="L140" s="14" t="s">
        <v>22116</v>
      </c>
      <c r="M140" s="14" t="str">
        <f>HYPERLINK("../../3.KEGG_map/Tetraploid-vs-Diploid/ko04210.html","ko04210")</f>
        <v>ko04210</v>
      </c>
    </row>
    <row r="141" spans="1:13">
      <c r="A141" s="14" t="s">
        <v>22117</v>
      </c>
      <c r="B141" s="14" t="s">
        <v>22118</v>
      </c>
      <c r="C141" s="14" t="s">
        <v>21556</v>
      </c>
      <c r="D141" s="14" t="s">
        <v>21638</v>
      </c>
      <c r="E141" s="14">
        <v>1</v>
      </c>
      <c r="F141" s="14">
        <v>362</v>
      </c>
      <c r="G141" s="14">
        <v>29</v>
      </c>
      <c r="H141" s="14">
        <v>4984</v>
      </c>
      <c r="I141" s="14">
        <v>0.888436159858074</v>
      </c>
      <c r="J141" s="14">
        <v>0.999997675348157</v>
      </c>
      <c r="K141" s="14">
        <v>0.474757096589827</v>
      </c>
      <c r="L141" s="14" t="s">
        <v>8883</v>
      </c>
      <c r="M141" s="14" t="str">
        <f>HYPERLINK("../../3.KEGG_map/Tetraploid-vs-Diploid/ko04211.html","ko04211")</f>
        <v>ko04211</v>
      </c>
    </row>
    <row r="142" spans="1:13">
      <c r="A142" s="14" t="s">
        <v>21636</v>
      </c>
      <c r="B142" s="14" t="s">
        <v>21637</v>
      </c>
      <c r="C142" s="14" t="s">
        <v>21556</v>
      </c>
      <c r="D142" s="14" t="s">
        <v>21638</v>
      </c>
      <c r="E142" s="14">
        <v>3</v>
      </c>
      <c r="F142" s="14">
        <v>362</v>
      </c>
      <c r="G142" s="14">
        <v>87</v>
      </c>
      <c r="H142" s="14">
        <v>4984</v>
      </c>
      <c r="I142" s="14">
        <v>0.957722239813578</v>
      </c>
      <c r="J142" s="14">
        <v>0.999997675348157</v>
      </c>
      <c r="K142" s="14">
        <v>0.474757096589827</v>
      </c>
      <c r="L142" s="14" t="s">
        <v>22119</v>
      </c>
      <c r="M142" s="14" t="str">
        <f>HYPERLINK("../../3.KEGG_map/Tetraploid-vs-Diploid/ko04212.html","ko04212")</f>
        <v>ko04212</v>
      </c>
    </row>
    <row r="143" spans="1:13">
      <c r="A143" s="14" t="s">
        <v>5962</v>
      </c>
      <c r="B143" s="14" t="s">
        <v>5963</v>
      </c>
      <c r="C143" s="14" t="s">
        <v>21556</v>
      </c>
      <c r="D143" s="14" t="s">
        <v>21638</v>
      </c>
      <c r="E143" s="14">
        <v>5</v>
      </c>
      <c r="F143" s="14">
        <v>362</v>
      </c>
      <c r="G143" s="14">
        <v>33</v>
      </c>
      <c r="H143" s="14">
        <v>4984</v>
      </c>
      <c r="I143" s="14">
        <v>0.0871217892650302</v>
      </c>
      <c r="J143" s="14">
        <v>0.800958385178504</v>
      </c>
      <c r="K143" s="14">
        <v>2.08605390925833</v>
      </c>
      <c r="L143" s="14" t="s">
        <v>22120</v>
      </c>
      <c r="M143" s="14" t="str">
        <f>HYPERLINK("../../3.KEGG_map/Tetraploid-vs-Diploid/ko04213.html","ko04213")</f>
        <v>ko04213</v>
      </c>
    </row>
    <row r="144" spans="1:13">
      <c r="A144" s="14" t="s">
        <v>22121</v>
      </c>
      <c r="B144" s="14" t="s">
        <v>22122</v>
      </c>
      <c r="C144" s="14" t="s">
        <v>21542</v>
      </c>
      <c r="D144" s="14" t="s">
        <v>21603</v>
      </c>
      <c r="E144" s="14">
        <v>2</v>
      </c>
      <c r="F144" s="14">
        <v>362</v>
      </c>
      <c r="G144" s="14">
        <v>24</v>
      </c>
      <c r="H144" s="14">
        <v>4984</v>
      </c>
      <c r="I144" s="14">
        <v>0.529109957726775</v>
      </c>
      <c r="J144" s="14">
        <v>0.999997675348157</v>
      </c>
      <c r="K144" s="14">
        <v>1.14732965009208</v>
      </c>
      <c r="L144" s="14" t="s">
        <v>22123</v>
      </c>
      <c r="M144" s="14" t="str">
        <f>HYPERLINK("../../3.KEGG_map/Tetraploid-vs-Diploid/ko04216.html","ko04216")</f>
        <v>ko04216</v>
      </c>
    </row>
    <row r="145" spans="1:13">
      <c r="A145" s="14" t="s">
        <v>21643</v>
      </c>
      <c r="B145" s="14" t="s">
        <v>21644</v>
      </c>
      <c r="C145" s="14" t="s">
        <v>21542</v>
      </c>
      <c r="D145" s="14" t="s">
        <v>21603</v>
      </c>
      <c r="E145" s="14">
        <v>5</v>
      </c>
      <c r="F145" s="14">
        <v>362</v>
      </c>
      <c r="G145" s="14">
        <v>49</v>
      </c>
      <c r="H145" s="14">
        <v>4984</v>
      </c>
      <c r="I145" s="14">
        <v>0.281911785636239</v>
      </c>
      <c r="J145" s="14">
        <v>0.999997675348157</v>
      </c>
      <c r="K145" s="14">
        <v>1.40489344909234</v>
      </c>
      <c r="L145" s="14" t="s">
        <v>22124</v>
      </c>
      <c r="M145" s="14" t="str">
        <f>HYPERLINK("../../3.KEGG_map/Tetraploid-vs-Diploid/ko04217.html","ko04217")</f>
        <v>ko04217</v>
      </c>
    </row>
    <row r="146" spans="1:13">
      <c r="A146" s="14" t="s">
        <v>21646</v>
      </c>
      <c r="B146" s="14" t="s">
        <v>21647</v>
      </c>
      <c r="C146" s="14" t="s">
        <v>21542</v>
      </c>
      <c r="D146" s="14" t="s">
        <v>21603</v>
      </c>
      <c r="E146" s="14">
        <v>7</v>
      </c>
      <c r="F146" s="14">
        <v>362</v>
      </c>
      <c r="G146" s="14">
        <v>69</v>
      </c>
      <c r="H146" s="14">
        <v>4984</v>
      </c>
      <c r="I146" s="14">
        <v>0.232771347782525</v>
      </c>
      <c r="J146" s="14">
        <v>0.999997675348157</v>
      </c>
      <c r="K146" s="14">
        <v>1.39674913924253</v>
      </c>
      <c r="L146" s="14" t="s">
        <v>22125</v>
      </c>
      <c r="M146" s="14" t="str">
        <f>HYPERLINK("../../3.KEGG_map/Tetraploid-vs-Diploid/ko04218.html","ko04218")</f>
        <v>ko04218</v>
      </c>
    </row>
    <row r="147" spans="1:13">
      <c r="A147" s="14" t="s">
        <v>21652</v>
      </c>
      <c r="B147" s="14" t="s">
        <v>21653</v>
      </c>
      <c r="C147" s="14" t="s">
        <v>21556</v>
      </c>
      <c r="D147" s="14" t="s">
        <v>21651</v>
      </c>
      <c r="E147" s="14">
        <v>1</v>
      </c>
      <c r="F147" s="14">
        <v>362</v>
      </c>
      <c r="G147" s="14">
        <v>33</v>
      </c>
      <c r="H147" s="14">
        <v>4984</v>
      </c>
      <c r="I147" s="14">
        <v>0.917644400535216</v>
      </c>
      <c r="J147" s="14">
        <v>0.999997675348157</v>
      </c>
      <c r="K147" s="14">
        <v>0.417210781851666</v>
      </c>
      <c r="L147" s="14" t="s">
        <v>8484</v>
      </c>
      <c r="M147" s="14" t="str">
        <f>HYPERLINK("../../3.KEGG_map/Tetraploid-vs-Diploid/ko04261.html","ko04261")</f>
        <v>ko04261</v>
      </c>
    </row>
    <row r="148" spans="1:13">
      <c r="A148" s="14" t="s">
        <v>21654</v>
      </c>
      <c r="B148" s="14" t="s">
        <v>21655</v>
      </c>
      <c r="C148" s="14" t="s">
        <v>21556</v>
      </c>
      <c r="D148" s="14" t="s">
        <v>21651</v>
      </c>
      <c r="E148" s="14">
        <v>2</v>
      </c>
      <c r="F148" s="14">
        <v>362</v>
      </c>
      <c r="G148" s="14">
        <v>16</v>
      </c>
      <c r="H148" s="14">
        <v>4984</v>
      </c>
      <c r="I148" s="14">
        <v>0.325808689724875</v>
      </c>
      <c r="J148" s="14">
        <v>0.999997675348157</v>
      </c>
      <c r="K148" s="14">
        <v>1.72099447513812</v>
      </c>
      <c r="L148" s="14" t="s">
        <v>22082</v>
      </c>
      <c r="M148" s="14" t="str">
        <f>HYPERLINK("../../3.KEGG_map/Tetraploid-vs-Diploid/ko04270.html","ko04270")</f>
        <v>ko04270</v>
      </c>
    </row>
    <row r="149" spans="1:13">
      <c r="A149" s="14" t="s">
        <v>7012</v>
      </c>
      <c r="B149" s="14" t="s">
        <v>7013</v>
      </c>
      <c r="C149" s="14" t="s">
        <v>21533</v>
      </c>
      <c r="D149" s="14" t="s">
        <v>21538</v>
      </c>
      <c r="E149" s="14">
        <v>1</v>
      </c>
      <c r="F149" s="14">
        <v>362</v>
      </c>
      <c r="G149" s="14">
        <v>51</v>
      </c>
      <c r="H149" s="14">
        <v>4984</v>
      </c>
      <c r="I149" s="14">
        <v>0.979054815225947</v>
      </c>
      <c r="J149" s="14">
        <v>0.999997675348157</v>
      </c>
      <c r="K149" s="14">
        <v>0.269959917668725</v>
      </c>
      <c r="L149" s="14" t="s">
        <v>7009</v>
      </c>
      <c r="M149" s="14" t="str">
        <f>HYPERLINK("../../3.KEGG_map/Tetraploid-vs-Diploid/ko04310.html","ko04310")</f>
        <v>ko04310</v>
      </c>
    </row>
    <row r="150" spans="1:13">
      <c r="A150" s="14" t="s">
        <v>4730</v>
      </c>
      <c r="B150" s="14" t="s">
        <v>4731</v>
      </c>
      <c r="C150" s="14" t="s">
        <v>21556</v>
      </c>
      <c r="D150" s="14" t="s">
        <v>21659</v>
      </c>
      <c r="E150" s="14">
        <v>4</v>
      </c>
      <c r="F150" s="14">
        <v>362</v>
      </c>
      <c r="G150" s="14">
        <v>44</v>
      </c>
      <c r="H150" s="14">
        <v>4984</v>
      </c>
      <c r="I150" s="14">
        <v>0.398252255836649</v>
      </c>
      <c r="J150" s="14">
        <v>0.999997675348157</v>
      </c>
      <c r="K150" s="14">
        <v>1.251632345555</v>
      </c>
      <c r="L150" s="14" t="s">
        <v>22126</v>
      </c>
      <c r="M150" s="14" t="str">
        <f>HYPERLINK("../../3.KEGG_map/Tetraploid-vs-Diploid/ko04361.html","ko04361")</f>
        <v>ko04361</v>
      </c>
    </row>
    <row r="151" spans="1:13">
      <c r="A151" s="14" t="s">
        <v>21662</v>
      </c>
      <c r="B151" s="14" t="s">
        <v>21663</v>
      </c>
      <c r="C151" s="14" t="s">
        <v>21533</v>
      </c>
      <c r="D151" s="14" t="s">
        <v>21538</v>
      </c>
      <c r="E151" s="14">
        <v>1</v>
      </c>
      <c r="F151" s="14">
        <v>362</v>
      </c>
      <c r="G151" s="14">
        <v>17</v>
      </c>
      <c r="H151" s="14">
        <v>4984</v>
      </c>
      <c r="I151" s="14">
        <v>0.723081397609551</v>
      </c>
      <c r="J151" s="14">
        <v>0.999997675348157</v>
      </c>
      <c r="K151" s="14">
        <v>0.809879753006175</v>
      </c>
      <c r="L151" s="14" t="s">
        <v>4297</v>
      </c>
      <c r="M151" s="14" t="str">
        <f>HYPERLINK("../../3.KEGG_map/Tetraploid-vs-Diploid/ko04370.html","ko04370")</f>
        <v>ko04370</v>
      </c>
    </row>
    <row r="152" spans="1:13">
      <c r="A152" s="14" t="s">
        <v>21664</v>
      </c>
      <c r="B152" s="14" t="s">
        <v>21665</v>
      </c>
      <c r="C152" s="14" t="s">
        <v>21533</v>
      </c>
      <c r="D152" s="14" t="s">
        <v>21538</v>
      </c>
      <c r="E152" s="14">
        <v>2</v>
      </c>
      <c r="F152" s="14">
        <v>362</v>
      </c>
      <c r="G152" s="14">
        <v>28</v>
      </c>
      <c r="H152" s="14">
        <v>4984</v>
      </c>
      <c r="I152" s="14">
        <v>0.614157133528863</v>
      </c>
      <c r="J152" s="14">
        <v>0.999997675348157</v>
      </c>
      <c r="K152" s="14">
        <v>0.983425414364641</v>
      </c>
      <c r="L152" s="14" t="s">
        <v>22082</v>
      </c>
      <c r="M152" s="14" t="str">
        <f>HYPERLINK("../../3.KEGG_map/Tetraploid-vs-Diploid/ko04371.html","ko04371")</f>
        <v>ko04371</v>
      </c>
    </row>
    <row r="153" spans="1:13">
      <c r="A153" s="14" t="s">
        <v>21666</v>
      </c>
      <c r="B153" s="14" t="s">
        <v>21667</v>
      </c>
      <c r="C153" s="14" t="s">
        <v>21556</v>
      </c>
      <c r="D153" s="14" t="s">
        <v>21659</v>
      </c>
      <c r="E153" s="14">
        <v>3</v>
      </c>
      <c r="F153" s="14">
        <v>362</v>
      </c>
      <c r="G153" s="14">
        <v>19</v>
      </c>
      <c r="H153" s="14">
        <v>4984</v>
      </c>
      <c r="I153" s="14">
        <v>0.155515470347235</v>
      </c>
      <c r="J153" s="14">
        <v>0.968945075948278</v>
      </c>
      <c r="K153" s="14">
        <v>2.17388775806921</v>
      </c>
      <c r="L153" s="14" t="s">
        <v>22127</v>
      </c>
      <c r="M153" s="14" t="str">
        <f>HYPERLINK("../../3.KEGG_map/Tetraploid-vs-Diploid/ko04380.html","ko04380")</f>
        <v>ko04380</v>
      </c>
    </row>
    <row r="154" spans="1:13">
      <c r="A154" s="14" t="s">
        <v>22128</v>
      </c>
      <c r="B154" s="14" t="s">
        <v>22129</v>
      </c>
      <c r="C154" s="14" t="s">
        <v>21533</v>
      </c>
      <c r="D154" s="14" t="s">
        <v>21538</v>
      </c>
      <c r="E154" s="14">
        <v>1</v>
      </c>
      <c r="F154" s="14">
        <v>362</v>
      </c>
      <c r="G154" s="14">
        <v>30</v>
      </c>
      <c r="H154" s="14">
        <v>4984</v>
      </c>
      <c r="I154" s="14">
        <v>0.896586737079341</v>
      </c>
      <c r="J154" s="14">
        <v>0.999997675348157</v>
      </c>
      <c r="K154" s="14">
        <v>0.458931860036832</v>
      </c>
      <c r="L154" s="14" t="s">
        <v>4147</v>
      </c>
      <c r="M154" s="14" t="str">
        <f>HYPERLINK("../../3.KEGG_map/Tetraploid-vs-Diploid/ko04390.html","ko04390")</f>
        <v>ko04390</v>
      </c>
    </row>
    <row r="155" spans="1:13">
      <c r="A155" s="14" t="s">
        <v>22130</v>
      </c>
      <c r="B155" s="14" t="s">
        <v>22131</v>
      </c>
      <c r="C155" s="14" t="s">
        <v>21533</v>
      </c>
      <c r="D155" s="14" t="s">
        <v>21538</v>
      </c>
      <c r="E155" s="14">
        <v>1</v>
      </c>
      <c r="F155" s="14">
        <v>362</v>
      </c>
      <c r="G155" s="14">
        <v>24</v>
      </c>
      <c r="H155" s="14">
        <v>4984</v>
      </c>
      <c r="I155" s="14">
        <v>0.837011868411639</v>
      </c>
      <c r="J155" s="14">
        <v>0.999997675348157</v>
      </c>
      <c r="K155" s="14">
        <v>0.573664825046041</v>
      </c>
      <c r="L155" s="14" t="s">
        <v>4147</v>
      </c>
      <c r="M155" s="14" t="str">
        <f>HYPERLINK("../../3.KEGG_map/Tetraploid-vs-Diploid/ko04391.html","ko04391")</f>
        <v>ko04391</v>
      </c>
    </row>
    <row r="156" spans="1:13">
      <c r="A156" s="14" t="s">
        <v>22132</v>
      </c>
      <c r="B156" s="14" t="s">
        <v>22133</v>
      </c>
      <c r="C156" s="14" t="s">
        <v>21533</v>
      </c>
      <c r="D156" s="14" t="s">
        <v>21538</v>
      </c>
      <c r="E156" s="14">
        <v>1</v>
      </c>
      <c r="F156" s="14">
        <v>362</v>
      </c>
      <c r="G156" s="14">
        <v>8</v>
      </c>
      <c r="H156" s="14">
        <v>4984</v>
      </c>
      <c r="I156" s="14">
        <v>0.453205713046698</v>
      </c>
      <c r="J156" s="14">
        <v>0.999997675348157</v>
      </c>
      <c r="K156" s="14">
        <v>1.72099447513812</v>
      </c>
      <c r="L156" s="14" t="s">
        <v>4147</v>
      </c>
      <c r="M156" s="14" t="str">
        <f>HYPERLINK("../../3.KEGG_map/Tetraploid-vs-Diploid/ko04392.html","ko04392")</f>
        <v>ko04392</v>
      </c>
    </row>
    <row r="157" spans="1:13">
      <c r="A157" s="14" t="s">
        <v>21668</v>
      </c>
      <c r="B157" s="14" t="s">
        <v>21669</v>
      </c>
      <c r="C157" s="14" t="s">
        <v>21542</v>
      </c>
      <c r="D157" s="14" t="s">
        <v>21670</v>
      </c>
      <c r="E157" s="14">
        <v>1</v>
      </c>
      <c r="F157" s="14">
        <v>362</v>
      </c>
      <c r="G157" s="14">
        <v>30</v>
      </c>
      <c r="H157" s="14">
        <v>4984</v>
      </c>
      <c r="I157" s="14">
        <v>0.896586737079341</v>
      </c>
      <c r="J157" s="14">
        <v>0.999997675348157</v>
      </c>
      <c r="K157" s="14">
        <v>0.458931860036832</v>
      </c>
      <c r="L157" s="14" t="s">
        <v>4297</v>
      </c>
      <c r="M157" s="14" t="str">
        <f>HYPERLINK("../../3.KEGG_map/Tetraploid-vs-Diploid/ko04510.html","ko04510")</f>
        <v>ko04510</v>
      </c>
    </row>
    <row r="158" spans="1:13">
      <c r="A158" s="14" t="s">
        <v>5062</v>
      </c>
      <c r="B158" s="14" t="s">
        <v>5063</v>
      </c>
      <c r="C158" s="14" t="s">
        <v>21542</v>
      </c>
      <c r="D158" s="14" t="s">
        <v>21670</v>
      </c>
      <c r="E158" s="14">
        <v>1</v>
      </c>
      <c r="F158" s="14">
        <v>362</v>
      </c>
      <c r="G158" s="14">
        <v>17</v>
      </c>
      <c r="H158" s="14">
        <v>4984</v>
      </c>
      <c r="I158" s="14">
        <v>0.723081397609551</v>
      </c>
      <c r="J158" s="14">
        <v>0.999997675348157</v>
      </c>
      <c r="K158" s="14">
        <v>0.809879753006175</v>
      </c>
      <c r="L158" s="14" t="s">
        <v>5061</v>
      </c>
      <c r="M158" s="14" t="str">
        <f>HYPERLINK("../../3.KEGG_map/Tetraploid-vs-Diploid/ko04520.html","ko04520")</f>
        <v>ko04520</v>
      </c>
    </row>
    <row r="159" spans="1:13">
      <c r="A159" s="14" t="s">
        <v>21671</v>
      </c>
      <c r="B159" s="14" t="s">
        <v>21672</v>
      </c>
      <c r="C159" s="14" t="s">
        <v>21542</v>
      </c>
      <c r="D159" s="14" t="s">
        <v>21670</v>
      </c>
      <c r="E159" s="14">
        <v>1</v>
      </c>
      <c r="F159" s="14">
        <v>362</v>
      </c>
      <c r="G159" s="14">
        <v>47</v>
      </c>
      <c r="H159" s="14">
        <v>4984</v>
      </c>
      <c r="I159" s="14">
        <v>0.971593737592502</v>
      </c>
      <c r="J159" s="14">
        <v>0.999997675348157</v>
      </c>
      <c r="K159" s="14">
        <v>0.292935229810744</v>
      </c>
      <c r="L159" s="14" t="s">
        <v>15559</v>
      </c>
      <c r="M159" s="14" t="str">
        <f>HYPERLINK("../../3.KEGG_map/Tetraploid-vs-Diploid/ko04530.html","ko04530")</f>
        <v>ko04530</v>
      </c>
    </row>
    <row r="160" spans="1:13">
      <c r="A160" s="14" t="s">
        <v>21673</v>
      </c>
      <c r="B160" s="14" t="s">
        <v>21674</v>
      </c>
      <c r="C160" s="14" t="s">
        <v>21542</v>
      </c>
      <c r="D160" s="14" t="s">
        <v>21670</v>
      </c>
      <c r="E160" s="14">
        <v>2</v>
      </c>
      <c r="F160" s="14">
        <v>362</v>
      </c>
      <c r="G160" s="14">
        <v>19</v>
      </c>
      <c r="H160" s="14">
        <v>4984</v>
      </c>
      <c r="I160" s="14">
        <v>0.406393793757281</v>
      </c>
      <c r="J160" s="14">
        <v>0.999997675348157</v>
      </c>
      <c r="K160" s="14">
        <v>1.44925850537947</v>
      </c>
      <c r="L160" s="14" t="s">
        <v>22134</v>
      </c>
      <c r="M160" s="14" t="str">
        <f>HYPERLINK("../../3.KEGG_map/Tetraploid-vs-Diploid/ko04540.html","ko04540")</f>
        <v>ko04540</v>
      </c>
    </row>
    <row r="161" spans="1:13">
      <c r="A161" s="14" t="s">
        <v>4585</v>
      </c>
      <c r="B161" s="14" t="s">
        <v>4586</v>
      </c>
      <c r="C161" s="14" t="s">
        <v>21542</v>
      </c>
      <c r="D161" s="14" t="s">
        <v>21670</v>
      </c>
      <c r="E161" s="14">
        <v>1</v>
      </c>
      <c r="F161" s="14">
        <v>362</v>
      </c>
      <c r="G161" s="14">
        <v>7</v>
      </c>
      <c r="H161" s="14">
        <v>4984</v>
      </c>
      <c r="I161" s="14">
        <v>0.410315240267262</v>
      </c>
      <c r="J161" s="14">
        <v>0.999997675348157</v>
      </c>
      <c r="K161" s="14">
        <v>1.96685082872928</v>
      </c>
      <c r="L161" s="14" t="s">
        <v>4297</v>
      </c>
      <c r="M161" s="14" t="str">
        <f>HYPERLINK("../../3.KEGG_map/Tetraploid-vs-Diploid/ko04550.html","ko04550")</f>
        <v>ko04550</v>
      </c>
    </row>
    <row r="162" spans="1:13">
      <c r="A162" s="14" t="s">
        <v>15333</v>
      </c>
      <c r="B162" s="14" t="s">
        <v>15334</v>
      </c>
      <c r="C162" s="14" t="s">
        <v>21556</v>
      </c>
      <c r="D162" s="14" t="s">
        <v>21588</v>
      </c>
      <c r="E162" s="14">
        <v>5</v>
      </c>
      <c r="F162" s="14">
        <v>362</v>
      </c>
      <c r="G162" s="14">
        <v>48</v>
      </c>
      <c r="H162" s="14">
        <v>4984</v>
      </c>
      <c r="I162" s="14">
        <v>0.267608788644877</v>
      </c>
      <c r="J162" s="14">
        <v>0.999997675348157</v>
      </c>
      <c r="K162" s="14">
        <v>1.4341620626151</v>
      </c>
      <c r="L162" s="14" t="s">
        <v>22135</v>
      </c>
      <c r="M162" s="14" t="str">
        <f>HYPERLINK("../../3.KEGG_map/Tetraploid-vs-Diploid/ko04612.html","ko04612")</f>
        <v>ko04612</v>
      </c>
    </row>
    <row r="163" spans="1:13">
      <c r="A163" s="14" t="s">
        <v>21677</v>
      </c>
      <c r="B163" s="14" t="s">
        <v>21678</v>
      </c>
      <c r="C163" s="14" t="s">
        <v>21556</v>
      </c>
      <c r="D163" s="14" t="s">
        <v>21588</v>
      </c>
      <c r="E163" s="14">
        <v>2</v>
      </c>
      <c r="F163" s="14">
        <v>362</v>
      </c>
      <c r="G163" s="14">
        <v>60</v>
      </c>
      <c r="H163" s="14">
        <v>4984</v>
      </c>
      <c r="I163" s="14">
        <v>0.93927628756571</v>
      </c>
      <c r="J163" s="14">
        <v>0.999997675348157</v>
      </c>
      <c r="K163" s="14">
        <v>0.458931860036832</v>
      </c>
      <c r="L163" s="14" t="s">
        <v>22136</v>
      </c>
      <c r="M163" s="14" t="str">
        <f>HYPERLINK("../../3.KEGG_map/Tetraploid-vs-Diploid/ko04613.html","ko04613")</f>
        <v>ko04613</v>
      </c>
    </row>
    <row r="164" spans="1:13">
      <c r="A164" s="14" t="s">
        <v>3443</v>
      </c>
      <c r="B164" s="14" t="s">
        <v>3444</v>
      </c>
      <c r="C164" s="14" t="s">
        <v>21556</v>
      </c>
      <c r="D164" s="14" t="s">
        <v>21557</v>
      </c>
      <c r="E164" s="14">
        <v>3</v>
      </c>
      <c r="F164" s="14">
        <v>362</v>
      </c>
      <c r="G164" s="14">
        <v>8</v>
      </c>
      <c r="H164" s="14">
        <v>4984</v>
      </c>
      <c r="I164" s="14">
        <v>0.0161614587890002</v>
      </c>
      <c r="J164" s="14">
        <v>0.280176987088405</v>
      </c>
      <c r="K164" s="14">
        <v>5.16298342541436</v>
      </c>
      <c r="L164" s="14" t="s">
        <v>22137</v>
      </c>
      <c r="M164" s="14" t="str">
        <f>HYPERLINK("../../3.KEGG_map/Tetraploid-vs-Diploid/ko04614.html","ko04614")</f>
        <v>ko04614</v>
      </c>
    </row>
    <row r="165" spans="1:13">
      <c r="A165" s="14" t="s">
        <v>21680</v>
      </c>
      <c r="B165" s="14" t="s">
        <v>21681</v>
      </c>
      <c r="C165" s="14" t="s">
        <v>21556</v>
      </c>
      <c r="D165" s="14" t="s">
        <v>21588</v>
      </c>
      <c r="E165" s="14">
        <v>1</v>
      </c>
      <c r="F165" s="14">
        <v>362</v>
      </c>
      <c r="G165" s="14">
        <v>13</v>
      </c>
      <c r="H165" s="14">
        <v>4984</v>
      </c>
      <c r="I165" s="14">
        <v>0.625250085509274</v>
      </c>
      <c r="J165" s="14">
        <v>0.999997675348157</v>
      </c>
      <c r="K165" s="14">
        <v>1.05907352316192</v>
      </c>
      <c r="L165" s="14" t="s">
        <v>4297</v>
      </c>
      <c r="M165" s="14" t="str">
        <f>HYPERLINK("../../3.KEGG_map/Tetraploid-vs-Diploid/ko04620.html","ko04620")</f>
        <v>ko04620</v>
      </c>
    </row>
    <row r="166" spans="1:13">
      <c r="A166" s="14" t="s">
        <v>22138</v>
      </c>
      <c r="B166" s="14" t="s">
        <v>22139</v>
      </c>
      <c r="C166" s="14" t="s">
        <v>21556</v>
      </c>
      <c r="D166" s="14" t="s">
        <v>21588</v>
      </c>
      <c r="E166" s="14">
        <v>8</v>
      </c>
      <c r="F166" s="14">
        <v>362</v>
      </c>
      <c r="G166" s="14">
        <v>47</v>
      </c>
      <c r="H166" s="14">
        <v>4984</v>
      </c>
      <c r="I166" s="14">
        <v>0.0184559185169671</v>
      </c>
      <c r="J166" s="14">
        <v>0.280176987088405</v>
      </c>
      <c r="K166" s="14">
        <v>2.34348183848595</v>
      </c>
      <c r="L166" s="14" t="s">
        <v>22140</v>
      </c>
      <c r="M166" s="14" t="str">
        <f>HYPERLINK("../../3.KEGG_map/Tetraploid-vs-Diploid/ko04621.html","ko04621")</f>
        <v>ko04621</v>
      </c>
    </row>
    <row r="167" spans="1:13">
      <c r="A167" s="14" t="s">
        <v>22141</v>
      </c>
      <c r="B167" s="14" t="s">
        <v>22142</v>
      </c>
      <c r="C167" s="14" t="s">
        <v>21556</v>
      </c>
      <c r="D167" s="14" t="s">
        <v>21588</v>
      </c>
      <c r="E167" s="14">
        <v>1</v>
      </c>
      <c r="F167" s="14">
        <v>362</v>
      </c>
      <c r="G167" s="14">
        <v>6</v>
      </c>
      <c r="H167" s="14">
        <v>4984</v>
      </c>
      <c r="I167" s="14">
        <v>0.364070464915605</v>
      </c>
      <c r="J167" s="14">
        <v>0.999997675348157</v>
      </c>
      <c r="K167" s="14">
        <v>2.29465930018416</v>
      </c>
      <c r="L167" s="14" t="s">
        <v>4489</v>
      </c>
      <c r="M167" s="14" t="str">
        <f>HYPERLINK("../../3.KEGG_map/Tetraploid-vs-Diploid/ko04622.html","ko04622")</f>
        <v>ko04622</v>
      </c>
    </row>
    <row r="168" spans="1:13">
      <c r="A168" s="14" t="s">
        <v>21682</v>
      </c>
      <c r="B168" s="14" t="s">
        <v>21683</v>
      </c>
      <c r="C168" s="14" t="s">
        <v>21556</v>
      </c>
      <c r="D168" s="14" t="s">
        <v>21588</v>
      </c>
      <c r="E168" s="14">
        <v>1</v>
      </c>
      <c r="F168" s="14">
        <v>362</v>
      </c>
      <c r="G168" s="14">
        <v>18</v>
      </c>
      <c r="H168" s="14">
        <v>4984</v>
      </c>
      <c r="I168" s="14">
        <v>0.743263506340242</v>
      </c>
      <c r="J168" s="14">
        <v>0.999997675348157</v>
      </c>
      <c r="K168" s="14">
        <v>0.764886433394721</v>
      </c>
      <c r="L168" s="14" t="s">
        <v>4163</v>
      </c>
      <c r="M168" s="14" t="str">
        <f>HYPERLINK("../../3.KEGG_map/Tetraploid-vs-Diploid/ko04623.html","ko04623")</f>
        <v>ko04623</v>
      </c>
    </row>
    <row r="169" spans="1:13">
      <c r="A169" s="14" t="s">
        <v>21684</v>
      </c>
      <c r="B169" s="14" t="s">
        <v>21685</v>
      </c>
      <c r="C169" s="14" t="s">
        <v>21556</v>
      </c>
      <c r="D169" s="14" t="s">
        <v>21588</v>
      </c>
      <c r="E169" s="14">
        <v>1</v>
      </c>
      <c r="F169" s="14">
        <v>362</v>
      </c>
      <c r="G169" s="14">
        <v>11</v>
      </c>
      <c r="H169" s="14">
        <v>4984</v>
      </c>
      <c r="I169" s="14">
        <v>0.564091764590167</v>
      </c>
      <c r="J169" s="14">
        <v>0.999997675348157</v>
      </c>
      <c r="K169" s="14">
        <v>1.251632345555</v>
      </c>
      <c r="L169" s="14" t="s">
        <v>8484</v>
      </c>
      <c r="M169" s="14" t="str">
        <f>HYPERLINK("../../3.KEGG_map/Tetraploid-vs-Diploid/ko04625.html","ko04625")</f>
        <v>ko04625</v>
      </c>
    </row>
    <row r="170" spans="1:13">
      <c r="A170" s="14" t="s">
        <v>754</v>
      </c>
      <c r="B170" s="14" t="s">
        <v>755</v>
      </c>
      <c r="C170" s="14" t="s">
        <v>21556</v>
      </c>
      <c r="D170" s="14" t="s">
        <v>21686</v>
      </c>
      <c r="E170" s="14">
        <v>12</v>
      </c>
      <c r="F170" s="14">
        <v>362</v>
      </c>
      <c r="G170" s="14">
        <v>156</v>
      </c>
      <c r="H170" s="14">
        <v>4984</v>
      </c>
      <c r="I170" s="14">
        <v>0.462098174661196</v>
      </c>
      <c r="J170" s="14">
        <v>0.999997675348157</v>
      </c>
      <c r="K170" s="14">
        <v>1.05907352316192</v>
      </c>
      <c r="L170" s="14" t="s">
        <v>22143</v>
      </c>
      <c r="M170" s="14" t="str">
        <f>HYPERLINK("../../3.KEGG_map/Tetraploid-vs-Diploid/ko04626.html","ko04626")</f>
        <v>ko04626</v>
      </c>
    </row>
    <row r="171" spans="1:13">
      <c r="A171" s="14" t="s">
        <v>21688</v>
      </c>
      <c r="B171" s="14" t="s">
        <v>21689</v>
      </c>
      <c r="C171" s="14" t="s">
        <v>21556</v>
      </c>
      <c r="D171" s="14" t="s">
        <v>21588</v>
      </c>
      <c r="E171" s="14">
        <v>1</v>
      </c>
      <c r="F171" s="14">
        <v>362</v>
      </c>
      <c r="G171" s="14">
        <v>16</v>
      </c>
      <c r="H171" s="14">
        <v>4984</v>
      </c>
      <c r="I171" s="14">
        <v>0.701317495294019</v>
      </c>
      <c r="J171" s="14">
        <v>0.999997675348157</v>
      </c>
      <c r="K171" s="14">
        <v>0.860497237569061</v>
      </c>
      <c r="L171" s="14" t="s">
        <v>4297</v>
      </c>
      <c r="M171" s="14" t="str">
        <f>HYPERLINK("../../3.KEGG_map/Tetraploid-vs-Diploid/ko04650.html","ko04650")</f>
        <v>ko04650</v>
      </c>
    </row>
    <row r="172" spans="1:13">
      <c r="A172" s="14" t="s">
        <v>21690</v>
      </c>
      <c r="B172" s="14" t="s">
        <v>21691</v>
      </c>
      <c r="C172" s="14" t="s">
        <v>21556</v>
      </c>
      <c r="D172" s="14" t="s">
        <v>21588</v>
      </c>
      <c r="E172" s="14">
        <v>2</v>
      </c>
      <c r="F172" s="14">
        <v>362</v>
      </c>
      <c r="G172" s="14">
        <v>15</v>
      </c>
      <c r="H172" s="14">
        <v>4984</v>
      </c>
      <c r="I172" s="14">
        <v>0.298229205917408</v>
      </c>
      <c r="J172" s="14">
        <v>0.999997675348157</v>
      </c>
      <c r="K172" s="14">
        <v>1.83572744014733</v>
      </c>
      <c r="L172" s="14" t="s">
        <v>22144</v>
      </c>
      <c r="M172" s="14" t="str">
        <f>HYPERLINK("../../3.KEGG_map/Tetraploid-vs-Diploid/ko04657.html","ko04657")</f>
        <v>ko04657</v>
      </c>
    </row>
    <row r="173" spans="1:13">
      <c r="A173" s="14" t="s">
        <v>22145</v>
      </c>
      <c r="B173" s="14" t="s">
        <v>22146</v>
      </c>
      <c r="C173" s="14" t="s">
        <v>21556</v>
      </c>
      <c r="D173" s="14" t="s">
        <v>21588</v>
      </c>
      <c r="E173" s="14">
        <v>2</v>
      </c>
      <c r="F173" s="14">
        <v>362</v>
      </c>
      <c r="G173" s="14">
        <v>10</v>
      </c>
      <c r="H173" s="14">
        <v>4984</v>
      </c>
      <c r="I173" s="14">
        <v>0.16095313869424</v>
      </c>
      <c r="J173" s="14">
        <v>0.968945075948278</v>
      </c>
      <c r="K173" s="14">
        <v>2.75359116022099</v>
      </c>
      <c r="L173" s="14" t="s">
        <v>22144</v>
      </c>
      <c r="M173" s="14" t="str">
        <f>HYPERLINK("../../3.KEGG_map/Tetraploid-vs-Diploid/ko04659.html","ko04659")</f>
        <v>ko04659</v>
      </c>
    </row>
    <row r="174" spans="1:13">
      <c r="A174" s="14" t="s">
        <v>21692</v>
      </c>
      <c r="B174" s="14" t="s">
        <v>21693</v>
      </c>
      <c r="C174" s="14" t="s">
        <v>21556</v>
      </c>
      <c r="D174" s="14" t="s">
        <v>21588</v>
      </c>
      <c r="E174" s="14">
        <v>1</v>
      </c>
      <c r="F174" s="14">
        <v>362</v>
      </c>
      <c r="G174" s="14">
        <v>10</v>
      </c>
      <c r="H174" s="14">
        <v>4984</v>
      </c>
      <c r="I174" s="14">
        <v>0.529876937786533</v>
      </c>
      <c r="J174" s="14">
        <v>0.999997675348157</v>
      </c>
      <c r="K174" s="14">
        <v>1.3767955801105</v>
      </c>
      <c r="L174" s="14" t="s">
        <v>4297</v>
      </c>
      <c r="M174" s="14" t="str">
        <f>HYPERLINK("../../3.KEGG_map/Tetraploid-vs-Diploid/ko04660.html","ko04660")</f>
        <v>ko04660</v>
      </c>
    </row>
    <row r="175" spans="1:13">
      <c r="A175" s="14" t="s">
        <v>21694</v>
      </c>
      <c r="B175" s="14" t="s">
        <v>21695</v>
      </c>
      <c r="C175" s="14" t="s">
        <v>21556</v>
      </c>
      <c r="D175" s="14" t="s">
        <v>21588</v>
      </c>
      <c r="E175" s="14">
        <v>1</v>
      </c>
      <c r="F175" s="14">
        <v>362</v>
      </c>
      <c r="G175" s="14">
        <v>17</v>
      </c>
      <c r="H175" s="14">
        <v>4984</v>
      </c>
      <c r="I175" s="14">
        <v>0.723081397609551</v>
      </c>
      <c r="J175" s="14">
        <v>0.999997675348157</v>
      </c>
      <c r="K175" s="14">
        <v>0.809879753006175</v>
      </c>
      <c r="L175" s="14" t="s">
        <v>4297</v>
      </c>
      <c r="M175" s="14" t="str">
        <f>HYPERLINK("../../3.KEGG_map/Tetraploid-vs-Diploid/ko04662.html","ko04662")</f>
        <v>ko04662</v>
      </c>
    </row>
    <row r="176" spans="1:13">
      <c r="A176" s="14" t="s">
        <v>21696</v>
      </c>
      <c r="B176" s="14" t="s">
        <v>21697</v>
      </c>
      <c r="C176" s="14" t="s">
        <v>21556</v>
      </c>
      <c r="D176" s="14" t="s">
        <v>21588</v>
      </c>
      <c r="E176" s="14">
        <v>1</v>
      </c>
      <c r="F176" s="14">
        <v>362</v>
      </c>
      <c r="G176" s="14">
        <v>13</v>
      </c>
      <c r="H176" s="14">
        <v>4984</v>
      </c>
      <c r="I176" s="14">
        <v>0.625250085509274</v>
      </c>
      <c r="J176" s="14">
        <v>0.999997675348157</v>
      </c>
      <c r="K176" s="14">
        <v>1.05907352316192</v>
      </c>
      <c r="L176" s="14" t="s">
        <v>4297</v>
      </c>
      <c r="M176" s="14" t="str">
        <f>HYPERLINK("../../3.KEGG_map/Tetraploid-vs-Diploid/ko04664.html","ko04664")</f>
        <v>ko04664</v>
      </c>
    </row>
    <row r="177" spans="1:13">
      <c r="A177" s="14" t="s">
        <v>21698</v>
      </c>
      <c r="B177" s="14" t="s">
        <v>21699</v>
      </c>
      <c r="C177" s="14" t="s">
        <v>21556</v>
      </c>
      <c r="D177" s="14" t="s">
        <v>21588</v>
      </c>
      <c r="E177" s="14">
        <v>3</v>
      </c>
      <c r="F177" s="14">
        <v>362</v>
      </c>
      <c r="G177" s="14">
        <v>46</v>
      </c>
      <c r="H177" s="14">
        <v>4984</v>
      </c>
      <c r="I177" s="14">
        <v>0.659954133001722</v>
      </c>
      <c r="J177" s="14">
        <v>0.999997675348157</v>
      </c>
      <c r="K177" s="14">
        <v>0.897910160941629</v>
      </c>
      <c r="L177" s="14" t="s">
        <v>22089</v>
      </c>
      <c r="M177" s="14" t="str">
        <f>HYPERLINK("../../3.KEGG_map/Tetraploid-vs-Diploid/ko04666.html","ko04666")</f>
        <v>ko04666</v>
      </c>
    </row>
    <row r="178" spans="1:13">
      <c r="A178" s="14" t="s">
        <v>21701</v>
      </c>
      <c r="B178" s="14" t="s">
        <v>21702</v>
      </c>
      <c r="C178" s="14" t="s">
        <v>21533</v>
      </c>
      <c r="D178" s="14" t="s">
        <v>21538</v>
      </c>
      <c r="E178" s="14">
        <v>1</v>
      </c>
      <c r="F178" s="14">
        <v>362</v>
      </c>
      <c r="G178" s="14">
        <v>6</v>
      </c>
      <c r="H178" s="14">
        <v>4984</v>
      </c>
      <c r="I178" s="14">
        <v>0.364070464915605</v>
      </c>
      <c r="J178" s="14">
        <v>0.999997675348157</v>
      </c>
      <c r="K178" s="14">
        <v>2.29465930018416</v>
      </c>
      <c r="L178" s="14" t="s">
        <v>4297</v>
      </c>
      <c r="M178" s="14" t="str">
        <f>HYPERLINK("../../3.KEGG_map/Tetraploid-vs-Diploid/ko04668.html","ko04668")</f>
        <v>ko04668</v>
      </c>
    </row>
    <row r="179" spans="1:13">
      <c r="A179" s="14" t="s">
        <v>1271</v>
      </c>
      <c r="B179" s="14" t="s">
        <v>1272</v>
      </c>
      <c r="C179" s="14" t="s">
        <v>21556</v>
      </c>
      <c r="D179" s="14" t="s">
        <v>21686</v>
      </c>
      <c r="E179" s="14">
        <v>4</v>
      </c>
      <c r="F179" s="14">
        <v>362</v>
      </c>
      <c r="G179" s="14">
        <v>33</v>
      </c>
      <c r="H179" s="14">
        <v>4984</v>
      </c>
      <c r="I179" s="14">
        <v>0.215184643329637</v>
      </c>
      <c r="J179" s="14">
        <v>0.999997675348157</v>
      </c>
      <c r="K179" s="14">
        <v>1.66884312740666</v>
      </c>
      <c r="L179" s="14" t="s">
        <v>22147</v>
      </c>
      <c r="M179" s="14" t="str">
        <f>HYPERLINK("../../3.KEGG_map/Tetraploid-vs-Diploid/ko04712.html","ko04712")</f>
        <v>ko04712</v>
      </c>
    </row>
    <row r="180" spans="1:13">
      <c r="A180" s="14" t="s">
        <v>21705</v>
      </c>
      <c r="B180" s="14" t="s">
        <v>21706</v>
      </c>
      <c r="C180" s="14" t="s">
        <v>21556</v>
      </c>
      <c r="D180" s="14" t="s">
        <v>21686</v>
      </c>
      <c r="E180" s="14">
        <v>1</v>
      </c>
      <c r="F180" s="14">
        <v>362</v>
      </c>
      <c r="G180" s="14">
        <v>8</v>
      </c>
      <c r="H180" s="14">
        <v>4984</v>
      </c>
      <c r="I180" s="14">
        <v>0.453205713046698</v>
      </c>
      <c r="J180" s="14">
        <v>0.999997675348157</v>
      </c>
      <c r="K180" s="14">
        <v>1.72099447513812</v>
      </c>
      <c r="L180" s="14" t="s">
        <v>8484</v>
      </c>
      <c r="M180" s="14" t="str">
        <f>HYPERLINK("../../3.KEGG_map/Tetraploid-vs-Diploid/ko04713.html","ko04713")</f>
        <v>ko04713</v>
      </c>
    </row>
    <row r="181" spans="1:13">
      <c r="A181" s="14" t="s">
        <v>6957</v>
      </c>
      <c r="B181" s="14" t="s">
        <v>6958</v>
      </c>
      <c r="C181" s="14" t="s">
        <v>21556</v>
      </c>
      <c r="D181" s="14" t="s">
        <v>21686</v>
      </c>
      <c r="E181" s="14">
        <v>2</v>
      </c>
      <c r="F181" s="14">
        <v>362</v>
      </c>
      <c r="G181" s="14">
        <v>131</v>
      </c>
      <c r="H181" s="14">
        <v>4984</v>
      </c>
      <c r="I181" s="14">
        <v>0.999482802999732</v>
      </c>
      <c r="J181" s="14">
        <v>0.999997675348157</v>
      </c>
      <c r="K181" s="14">
        <v>0.210197798490152</v>
      </c>
      <c r="L181" s="14" t="s">
        <v>22148</v>
      </c>
      <c r="M181" s="14" t="str">
        <f>HYPERLINK("../../3.KEGG_map/Tetraploid-vs-Diploid/ko04714.html","ko04714")</f>
        <v>ko04714</v>
      </c>
    </row>
    <row r="182" spans="1:13">
      <c r="A182" s="14" t="s">
        <v>21708</v>
      </c>
      <c r="B182" s="14" t="s">
        <v>21709</v>
      </c>
      <c r="C182" s="14" t="s">
        <v>21556</v>
      </c>
      <c r="D182" s="14" t="s">
        <v>21710</v>
      </c>
      <c r="E182" s="14">
        <v>2</v>
      </c>
      <c r="F182" s="14">
        <v>362</v>
      </c>
      <c r="G182" s="14">
        <v>20</v>
      </c>
      <c r="H182" s="14">
        <v>4984</v>
      </c>
      <c r="I182" s="14">
        <v>0.432247988214107</v>
      </c>
      <c r="J182" s="14">
        <v>0.999997675348157</v>
      </c>
      <c r="K182" s="14">
        <v>1.3767955801105</v>
      </c>
      <c r="L182" s="14" t="s">
        <v>22082</v>
      </c>
      <c r="M182" s="14" t="str">
        <f>HYPERLINK("../../3.KEGG_map/Tetraploid-vs-Diploid/ko04720.html","ko04720")</f>
        <v>ko04720</v>
      </c>
    </row>
    <row r="183" spans="1:13">
      <c r="A183" s="14" t="s">
        <v>21711</v>
      </c>
      <c r="B183" s="14" t="s">
        <v>21712</v>
      </c>
      <c r="C183" s="14" t="s">
        <v>21556</v>
      </c>
      <c r="D183" s="14" t="s">
        <v>21710</v>
      </c>
      <c r="E183" s="14">
        <v>2</v>
      </c>
      <c r="F183" s="14">
        <v>362</v>
      </c>
      <c r="G183" s="14">
        <v>49</v>
      </c>
      <c r="H183" s="14">
        <v>4984</v>
      </c>
      <c r="I183" s="14">
        <v>0.881011383206558</v>
      </c>
      <c r="J183" s="14">
        <v>0.999997675348157</v>
      </c>
      <c r="K183" s="14">
        <v>0.561957379636938</v>
      </c>
      <c r="L183" s="14" t="s">
        <v>22149</v>
      </c>
      <c r="M183" s="14" t="str">
        <f>HYPERLINK("../../3.KEGG_map/Tetraploid-vs-Diploid/ko04721.html","ko04721")</f>
        <v>ko04721</v>
      </c>
    </row>
    <row r="184" spans="1:13">
      <c r="A184" s="14" t="s">
        <v>21714</v>
      </c>
      <c r="B184" s="14" t="s">
        <v>21715</v>
      </c>
      <c r="C184" s="14" t="s">
        <v>21556</v>
      </c>
      <c r="D184" s="14" t="s">
        <v>21710</v>
      </c>
      <c r="E184" s="14">
        <v>3</v>
      </c>
      <c r="F184" s="14">
        <v>362</v>
      </c>
      <c r="G184" s="14">
        <v>34</v>
      </c>
      <c r="H184" s="14">
        <v>4984</v>
      </c>
      <c r="I184" s="14">
        <v>0.453248569950164</v>
      </c>
      <c r="J184" s="14">
        <v>0.999997675348157</v>
      </c>
      <c r="K184" s="14">
        <v>1.21481962950926</v>
      </c>
      <c r="L184" s="14" t="s">
        <v>22150</v>
      </c>
      <c r="M184" s="14" t="str">
        <f>HYPERLINK("../../3.KEGG_map/Tetraploid-vs-Diploid/ko04722.html","ko04722")</f>
        <v>ko04722</v>
      </c>
    </row>
    <row r="185" spans="1:13">
      <c r="A185" s="14" t="s">
        <v>21717</v>
      </c>
      <c r="B185" s="14" t="s">
        <v>21718</v>
      </c>
      <c r="C185" s="14" t="s">
        <v>21556</v>
      </c>
      <c r="D185" s="14" t="s">
        <v>21710</v>
      </c>
      <c r="E185" s="14">
        <v>1</v>
      </c>
      <c r="F185" s="14">
        <v>362</v>
      </c>
      <c r="G185" s="14">
        <v>51</v>
      </c>
      <c r="H185" s="14">
        <v>4984</v>
      </c>
      <c r="I185" s="14">
        <v>0.979054815225947</v>
      </c>
      <c r="J185" s="14">
        <v>0.999997675348157</v>
      </c>
      <c r="K185" s="14">
        <v>0.269959917668725</v>
      </c>
      <c r="L185" s="14" t="s">
        <v>16016</v>
      </c>
      <c r="M185" s="14" t="str">
        <f>HYPERLINK("../../3.KEGG_map/Tetraploid-vs-Diploid/ko04723.html","ko04723")</f>
        <v>ko04723</v>
      </c>
    </row>
    <row r="186" spans="1:13">
      <c r="A186" s="14" t="s">
        <v>21719</v>
      </c>
      <c r="B186" s="14" t="s">
        <v>21720</v>
      </c>
      <c r="C186" s="14" t="s">
        <v>21556</v>
      </c>
      <c r="D186" s="14" t="s">
        <v>21710</v>
      </c>
      <c r="E186" s="14">
        <v>2</v>
      </c>
      <c r="F186" s="14">
        <v>362</v>
      </c>
      <c r="G186" s="14">
        <v>25</v>
      </c>
      <c r="H186" s="14">
        <v>4984</v>
      </c>
      <c r="I186" s="14">
        <v>0.551519754048799</v>
      </c>
      <c r="J186" s="14">
        <v>0.999997675348157</v>
      </c>
      <c r="K186" s="14">
        <v>1.1014364640884</v>
      </c>
      <c r="L186" s="14" t="s">
        <v>20361</v>
      </c>
      <c r="M186" s="14" t="str">
        <f>HYPERLINK("../../3.KEGG_map/Tetraploid-vs-Diploid/ko04724.html","ko04724")</f>
        <v>ko04724</v>
      </c>
    </row>
    <row r="187" spans="1:13">
      <c r="A187" s="14" t="s">
        <v>21721</v>
      </c>
      <c r="B187" s="14" t="s">
        <v>21722</v>
      </c>
      <c r="C187" s="14" t="s">
        <v>21556</v>
      </c>
      <c r="D187" s="14" t="s">
        <v>21710</v>
      </c>
      <c r="E187" s="14">
        <v>1</v>
      </c>
      <c r="F187" s="14">
        <v>362</v>
      </c>
      <c r="G187" s="14">
        <v>5</v>
      </c>
      <c r="H187" s="14">
        <v>4984</v>
      </c>
      <c r="I187" s="14">
        <v>0.314209842931513</v>
      </c>
      <c r="J187" s="14">
        <v>0.999997675348157</v>
      </c>
      <c r="K187" s="14">
        <v>2.75359116022099</v>
      </c>
      <c r="L187" s="14" t="s">
        <v>4297</v>
      </c>
      <c r="M187" s="14" t="str">
        <f>HYPERLINK("../../3.KEGG_map/Tetraploid-vs-Diploid/ko04725.html","ko04725")</f>
        <v>ko04725</v>
      </c>
    </row>
    <row r="188" spans="1:13">
      <c r="A188" s="14" t="s">
        <v>21723</v>
      </c>
      <c r="B188" s="14" t="s">
        <v>21724</v>
      </c>
      <c r="C188" s="14" t="s">
        <v>21556</v>
      </c>
      <c r="D188" s="14" t="s">
        <v>21710</v>
      </c>
      <c r="E188" s="14">
        <v>2</v>
      </c>
      <c r="F188" s="14">
        <v>362</v>
      </c>
      <c r="G188" s="14">
        <v>7</v>
      </c>
      <c r="H188" s="14">
        <v>4984</v>
      </c>
      <c r="I188" s="14">
        <v>0.0866018128056601</v>
      </c>
      <c r="J188" s="14">
        <v>0.800958385178504</v>
      </c>
      <c r="K188" s="14">
        <v>3.93370165745856</v>
      </c>
      <c r="L188" s="14" t="s">
        <v>22151</v>
      </c>
      <c r="M188" s="14" t="str">
        <f>HYPERLINK("../../3.KEGG_map/Tetraploid-vs-Diploid/ko04726.html","ko04726")</f>
        <v>ko04726</v>
      </c>
    </row>
    <row r="189" spans="1:13">
      <c r="A189" s="14" t="s">
        <v>21725</v>
      </c>
      <c r="B189" s="14" t="s">
        <v>21726</v>
      </c>
      <c r="C189" s="14" t="s">
        <v>21556</v>
      </c>
      <c r="D189" s="14" t="s">
        <v>21710</v>
      </c>
      <c r="E189" s="14">
        <v>2</v>
      </c>
      <c r="F189" s="14">
        <v>362</v>
      </c>
      <c r="G189" s="14">
        <v>27</v>
      </c>
      <c r="H189" s="14">
        <v>4984</v>
      </c>
      <c r="I189" s="14">
        <v>0.594048722105872</v>
      </c>
      <c r="J189" s="14">
        <v>0.999997675348157</v>
      </c>
      <c r="K189" s="14">
        <v>1.01984857785963</v>
      </c>
      <c r="L189" s="14" t="s">
        <v>22152</v>
      </c>
      <c r="M189" s="14" t="str">
        <f>HYPERLINK("../../3.KEGG_map/Tetraploid-vs-Diploid/ko04727.html","ko04727")</f>
        <v>ko04727</v>
      </c>
    </row>
    <row r="190" spans="1:13">
      <c r="A190" s="14" t="s">
        <v>21728</v>
      </c>
      <c r="B190" s="14" t="s">
        <v>21729</v>
      </c>
      <c r="C190" s="14" t="s">
        <v>21556</v>
      </c>
      <c r="D190" s="14" t="s">
        <v>21710</v>
      </c>
      <c r="E190" s="14">
        <v>2</v>
      </c>
      <c r="F190" s="14">
        <v>362</v>
      </c>
      <c r="G190" s="14">
        <v>34</v>
      </c>
      <c r="H190" s="14">
        <v>4984</v>
      </c>
      <c r="I190" s="14">
        <v>0.718933030871248</v>
      </c>
      <c r="J190" s="14">
        <v>0.999997675348157</v>
      </c>
      <c r="K190" s="14">
        <v>0.809879753006175</v>
      </c>
      <c r="L190" s="14" t="s">
        <v>22153</v>
      </c>
      <c r="M190" s="14" t="str">
        <f>HYPERLINK("../../3.KEGG_map/Tetraploid-vs-Diploid/ko04728.html","ko04728")</f>
        <v>ko04728</v>
      </c>
    </row>
    <row r="191" spans="1:13">
      <c r="A191" s="14" t="s">
        <v>21730</v>
      </c>
      <c r="B191" s="14" t="s">
        <v>21731</v>
      </c>
      <c r="C191" s="14" t="s">
        <v>21556</v>
      </c>
      <c r="D191" s="14" t="s">
        <v>21710</v>
      </c>
      <c r="E191" s="14">
        <v>1</v>
      </c>
      <c r="F191" s="14">
        <v>362</v>
      </c>
      <c r="G191" s="14">
        <v>10</v>
      </c>
      <c r="H191" s="14">
        <v>4984</v>
      </c>
      <c r="I191" s="14">
        <v>0.529876937786533</v>
      </c>
      <c r="J191" s="14">
        <v>0.999997675348157</v>
      </c>
      <c r="K191" s="14">
        <v>1.3767955801105</v>
      </c>
      <c r="L191" s="14" t="s">
        <v>4297</v>
      </c>
      <c r="M191" s="14" t="str">
        <f>HYPERLINK("../../3.KEGG_map/Tetraploid-vs-Diploid/ko04730.html","ko04730")</f>
        <v>ko04730</v>
      </c>
    </row>
    <row r="192" spans="1:13">
      <c r="A192" s="14" t="s">
        <v>21732</v>
      </c>
      <c r="B192" s="14" t="s">
        <v>21733</v>
      </c>
      <c r="C192" s="14" t="s">
        <v>21556</v>
      </c>
      <c r="D192" s="14" t="s">
        <v>21734</v>
      </c>
      <c r="E192" s="14">
        <v>1</v>
      </c>
      <c r="F192" s="14">
        <v>362</v>
      </c>
      <c r="G192" s="14">
        <v>6</v>
      </c>
      <c r="H192" s="14">
        <v>4984</v>
      </c>
      <c r="I192" s="14">
        <v>0.364070464915605</v>
      </c>
      <c r="J192" s="14">
        <v>0.999997675348157</v>
      </c>
      <c r="K192" s="14">
        <v>2.29465930018416</v>
      </c>
      <c r="L192" s="14" t="s">
        <v>8484</v>
      </c>
      <c r="M192" s="14" t="str">
        <f>HYPERLINK("../../3.KEGG_map/Tetraploid-vs-Diploid/ko04740.html","ko04740")</f>
        <v>ko04740</v>
      </c>
    </row>
    <row r="193" spans="1:13">
      <c r="A193" s="14" t="s">
        <v>21735</v>
      </c>
      <c r="B193" s="14" t="s">
        <v>21736</v>
      </c>
      <c r="C193" s="14" t="s">
        <v>21556</v>
      </c>
      <c r="D193" s="14" t="s">
        <v>21734</v>
      </c>
      <c r="E193" s="14">
        <v>1</v>
      </c>
      <c r="F193" s="14">
        <v>362</v>
      </c>
      <c r="G193" s="14">
        <v>6</v>
      </c>
      <c r="H193" s="14">
        <v>4984</v>
      </c>
      <c r="I193" s="14">
        <v>0.364070464915605</v>
      </c>
      <c r="J193" s="14">
        <v>0.999997675348157</v>
      </c>
      <c r="K193" s="14">
        <v>2.29465930018416</v>
      </c>
      <c r="L193" s="14" t="s">
        <v>8484</v>
      </c>
      <c r="M193" s="14" t="str">
        <f>HYPERLINK("../../3.KEGG_map/Tetraploid-vs-Diploid/ko04744.html","ko04744")</f>
        <v>ko04744</v>
      </c>
    </row>
    <row r="194" spans="1:13">
      <c r="A194" s="14" t="s">
        <v>21737</v>
      </c>
      <c r="B194" s="14" t="s">
        <v>21738</v>
      </c>
      <c r="C194" s="14" t="s">
        <v>21556</v>
      </c>
      <c r="D194" s="14" t="s">
        <v>21734</v>
      </c>
      <c r="E194" s="14">
        <v>1</v>
      </c>
      <c r="F194" s="14">
        <v>362</v>
      </c>
      <c r="G194" s="14">
        <v>5</v>
      </c>
      <c r="H194" s="14">
        <v>4984</v>
      </c>
      <c r="I194" s="14">
        <v>0.314209842931513</v>
      </c>
      <c r="J194" s="14">
        <v>0.999997675348157</v>
      </c>
      <c r="K194" s="14">
        <v>2.75359116022099</v>
      </c>
      <c r="L194" s="14" t="s">
        <v>8484</v>
      </c>
      <c r="M194" s="14" t="str">
        <f>HYPERLINK("../../3.KEGG_map/Tetraploid-vs-Diploid/ko04745.html","ko04745")</f>
        <v>ko04745</v>
      </c>
    </row>
    <row r="195" spans="1:13">
      <c r="A195" s="14" t="s">
        <v>21739</v>
      </c>
      <c r="B195" s="14" t="s">
        <v>21740</v>
      </c>
      <c r="C195" s="14" t="s">
        <v>21556</v>
      </c>
      <c r="D195" s="14" t="s">
        <v>21734</v>
      </c>
      <c r="E195" s="14">
        <v>1</v>
      </c>
      <c r="F195" s="14">
        <v>362</v>
      </c>
      <c r="G195" s="14">
        <v>10</v>
      </c>
      <c r="H195" s="14">
        <v>4984</v>
      </c>
      <c r="I195" s="14">
        <v>0.529876937786533</v>
      </c>
      <c r="J195" s="14">
        <v>0.999997675348157</v>
      </c>
      <c r="K195" s="14">
        <v>1.3767955801105</v>
      </c>
      <c r="L195" s="14" t="s">
        <v>8484</v>
      </c>
      <c r="M195" s="14" t="str">
        <f>HYPERLINK("../../3.KEGG_map/Tetraploid-vs-Diploid/ko04750.html","ko04750")</f>
        <v>ko04750</v>
      </c>
    </row>
    <row r="196" spans="1:13">
      <c r="A196" s="14" t="s">
        <v>21741</v>
      </c>
      <c r="B196" s="14" t="s">
        <v>21742</v>
      </c>
      <c r="C196" s="14" t="s">
        <v>21542</v>
      </c>
      <c r="D196" s="14" t="s">
        <v>21743</v>
      </c>
      <c r="E196" s="14">
        <v>1</v>
      </c>
      <c r="F196" s="14">
        <v>362</v>
      </c>
      <c r="G196" s="14">
        <v>47</v>
      </c>
      <c r="H196" s="14">
        <v>4984</v>
      </c>
      <c r="I196" s="14">
        <v>0.971593737592502</v>
      </c>
      <c r="J196" s="14">
        <v>0.999997675348157</v>
      </c>
      <c r="K196" s="14">
        <v>0.292935229810744</v>
      </c>
      <c r="L196" s="14" t="s">
        <v>4297</v>
      </c>
      <c r="M196" s="14" t="str">
        <f>HYPERLINK("../../3.KEGG_map/Tetraploid-vs-Diploid/ko04810.html","ko04810")</f>
        <v>ko04810</v>
      </c>
    </row>
    <row r="197" spans="1:13">
      <c r="A197" s="14" t="s">
        <v>9953</v>
      </c>
      <c r="B197" s="14" t="s">
        <v>9954</v>
      </c>
      <c r="C197" s="14" t="s">
        <v>21542</v>
      </c>
      <c r="D197" s="14" t="s">
        <v>21743</v>
      </c>
      <c r="E197" s="14">
        <v>5</v>
      </c>
      <c r="F197" s="14">
        <v>362</v>
      </c>
      <c r="G197" s="14">
        <v>83</v>
      </c>
      <c r="H197" s="14">
        <v>4984</v>
      </c>
      <c r="I197" s="14">
        <v>0.731105225140056</v>
      </c>
      <c r="J197" s="14">
        <v>0.999997675348157</v>
      </c>
      <c r="K197" s="14">
        <v>0.829394927777408</v>
      </c>
      <c r="L197" s="14" t="s">
        <v>22154</v>
      </c>
      <c r="M197" s="14" t="str">
        <f>HYPERLINK("../../3.KEGG_map/Tetraploid-vs-Diploid/ko04814.html","ko04814")</f>
        <v>ko04814</v>
      </c>
    </row>
    <row r="198" spans="1:13">
      <c r="A198" s="14" t="s">
        <v>21746</v>
      </c>
      <c r="B198" s="14" t="s">
        <v>21747</v>
      </c>
      <c r="C198" s="14" t="s">
        <v>21556</v>
      </c>
      <c r="D198" s="14" t="s">
        <v>21557</v>
      </c>
      <c r="E198" s="14">
        <v>6</v>
      </c>
      <c r="F198" s="14">
        <v>362</v>
      </c>
      <c r="G198" s="14">
        <v>62</v>
      </c>
      <c r="H198" s="14">
        <v>4984</v>
      </c>
      <c r="I198" s="14">
        <v>0.293634863585458</v>
      </c>
      <c r="J198" s="14">
        <v>0.999997675348157</v>
      </c>
      <c r="K198" s="14">
        <v>1.33238281946177</v>
      </c>
      <c r="L198" s="14" t="s">
        <v>22155</v>
      </c>
      <c r="M198" s="14" t="str">
        <f>HYPERLINK("../../3.KEGG_map/Tetraploid-vs-Diploid/ko04910.html","ko04910")</f>
        <v>ko04910</v>
      </c>
    </row>
    <row r="199" spans="1:13">
      <c r="A199" s="14" t="s">
        <v>21749</v>
      </c>
      <c r="B199" s="14" t="s">
        <v>21750</v>
      </c>
      <c r="C199" s="14" t="s">
        <v>21556</v>
      </c>
      <c r="D199" s="14" t="s">
        <v>21557</v>
      </c>
      <c r="E199" s="14">
        <v>4</v>
      </c>
      <c r="F199" s="14">
        <v>362</v>
      </c>
      <c r="G199" s="14">
        <v>24</v>
      </c>
      <c r="H199" s="14">
        <v>4984</v>
      </c>
      <c r="I199" s="14">
        <v>0.0917833426256331</v>
      </c>
      <c r="J199" s="14">
        <v>0.817445395259545</v>
      </c>
      <c r="K199" s="14">
        <v>2.29465930018416</v>
      </c>
      <c r="L199" s="14" t="s">
        <v>22081</v>
      </c>
      <c r="M199" s="14" t="str">
        <f>HYPERLINK("../../3.KEGG_map/Tetraploid-vs-Diploid/ko04912.html","ko04912")</f>
        <v>ko04912</v>
      </c>
    </row>
    <row r="200" spans="1:13">
      <c r="A200" s="14" t="s">
        <v>21752</v>
      </c>
      <c r="B200" s="14" t="s">
        <v>21753</v>
      </c>
      <c r="C200" s="14" t="s">
        <v>21556</v>
      </c>
      <c r="D200" s="14" t="s">
        <v>21557</v>
      </c>
      <c r="E200" s="14">
        <v>3</v>
      </c>
      <c r="F200" s="14">
        <v>362</v>
      </c>
      <c r="G200" s="14">
        <v>36</v>
      </c>
      <c r="H200" s="14">
        <v>4984</v>
      </c>
      <c r="I200" s="14">
        <v>0.491578041970266</v>
      </c>
      <c r="J200" s="14">
        <v>0.999997675348157</v>
      </c>
      <c r="K200" s="14">
        <v>1.14732965009208</v>
      </c>
      <c r="L200" s="14" t="s">
        <v>22114</v>
      </c>
      <c r="M200" s="14" t="str">
        <f>HYPERLINK("../../3.KEGG_map/Tetraploid-vs-Diploid/ko04914.html","ko04914")</f>
        <v>ko04914</v>
      </c>
    </row>
    <row r="201" spans="1:13">
      <c r="A201" s="14" t="s">
        <v>21755</v>
      </c>
      <c r="B201" s="14" t="s">
        <v>21756</v>
      </c>
      <c r="C201" s="14" t="s">
        <v>21556</v>
      </c>
      <c r="D201" s="14" t="s">
        <v>21557</v>
      </c>
      <c r="E201" s="14">
        <v>6</v>
      </c>
      <c r="F201" s="14">
        <v>362</v>
      </c>
      <c r="G201" s="14">
        <v>26</v>
      </c>
      <c r="H201" s="14">
        <v>4984</v>
      </c>
      <c r="I201" s="14">
        <v>0.00932612362416763</v>
      </c>
      <c r="J201" s="14">
        <v>0.221495436073981</v>
      </c>
      <c r="K201" s="14">
        <v>3.17722056948576</v>
      </c>
      <c r="L201" s="14" t="s">
        <v>22156</v>
      </c>
      <c r="M201" s="14" t="str">
        <f>HYPERLINK("../../3.KEGG_map/Tetraploid-vs-Diploid/ko04915.html","ko04915")</f>
        <v>ko04915</v>
      </c>
    </row>
    <row r="202" spans="1:13">
      <c r="A202" s="14" t="s">
        <v>21758</v>
      </c>
      <c r="B202" s="14" t="s">
        <v>21759</v>
      </c>
      <c r="C202" s="14" t="s">
        <v>21556</v>
      </c>
      <c r="D202" s="14" t="s">
        <v>21557</v>
      </c>
      <c r="E202" s="14">
        <v>2</v>
      </c>
      <c r="F202" s="14">
        <v>362</v>
      </c>
      <c r="G202" s="14">
        <v>12</v>
      </c>
      <c r="H202" s="14">
        <v>4984</v>
      </c>
      <c r="I202" s="14">
        <v>0.215049618319917</v>
      </c>
      <c r="J202" s="14">
        <v>0.999997675348157</v>
      </c>
      <c r="K202" s="14">
        <v>2.29465930018416</v>
      </c>
      <c r="L202" s="14" t="s">
        <v>22082</v>
      </c>
      <c r="M202" s="14" t="str">
        <f>HYPERLINK("../../3.KEGG_map/Tetraploid-vs-Diploid/ko04916.html","ko04916")</f>
        <v>ko04916</v>
      </c>
    </row>
    <row r="203" spans="1:13">
      <c r="A203" s="14" t="s">
        <v>21760</v>
      </c>
      <c r="B203" s="14" t="s">
        <v>21761</v>
      </c>
      <c r="C203" s="14" t="s">
        <v>21556</v>
      </c>
      <c r="D203" s="14" t="s">
        <v>21557</v>
      </c>
      <c r="E203" s="14">
        <v>1</v>
      </c>
      <c r="F203" s="14">
        <v>362</v>
      </c>
      <c r="G203" s="14">
        <v>5</v>
      </c>
      <c r="H203" s="14">
        <v>4984</v>
      </c>
      <c r="I203" s="14">
        <v>0.314209842931513</v>
      </c>
      <c r="J203" s="14">
        <v>0.999997675348157</v>
      </c>
      <c r="K203" s="14">
        <v>2.75359116022099</v>
      </c>
      <c r="L203" s="14" t="s">
        <v>4297</v>
      </c>
      <c r="M203" s="14" t="str">
        <f>HYPERLINK("../../3.KEGG_map/Tetraploid-vs-Diploid/ko04917.html","ko04917")</f>
        <v>ko04917</v>
      </c>
    </row>
    <row r="204" spans="1:13">
      <c r="A204" s="14" t="s">
        <v>21762</v>
      </c>
      <c r="B204" s="14" t="s">
        <v>21763</v>
      </c>
      <c r="C204" s="14" t="s">
        <v>21556</v>
      </c>
      <c r="D204" s="14" t="s">
        <v>21557</v>
      </c>
      <c r="E204" s="14">
        <v>1</v>
      </c>
      <c r="F204" s="14">
        <v>362</v>
      </c>
      <c r="G204" s="14">
        <v>9</v>
      </c>
      <c r="H204" s="14">
        <v>4984</v>
      </c>
      <c r="I204" s="14">
        <v>0.492984557877304</v>
      </c>
      <c r="J204" s="14">
        <v>0.999997675348157</v>
      </c>
      <c r="K204" s="14">
        <v>1.52977286678944</v>
      </c>
      <c r="L204" s="14" t="s">
        <v>3643</v>
      </c>
      <c r="M204" s="14" t="str">
        <f>HYPERLINK("../../3.KEGG_map/Tetraploid-vs-Diploid/ko04918.html","ko04918")</f>
        <v>ko04918</v>
      </c>
    </row>
    <row r="205" spans="1:13">
      <c r="A205" s="14" t="s">
        <v>21764</v>
      </c>
      <c r="B205" s="14" t="s">
        <v>21765</v>
      </c>
      <c r="C205" s="14" t="s">
        <v>21556</v>
      </c>
      <c r="D205" s="14" t="s">
        <v>21557</v>
      </c>
      <c r="E205" s="14">
        <v>1</v>
      </c>
      <c r="F205" s="14">
        <v>362</v>
      </c>
      <c r="G205" s="14">
        <v>35</v>
      </c>
      <c r="H205" s="14">
        <v>4984</v>
      </c>
      <c r="I205" s="14">
        <v>0.929248365978893</v>
      </c>
      <c r="J205" s="14">
        <v>0.999997675348157</v>
      </c>
      <c r="K205" s="14">
        <v>0.393370165745856</v>
      </c>
      <c r="L205" s="14" t="s">
        <v>4297</v>
      </c>
      <c r="M205" s="14" t="str">
        <f>HYPERLINK("../../3.KEGG_map/Tetraploid-vs-Diploid/ko04919.html","ko04919")</f>
        <v>ko04919</v>
      </c>
    </row>
    <row r="206" spans="1:13">
      <c r="A206" s="14" t="s">
        <v>21767</v>
      </c>
      <c r="B206" s="14" t="s">
        <v>21768</v>
      </c>
      <c r="C206" s="14" t="s">
        <v>21556</v>
      </c>
      <c r="D206" s="14" t="s">
        <v>21557</v>
      </c>
      <c r="E206" s="14">
        <v>2</v>
      </c>
      <c r="F206" s="14">
        <v>362</v>
      </c>
      <c r="G206" s="14">
        <v>29</v>
      </c>
      <c r="H206" s="14">
        <v>4984</v>
      </c>
      <c r="I206" s="14">
        <v>0.633495543007847</v>
      </c>
      <c r="J206" s="14">
        <v>0.999997675348157</v>
      </c>
      <c r="K206" s="14">
        <v>0.949514193179653</v>
      </c>
      <c r="L206" s="14" t="s">
        <v>22082</v>
      </c>
      <c r="M206" s="14" t="str">
        <f>HYPERLINK("../../3.KEGG_map/Tetraploid-vs-Diploid/ko04921.html","ko04921")</f>
        <v>ko04921</v>
      </c>
    </row>
    <row r="207" spans="1:13">
      <c r="A207" s="14" t="s">
        <v>21769</v>
      </c>
      <c r="B207" s="14" t="s">
        <v>21770</v>
      </c>
      <c r="C207" s="14" t="s">
        <v>21556</v>
      </c>
      <c r="D207" s="14" t="s">
        <v>21557</v>
      </c>
      <c r="E207" s="14">
        <v>6</v>
      </c>
      <c r="F207" s="14">
        <v>362</v>
      </c>
      <c r="G207" s="14">
        <v>49</v>
      </c>
      <c r="H207" s="14">
        <v>4984</v>
      </c>
      <c r="I207" s="14">
        <v>0.141742415120892</v>
      </c>
      <c r="J207" s="14">
        <v>0.961823531177483</v>
      </c>
      <c r="K207" s="14">
        <v>1.68587213891081</v>
      </c>
      <c r="L207" s="14" t="s">
        <v>22157</v>
      </c>
      <c r="M207" s="14" t="str">
        <f>HYPERLINK("../../3.KEGG_map/Tetraploid-vs-Diploid/ko04922.html","ko04922")</f>
        <v>ko04922</v>
      </c>
    </row>
    <row r="208" spans="1:13">
      <c r="A208" s="14" t="s">
        <v>21772</v>
      </c>
      <c r="B208" s="14" t="s">
        <v>21773</v>
      </c>
      <c r="C208" s="14" t="s">
        <v>21556</v>
      </c>
      <c r="D208" s="14" t="s">
        <v>21557</v>
      </c>
      <c r="E208" s="14">
        <v>1</v>
      </c>
      <c r="F208" s="14">
        <v>362</v>
      </c>
      <c r="G208" s="14">
        <v>10</v>
      </c>
      <c r="H208" s="14">
        <v>4984</v>
      </c>
      <c r="I208" s="14">
        <v>0.529876937786533</v>
      </c>
      <c r="J208" s="14">
        <v>0.999997675348157</v>
      </c>
      <c r="K208" s="14">
        <v>1.3767955801105</v>
      </c>
      <c r="L208" s="14" t="s">
        <v>8484</v>
      </c>
      <c r="M208" s="14" t="str">
        <f>HYPERLINK("../../3.KEGG_map/Tetraploid-vs-Diploid/ko04924.html","ko04924")</f>
        <v>ko04924</v>
      </c>
    </row>
    <row r="209" spans="1:13">
      <c r="A209" s="14" t="s">
        <v>21774</v>
      </c>
      <c r="B209" s="14" t="s">
        <v>21775</v>
      </c>
      <c r="C209" s="14" t="s">
        <v>21556</v>
      </c>
      <c r="D209" s="14" t="s">
        <v>21557</v>
      </c>
      <c r="E209" s="14">
        <v>1</v>
      </c>
      <c r="F209" s="14">
        <v>362</v>
      </c>
      <c r="G209" s="14">
        <v>5</v>
      </c>
      <c r="H209" s="14">
        <v>4984</v>
      </c>
      <c r="I209" s="14">
        <v>0.314209842931513</v>
      </c>
      <c r="J209" s="14">
        <v>0.999997675348157</v>
      </c>
      <c r="K209" s="14">
        <v>2.75359116022099</v>
      </c>
      <c r="L209" s="14" t="s">
        <v>8484</v>
      </c>
      <c r="M209" s="14" t="str">
        <f>HYPERLINK("../../3.KEGG_map/Tetraploid-vs-Diploid/ko04925.html","ko04925")</f>
        <v>ko04925</v>
      </c>
    </row>
    <row r="210" spans="1:13">
      <c r="A210" s="14" t="s">
        <v>21776</v>
      </c>
      <c r="B210" s="14" t="s">
        <v>21777</v>
      </c>
      <c r="C210" s="14" t="s">
        <v>21556</v>
      </c>
      <c r="D210" s="14" t="s">
        <v>21557</v>
      </c>
      <c r="E210" s="14">
        <v>1</v>
      </c>
      <c r="F210" s="14">
        <v>362</v>
      </c>
      <c r="G210" s="14">
        <v>5</v>
      </c>
      <c r="H210" s="14">
        <v>4984</v>
      </c>
      <c r="I210" s="14">
        <v>0.314209842931513</v>
      </c>
      <c r="J210" s="14">
        <v>0.999997675348157</v>
      </c>
      <c r="K210" s="14">
        <v>2.75359116022099</v>
      </c>
      <c r="L210" s="14" t="s">
        <v>4297</v>
      </c>
      <c r="M210" s="14" t="str">
        <f>HYPERLINK("../../3.KEGG_map/Tetraploid-vs-Diploid/ko04926.html","ko04926")</f>
        <v>ko04926</v>
      </c>
    </row>
    <row r="211" spans="1:13">
      <c r="A211" s="14" t="s">
        <v>21778</v>
      </c>
      <c r="B211" s="14" t="s">
        <v>21779</v>
      </c>
      <c r="C211" s="14" t="s">
        <v>21556</v>
      </c>
      <c r="D211" s="14" t="s">
        <v>21557</v>
      </c>
      <c r="E211" s="14">
        <v>3</v>
      </c>
      <c r="F211" s="14">
        <v>362</v>
      </c>
      <c r="G211" s="14">
        <v>18</v>
      </c>
      <c r="H211" s="14">
        <v>4984</v>
      </c>
      <c r="I211" s="14">
        <v>0.137971130707069</v>
      </c>
      <c r="J211" s="14">
        <v>0.961823531177483</v>
      </c>
      <c r="K211" s="14">
        <v>2.29465930018416</v>
      </c>
      <c r="L211" s="14" t="s">
        <v>22089</v>
      </c>
      <c r="M211" s="14" t="str">
        <f>HYPERLINK("../../3.KEGG_map/Tetraploid-vs-Diploid/ko04928.html","ko04928")</f>
        <v>ko04928</v>
      </c>
    </row>
    <row r="212" spans="1:13">
      <c r="A212" s="14" t="s">
        <v>21781</v>
      </c>
      <c r="B212" s="14" t="s">
        <v>21782</v>
      </c>
      <c r="C212" s="14" t="s">
        <v>21523</v>
      </c>
      <c r="D212" s="14" t="s">
        <v>21783</v>
      </c>
      <c r="E212" s="14">
        <v>3</v>
      </c>
      <c r="F212" s="14">
        <v>362</v>
      </c>
      <c r="G212" s="14">
        <v>18</v>
      </c>
      <c r="H212" s="14">
        <v>4984</v>
      </c>
      <c r="I212" s="14">
        <v>0.137971130707069</v>
      </c>
      <c r="J212" s="14">
        <v>0.961823531177483</v>
      </c>
      <c r="K212" s="14">
        <v>2.29465930018416</v>
      </c>
      <c r="L212" s="14" t="s">
        <v>22158</v>
      </c>
      <c r="M212" s="14" t="str">
        <f>HYPERLINK("../../3.KEGG_map/Tetraploid-vs-Diploid/ko04930.html","ko04930")</f>
        <v>ko04930</v>
      </c>
    </row>
    <row r="213" spans="1:13">
      <c r="A213" s="14" t="s">
        <v>21784</v>
      </c>
      <c r="B213" s="14" t="s">
        <v>21785</v>
      </c>
      <c r="C213" s="14" t="s">
        <v>21523</v>
      </c>
      <c r="D213" s="14" t="s">
        <v>21783</v>
      </c>
      <c r="E213" s="14">
        <v>1</v>
      </c>
      <c r="F213" s="14">
        <v>362</v>
      </c>
      <c r="G213" s="14">
        <v>37</v>
      </c>
      <c r="H213" s="14">
        <v>4984</v>
      </c>
      <c r="I213" s="14">
        <v>0.939221200148606</v>
      </c>
      <c r="J213" s="14">
        <v>0.999997675348157</v>
      </c>
      <c r="K213" s="14">
        <v>0.372106913543378</v>
      </c>
      <c r="L213" s="14" t="s">
        <v>1996</v>
      </c>
      <c r="M213" s="14" t="str">
        <f>HYPERLINK("../../3.KEGG_map/Tetraploid-vs-Diploid/ko04931.html","ko04931")</f>
        <v>ko04931</v>
      </c>
    </row>
    <row r="214" spans="1:13">
      <c r="A214" s="14" t="s">
        <v>21787</v>
      </c>
      <c r="B214" s="14" t="s">
        <v>21788</v>
      </c>
      <c r="C214" s="14" t="s">
        <v>21523</v>
      </c>
      <c r="D214" s="14" t="s">
        <v>21783</v>
      </c>
      <c r="E214" s="14">
        <v>1</v>
      </c>
      <c r="F214" s="14">
        <v>362</v>
      </c>
      <c r="G214" s="14">
        <v>71</v>
      </c>
      <c r="H214" s="14">
        <v>4984</v>
      </c>
      <c r="I214" s="14">
        <v>0.995452654506423</v>
      </c>
      <c r="J214" s="14">
        <v>0.999997675348157</v>
      </c>
      <c r="K214" s="14">
        <v>0.193914870438098</v>
      </c>
      <c r="L214" s="14" t="s">
        <v>16016</v>
      </c>
      <c r="M214" s="14" t="str">
        <f>HYPERLINK("../../3.KEGG_map/Tetraploid-vs-Diploid/ko04932.html","ko04932")</f>
        <v>ko04932</v>
      </c>
    </row>
    <row r="215" spans="1:13">
      <c r="A215" s="14" t="s">
        <v>15670</v>
      </c>
      <c r="B215" s="14" t="s">
        <v>15671</v>
      </c>
      <c r="C215" s="14" t="s">
        <v>21523</v>
      </c>
      <c r="D215" s="14" t="s">
        <v>21783</v>
      </c>
      <c r="E215" s="14">
        <v>1</v>
      </c>
      <c r="F215" s="14">
        <v>362</v>
      </c>
      <c r="G215" s="14">
        <v>18</v>
      </c>
      <c r="H215" s="14">
        <v>4984</v>
      </c>
      <c r="I215" s="14">
        <v>0.743263506340242</v>
      </c>
      <c r="J215" s="14">
        <v>0.999997675348157</v>
      </c>
      <c r="K215" s="14">
        <v>0.764886433394721</v>
      </c>
      <c r="L215" s="14" t="s">
        <v>4297</v>
      </c>
      <c r="M215" s="14" t="str">
        <f>HYPERLINK("../../3.KEGG_map/Tetraploid-vs-Diploid/ko04934.html","ko04934")</f>
        <v>ko04934</v>
      </c>
    </row>
    <row r="216" spans="1:13">
      <c r="A216" s="14" t="s">
        <v>21793</v>
      </c>
      <c r="B216" s="14" t="s">
        <v>21794</v>
      </c>
      <c r="C216" s="14" t="s">
        <v>21556</v>
      </c>
      <c r="D216" s="14" t="s">
        <v>21557</v>
      </c>
      <c r="E216" s="14">
        <v>1</v>
      </c>
      <c r="F216" s="14">
        <v>362</v>
      </c>
      <c r="G216" s="14">
        <v>8</v>
      </c>
      <c r="H216" s="14">
        <v>4984</v>
      </c>
      <c r="I216" s="14">
        <v>0.453205713046698</v>
      </c>
      <c r="J216" s="14">
        <v>0.999997675348157</v>
      </c>
      <c r="K216" s="14">
        <v>1.72099447513812</v>
      </c>
      <c r="L216" s="14" t="s">
        <v>4297</v>
      </c>
      <c r="M216" s="14" t="str">
        <f>HYPERLINK("../../3.KEGG_map/Tetraploid-vs-Diploid/ko04935.html","ko04935")</f>
        <v>ko04935</v>
      </c>
    </row>
    <row r="217" spans="1:13">
      <c r="A217" s="14" t="s">
        <v>21798</v>
      </c>
      <c r="B217" s="14" t="s">
        <v>21799</v>
      </c>
      <c r="C217" s="14" t="s">
        <v>21523</v>
      </c>
      <c r="D217" s="14" t="s">
        <v>21783</v>
      </c>
      <c r="E217" s="14">
        <v>1</v>
      </c>
      <c r="F217" s="14">
        <v>362</v>
      </c>
      <c r="G217" s="14">
        <v>8</v>
      </c>
      <c r="H217" s="14">
        <v>4984</v>
      </c>
      <c r="I217" s="14">
        <v>0.453205713046698</v>
      </c>
      <c r="J217" s="14">
        <v>0.999997675348157</v>
      </c>
      <c r="K217" s="14">
        <v>1.72099447513812</v>
      </c>
      <c r="L217" s="14" t="s">
        <v>4955</v>
      </c>
      <c r="M217" s="14" t="str">
        <f>HYPERLINK("../../3.KEGG_map/Tetraploid-vs-Diploid/ko04940.html","ko04940")</f>
        <v>ko04940</v>
      </c>
    </row>
    <row r="218" spans="1:13">
      <c r="A218" s="14" t="s">
        <v>22159</v>
      </c>
      <c r="B218" s="14" t="s">
        <v>22160</v>
      </c>
      <c r="C218" s="14" t="s">
        <v>21556</v>
      </c>
      <c r="D218" s="14" t="s">
        <v>21802</v>
      </c>
      <c r="E218" s="14">
        <v>2</v>
      </c>
      <c r="F218" s="14">
        <v>362</v>
      </c>
      <c r="G218" s="14">
        <v>20</v>
      </c>
      <c r="H218" s="14">
        <v>4984</v>
      </c>
      <c r="I218" s="14">
        <v>0.432247988214107</v>
      </c>
      <c r="J218" s="14">
        <v>0.999997675348157</v>
      </c>
      <c r="K218" s="14">
        <v>1.3767955801105</v>
      </c>
      <c r="L218" s="14" t="s">
        <v>22161</v>
      </c>
      <c r="M218" s="14" t="str">
        <f>HYPERLINK("../../3.KEGG_map/Tetraploid-vs-Diploid/ko04961.html","ko04961")</f>
        <v>ko04961</v>
      </c>
    </row>
    <row r="219" spans="1:13">
      <c r="A219" s="14" t="s">
        <v>21800</v>
      </c>
      <c r="B219" s="14" t="s">
        <v>21801</v>
      </c>
      <c r="C219" s="14" t="s">
        <v>21556</v>
      </c>
      <c r="D219" s="14" t="s">
        <v>21802</v>
      </c>
      <c r="E219" s="14">
        <v>7</v>
      </c>
      <c r="F219" s="14">
        <v>362</v>
      </c>
      <c r="G219" s="14">
        <v>30</v>
      </c>
      <c r="H219" s="14">
        <v>4984</v>
      </c>
      <c r="I219" s="14">
        <v>0.00474835346444582</v>
      </c>
      <c r="J219" s="14">
        <v>0.150364526374118</v>
      </c>
      <c r="K219" s="14">
        <v>3.21252302025783</v>
      </c>
      <c r="L219" s="14" t="s">
        <v>22162</v>
      </c>
      <c r="M219" s="14" t="str">
        <f>HYPERLINK("../../3.KEGG_map/Tetraploid-vs-Diploid/ko04962.html","ko04962")</f>
        <v>ko04962</v>
      </c>
    </row>
    <row r="220" spans="1:13">
      <c r="A220" s="14" t="s">
        <v>22163</v>
      </c>
      <c r="B220" s="14" t="s">
        <v>22164</v>
      </c>
      <c r="C220" s="14" t="s">
        <v>21556</v>
      </c>
      <c r="D220" s="14" t="s">
        <v>21802</v>
      </c>
      <c r="E220" s="14">
        <v>1</v>
      </c>
      <c r="F220" s="14">
        <v>362</v>
      </c>
      <c r="G220" s="14">
        <v>19</v>
      </c>
      <c r="H220" s="14">
        <v>4984</v>
      </c>
      <c r="I220" s="14">
        <v>0.761978490372629</v>
      </c>
      <c r="J220" s="14">
        <v>0.999997675348157</v>
      </c>
      <c r="K220" s="14">
        <v>0.724629252689735</v>
      </c>
      <c r="L220" s="14" t="s">
        <v>2399</v>
      </c>
      <c r="M220" s="14" t="str">
        <f>HYPERLINK("../../3.KEGG_map/Tetraploid-vs-Diploid/ko04966.html","ko04966")</f>
        <v>ko04966</v>
      </c>
    </row>
    <row r="221" spans="1:13">
      <c r="A221" s="14" t="s">
        <v>21803</v>
      </c>
      <c r="B221" s="14" t="s">
        <v>21804</v>
      </c>
      <c r="C221" s="14" t="s">
        <v>21556</v>
      </c>
      <c r="D221" s="14" t="s">
        <v>21805</v>
      </c>
      <c r="E221" s="14">
        <v>2</v>
      </c>
      <c r="F221" s="14">
        <v>362</v>
      </c>
      <c r="G221" s="14">
        <v>9</v>
      </c>
      <c r="H221" s="14">
        <v>4984</v>
      </c>
      <c r="I221" s="14">
        <v>0.13497495440185</v>
      </c>
      <c r="J221" s="14">
        <v>0.961823531177483</v>
      </c>
      <c r="K221" s="14">
        <v>3.05954573357888</v>
      </c>
      <c r="L221" s="14" t="s">
        <v>22165</v>
      </c>
      <c r="M221" s="14" t="str">
        <f>HYPERLINK("../../3.KEGG_map/Tetraploid-vs-Diploid/ko04970.html","ko04970")</f>
        <v>ko04970</v>
      </c>
    </row>
    <row r="222" spans="1:13">
      <c r="A222" s="14" t="s">
        <v>21807</v>
      </c>
      <c r="B222" s="14" t="s">
        <v>21808</v>
      </c>
      <c r="C222" s="14" t="s">
        <v>21556</v>
      </c>
      <c r="D222" s="14" t="s">
        <v>21805</v>
      </c>
      <c r="E222" s="14">
        <v>1</v>
      </c>
      <c r="F222" s="14">
        <v>362</v>
      </c>
      <c r="G222" s="14">
        <v>5</v>
      </c>
      <c r="H222" s="14">
        <v>4984</v>
      </c>
      <c r="I222" s="14">
        <v>0.314209842931513</v>
      </c>
      <c r="J222" s="14">
        <v>0.999997675348157</v>
      </c>
      <c r="K222" s="14">
        <v>2.75359116022099</v>
      </c>
      <c r="L222" s="14" t="s">
        <v>8484</v>
      </c>
      <c r="M222" s="14" t="str">
        <f>HYPERLINK("../../3.KEGG_map/Tetraploid-vs-Diploid/ko04971.html","ko04971")</f>
        <v>ko04971</v>
      </c>
    </row>
    <row r="223" spans="1:13">
      <c r="A223" s="14" t="s">
        <v>21809</v>
      </c>
      <c r="B223" s="14" t="s">
        <v>21810</v>
      </c>
      <c r="C223" s="14" t="s">
        <v>21556</v>
      </c>
      <c r="D223" s="14" t="s">
        <v>21805</v>
      </c>
      <c r="E223" s="14">
        <v>3</v>
      </c>
      <c r="F223" s="14">
        <v>362</v>
      </c>
      <c r="G223" s="14">
        <v>31</v>
      </c>
      <c r="H223" s="14">
        <v>4984</v>
      </c>
      <c r="I223" s="14">
        <v>0.393707310239147</v>
      </c>
      <c r="J223" s="14">
        <v>0.999997675348157</v>
      </c>
      <c r="K223" s="14">
        <v>1.33238281946177</v>
      </c>
      <c r="L223" s="14" t="s">
        <v>22166</v>
      </c>
      <c r="M223" s="14" t="str">
        <f>HYPERLINK("../../3.KEGG_map/Tetraploid-vs-Diploid/ko04972.html","ko04972")</f>
        <v>ko04972</v>
      </c>
    </row>
    <row r="224" spans="1:13">
      <c r="A224" s="14" t="s">
        <v>21812</v>
      </c>
      <c r="B224" s="14" t="s">
        <v>21813</v>
      </c>
      <c r="C224" s="14" t="s">
        <v>21556</v>
      </c>
      <c r="D224" s="14" t="s">
        <v>21805</v>
      </c>
      <c r="E224" s="14">
        <v>2</v>
      </c>
      <c r="F224" s="14">
        <v>362</v>
      </c>
      <c r="G224" s="14">
        <v>10</v>
      </c>
      <c r="H224" s="14">
        <v>4984</v>
      </c>
      <c r="I224" s="14">
        <v>0.16095313869424</v>
      </c>
      <c r="J224" s="14">
        <v>0.968945075948278</v>
      </c>
      <c r="K224" s="14">
        <v>2.75359116022099</v>
      </c>
      <c r="L224" s="14" t="s">
        <v>22167</v>
      </c>
      <c r="M224" s="14" t="str">
        <f>HYPERLINK("../../3.KEGG_map/Tetraploid-vs-Diploid/ko04973.html","ko04973")</f>
        <v>ko04973</v>
      </c>
    </row>
    <row r="225" spans="1:13">
      <c r="A225" s="14" t="s">
        <v>22168</v>
      </c>
      <c r="B225" s="14" t="s">
        <v>22169</v>
      </c>
      <c r="C225" s="14" t="s">
        <v>21556</v>
      </c>
      <c r="D225" s="14" t="s">
        <v>21805</v>
      </c>
      <c r="E225" s="14">
        <v>1</v>
      </c>
      <c r="F225" s="14">
        <v>362</v>
      </c>
      <c r="G225" s="14">
        <v>13</v>
      </c>
      <c r="H225" s="14">
        <v>4984</v>
      </c>
      <c r="I225" s="14">
        <v>0.625250085509274</v>
      </c>
      <c r="J225" s="14">
        <v>0.999997675348157</v>
      </c>
      <c r="K225" s="14">
        <v>1.05907352316192</v>
      </c>
      <c r="L225" s="14" t="s">
        <v>14693</v>
      </c>
      <c r="M225" s="14" t="str">
        <f>HYPERLINK("../../3.KEGG_map/Tetraploid-vs-Diploid/ko04974.html","ko04974")</f>
        <v>ko04974</v>
      </c>
    </row>
    <row r="226" spans="1:13">
      <c r="A226" s="14" t="s">
        <v>21816</v>
      </c>
      <c r="B226" s="14" t="s">
        <v>21817</v>
      </c>
      <c r="C226" s="14" t="s">
        <v>21556</v>
      </c>
      <c r="D226" s="14" t="s">
        <v>21805</v>
      </c>
      <c r="E226" s="14">
        <v>8</v>
      </c>
      <c r="F226" s="14">
        <v>362</v>
      </c>
      <c r="G226" s="14">
        <v>56</v>
      </c>
      <c r="H226" s="14">
        <v>4984</v>
      </c>
      <c r="I226" s="14">
        <v>0.0474219970490175</v>
      </c>
      <c r="J226" s="14">
        <v>0.540610766358799</v>
      </c>
      <c r="K226" s="14">
        <v>1.96685082872928</v>
      </c>
      <c r="L226" s="14" t="s">
        <v>22170</v>
      </c>
      <c r="M226" s="14" t="str">
        <f>HYPERLINK("../../3.KEGG_map/Tetraploid-vs-Diploid/ko04976.html","ko04976")</f>
        <v>ko04976</v>
      </c>
    </row>
    <row r="227" spans="1:13">
      <c r="A227" s="14" t="s">
        <v>21819</v>
      </c>
      <c r="B227" s="14" t="s">
        <v>21820</v>
      </c>
      <c r="C227" s="14" t="s">
        <v>21556</v>
      </c>
      <c r="D227" s="14" t="s">
        <v>21805</v>
      </c>
      <c r="E227" s="14">
        <v>3</v>
      </c>
      <c r="F227" s="14">
        <v>362</v>
      </c>
      <c r="G227" s="14">
        <v>17</v>
      </c>
      <c r="H227" s="14">
        <v>4984</v>
      </c>
      <c r="I227" s="14">
        <v>0.121160925820194</v>
      </c>
      <c r="J227" s="14">
        <v>0.961823531177483</v>
      </c>
      <c r="K227" s="14">
        <v>2.42963925901852</v>
      </c>
      <c r="L227" s="14" t="s">
        <v>22171</v>
      </c>
      <c r="M227" s="14" t="str">
        <f>HYPERLINK("../../3.KEGG_map/Tetraploid-vs-Diploid/ko04978.html","ko04978")</f>
        <v>ko04978</v>
      </c>
    </row>
    <row r="228" spans="1:13">
      <c r="A228" s="14" t="s">
        <v>21823</v>
      </c>
      <c r="B228" s="14" t="s">
        <v>21824</v>
      </c>
      <c r="C228" s="14" t="s">
        <v>21523</v>
      </c>
      <c r="D228" s="14" t="s">
        <v>21825</v>
      </c>
      <c r="E228" s="14">
        <v>14</v>
      </c>
      <c r="F228" s="14">
        <v>362</v>
      </c>
      <c r="G228" s="14">
        <v>200</v>
      </c>
      <c r="H228" s="14">
        <v>4984</v>
      </c>
      <c r="I228" s="14">
        <v>0.599158999120505</v>
      </c>
      <c r="J228" s="14">
        <v>0.999997675348157</v>
      </c>
      <c r="K228" s="14">
        <v>0.963756906077348</v>
      </c>
      <c r="L228" s="14" t="s">
        <v>22172</v>
      </c>
      <c r="M228" s="14" t="str">
        <f>HYPERLINK("../../3.KEGG_map/Tetraploid-vs-Diploid/ko05010.html","ko05010")</f>
        <v>ko05010</v>
      </c>
    </row>
    <row r="229" spans="1:13">
      <c r="A229" s="14" t="s">
        <v>21827</v>
      </c>
      <c r="B229" s="14" t="s">
        <v>21828</v>
      </c>
      <c r="C229" s="14" t="s">
        <v>21523</v>
      </c>
      <c r="D229" s="14" t="s">
        <v>21825</v>
      </c>
      <c r="E229" s="14">
        <v>15</v>
      </c>
      <c r="F229" s="14">
        <v>362</v>
      </c>
      <c r="G229" s="14">
        <v>185</v>
      </c>
      <c r="H229" s="14">
        <v>4984</v>
      </c>
      <c r="I229" s="14">
        <v>0.366474658515557</v>
      </c>
      <c r="J229" s="14">
        <v>0.999997675348157</v>
      </c>
      <c r="K229" s="14">
        <v>1.11632074063013</v>
      </c>
      <c r="L229" s="14" t="s">
        <v>22173</v>
      </c>
      <c r="M229" s="14" t="str">
        <f>HYPERLINK("../../3.KEGG_map/Tetraploid-vs-Diploid/ko05012.html","ko05012")</f>
        <v>ko05012</v>
      </c>
    </row>
    <row r="230" spans="1:13">
      <c r="A230" s="14" t="s">
        <v>21830</v>
      </c>
      <c r="B230" s="14" t="s">
        <v>21831</v>
      </c>
      <c r="C230" s="14" t="s">
        <v>21523</v>
      </c>
      <c r="D230" s="14" t="s">
        <v>21825</v>
      </c>
      <c r="E230" s="14">
        <v>6</v>
      </c>
      <c r="F230" s="14">
        <v>362</v>
      </c>
      <c r="G230" s="14">
        <v>222</v>
      </c>
      <c r="H230" s="14">
        <v>4984</v>
      </c>
      <c r="I230" s="14">
        <v>0.999231832372449</v>
      </c>
      <c r="J230" s="14">
        <v>0.999997675348157</v>
      </c>
      <c r="K230" s="14">
        <v>0.372106913543378</v>
      </c>
      <c r="L230" s="14" t="s">
        <v>22174</v>
      </c>
      <c r="M230" s="14" t="str">
        <f>HYPERLINK("../../3.KEGG_map/Tetraploid-vs-Diploid/ko05014.html","ko05014")</f>
        <v>ko05014</v>
      </c>
    </row>
    <row r="231" spans="1:13">
      <c r="A231" s="14" t="s">
        <v>21833</v>
      </c>
      <c r="B231" s="14" t="s">
        <v>21834</v>
      </c>
      <c r="C231" s="14" t="s">
        <v>21523</v>
      </c>
      <c r="D231" s="14" t="s">
        <v>21825</v>
      </c>
      <c r="E231" s="14">
        <v>4</v>
      </c>
      <c r="F231" s="14">
        <v>362</v>
      </c>
      <c r="G231" s="14">
        <v>181</v>
      </c>
      <c r="H231" s="14">
        <v>4984</v>
      </c>
      <c r="I231" s="14">
        <v>0.999413730678143</v>
      </c>
      <c r="J231" s="14">
        <v>0.999997675348157</v>
      </c>
      <c r="K231" s="14">
        <v>0.304264216599005</v>
      </c>
      <c r="L231" s="14" t="s">
        <v>22175</v>
      </c>
      <c r="M231" s="14" t="str">
        <f>HYPERLINK("../../3.KEGG_map/Tetraploid-vs-Diploid/ko05016.html","ko05016")</f>
        <v>ko05016</v>
      </c>
    </row>
    <row r="232" spans="1:13">
      <c r="A232" s="14" t="s">
        <v>22176</v>
      </c>
      <c r="B232" s="14" t="s">
        <v>22177</v>
      </c>
      <c r="C232" s="14" t="s">
        <v>21523</v>
      </c>
      <c r="D232" s="14" t="s">
        <v>21825</v>
      </c>
      <c r="E232" s="14">
        <v>3</v>
      </c>
      <c r="F232" s="14">
        <v>362</v>
      </c>
      <c r="G232" s="14">
        <v>84</v>
      </c>
      <c r="H232" s="14">
        <v>4984</v>
      </c>
      <c r="I232" s="14">
        <v>0.949951030189194</v>
      </c>
      <c r="J232" s="14">
        <v>0.999997675348157</v>
      </c>
      <c r="K232" s="14">
        <v>0.49171270718232</v>
      </c>
      <c r="L232" s="14" t="s">
        <v>22178</v>
      </c>
      <c r="M232" s="14" t="str">
        <f>HYPERLINK("../../3.KEGG_map/Tetraploid-vs-Diploid/ko05017.html","ko05017")</f>
        <v>ko05017</v>
      </c>
    </row>
    <row r="233" spans="1:13">
      <c r="A233" s="14" t="s">
        <v>7455</v>
      </c>
      <c r="B233" s="14" t="s">
        <v>7456</v>
      </c>
      <c r="C233" s="14" t="s">
        <v>21523</v>
      </c>
      <c r="D233" s="14" t="s">
        <v>21825</v>
      </c>
      <c r="E233" s="14">
        <v>8</v>
      </c>
      <c r="F233" s="14">
        <v>362</v>
      </c>
      <c r="G233" s="14">
        <v>171</v>
      </c>
      <c r="H233" s="14">
        <v>4984</v>
      </c>
      <c r="I233" s="14">
        <v>0.937782931352026</v>
      </c>
      <c r="J233" s="14">
        <v>0.999997675348157</v>
      </c>
      <c r="K233" s="14">
        <v>0.644114891279765</v>
      </c>
      <c r="L233" s="14" t="s">
        <v>22179</v>
      </c>
      <c r="M233" s="14" t="str">
        <f>HYPERLINK("../../3.KEGG_map/Tetraploid-vs-Diploid/ko05020.html","ko05020")</f>
        <v>ko05020</v>
      </c>
    </row>
    <row r="234" spans="1:13">
      <c r="A234" s="14" t="s">
        <v>21837</v>
      </c>
      <c r="B234" s="14" t="s">
        <v>21838</v>
      </c>
      <c r="C234" s="14" t="s">
        <v>21523</v>
      </c>
      <c r="D234" s="14" t="s">
        <v>21825</v>
      </c>
      <c r="E234" s="14">
        <v>10</v>
      </c>
      <c r="F234" s="14">
        <v>362</v>
      </c>
      <c r="G234" s="14">
        <v>221</v>
      </c>
      <c r="H234" s="14">
        <v>4984</v>
      </c>
      <c r="I234" s="14">
        <v>0.966095501157459</v>
      </c>
      <c r="J234" s="14">
        <v>0.999997675348157</v>
      </c>
      <c r="K234" s="14">
        <v>0.622984425389365</v>
      </c>
      <c r="L234" s="14" t="s">
        <v>22180</v>
      </c>
      <c r="M234" s="14" t="str">
        <f>HYPERLINK("../../3.KEGG_map/Tetraploid-vs-Diploid/ko05022.html","ko05022")</f>
        <v>ko05022</v>
      </c>
    </row>
    <row r="235" spans="1:13">
      <c r="A235" s="14" t="s">
        <v>21840</v>
      </c>
      <c r="B235" s="14" t="s">
        <v>21841</v>
      </c>
      <c r="C235" s="14" t="s">
        <v>21523</v>
      </c>
      <c r="D235" s="14" t="s">
        <v>21842</v>
      </c>
      <c r="E235" s="14">
        <v>2</v>
      </c>
      <c r="F235" s="14">
        <v>362</v>
      </c>
      <c r="G235" s="14">
        <v>19</v>
      </c>
      <c r="H235" s="14">
        <v>4984</v>
      </c>
      <c r="I235" s="14">
        <v>0.406393793757281</v>
      </c>
      <c r="J235" s="14">
        <v>0.999997675348157</v>
      </c>
      <c r="K235" s="14">
        <v>1.44925850537947</v>
      </c>
      <c r="L235" s="14" t="s">
        <v>22153</v>
      </c>
      <c r="M235" s="14" t="str">
        <f>HYPERLINK("../../3.KEGG_map/Tetraploid-vs-Diploid/ko05031.html","ko05031")</f>
        <v>ko05031</v>
      </c>
    </row>
    <row r="236" spans="1:13">
      <c r="A236" s="14" t="s">
        <v>21847</v>
      </c>
      <c r="B236" s="14" t="s">
        <v>21848</v>
      </c>
      <c r="C236" s="14" t="s">
        <v>21523</v>
      </c>
      <c r="D236" s="14" t="s">
        <v>21842</v>
      </c>
      <c r="E236" s="14">
        <v>3</v>
      </c>
      <c r="F236" s="14">
        <v>362</v>
      </c>
      <c r="G236" s="14">
        <v>56</v>
      </c>
      <c r="H236" s="14">
        <v>4984</v>
      </c>
      <c r="I236" s="14">
        <v>0.784188261621937</v>
      </c>
      <c r="J236" s="14">
        <v>0.999997675348157</v>
      </c>
      <c r="K236" s="14">
        <v>0.737569060773481</v>
      </c>
      <c r="L236" s="14" t="s">
        <v>22181</v>
      </c>
      <c r="M236" s="14" t="str">
        <f>HYPERLINK("../../3.KEGG_map/Tetraploid-vs-Diploid/ko05034.html","ko05034")</f>
        <v>ko05034</v>
      </c>
    </row>
    <row r="237" spans="1:13">
      <c r="A237" s="14" t="s">
        <v>22182</v>
      </c>
      <c r="B237" s="14" t="s">
        <v>22183</v>
      </c>
      <c r="C237" s="14" t="s">
        <v>21523</v>
      </c>
      <c r="D237" s="14" t="s">
        <v>21852</v>
      </c>
      <c r="E237" s="14">
        <v>2</v>
      </c>
      <c r="F237" s="14">
        <v>362</v>
      </c>
      <c r="G237" s="14">
        <v>35</v>
      </c>
      <c r="H237" s="14">
        <v>4984</v>
      </c>
      <c r="I237" s="14">
        <v>0.733864058427143</v>
      </c>
      <c r="J237" s="14">
        <v>0.999997675348157</v>
      </c>
      <c r="K237" s="14">
        <v>0.786740331491713</v>
      </c>
      <c r="L237" s="14" t="s">
        <v>22184</v>
      </c>
      <c r="M237" s="14" t="str">
        <f>HYPERLINK("../../3.KEGG_map/Tetraploid-vs-Diploid/ko05110.html","ko05110")</f>
        <v>ko05110</v>
      </c>
    </row>
    <row r="238" spans="1:13">
      <c r="A238" s="14" t="s">
        <v>21853</v>
      </c>
      <c r="B238" s="14" t="s">
        <v>21854</v>
      </c>
      <c r="C238" s="14" t="s">
        <v>21523</v>
      </c>
      <c r="D238" s="14" t="s">
        <v>21852</v>
      </c>
      <c r="E238" s="14">
        <v>1</v>
      </c>
      <c r="F238" s="14">
        <v>362</v>
      </c>
      <c r="G238" s="14">
        <v>29</v>
      </c>
      <c r="H238" s="14">
        <v>4984</v>
      </c>
      <c r="I238" s="14">
        <v>0.888436159858074</v>
      </c>
      <c r="J238" s="14">
        <v>0.999997675348157</v>
      </c>
      <c r="K238" s="14">
        <v>0.474757096589827</v>
      </c>
      <c r="L238" s="14" t="s">
        <v>2399</v>
      </c>
      <c r="M238" s="14" t="str">
        <f>HYPERLINK("../../3.KEGG_map/Tetraploid-vs-Diploid/ko05120.html","ko05120")</f>
        <v>ko05120</v>
      </c>
    </row>
    <row r="239" spans="1:13">
      <c r="A239" s="14" t="s">
        <v>21855</v>
      </c>
      <c r="B239" s="14" t="s">
        <v>21856</v>
      </c>
      <c r="C239" s="14" t="s">
        <v>21523</v>
      </c>
      <c r="D239" s="14" t="s">
        <v>21852</v>
      </c>
      <c r="E239" s="14">
        <v>3</v>
      </c>
      <c r="F239" s="14">
        <v>362</v>
      </c>
      <c r="G239" s="14">
        <v>66</v>
      </c>
      <c r="H239" s="14">
        <v>4984</v>
      </c>
      <c r="I239" s="14">
        <v>0.868427488849112</v>
      </c>
      <c r="J239" s="14">
        <v>0.999997675348157</v>
      </c>
      <c r="K239" s="14">
        <v>0.625816172777499</v>
      </c>
      <c r="L239" s="14" t="s">
        <v>22185</v>
      </c>
      <c r="M239" s="14" t="str">
        <f>HYPERLINK("../../3.KEGG_map/Tetraploid-vs-Diploid/ko05130.html","ko05130")</f>
        <v>ko05130</v>
      </c>
    </row>
    <row r="240" spans="1:13">
      <c r="A240" s="14" t="s">
        <v>21857</v>
      </c>
      <c r="B240" s="14" t="s">
        <v>21858</v>
      </c>
      <c r="C240" s="14" t="s">
        <v>21523</v>
      </c>
      <c r="D240" s="14" t="s">
        <v>21852</v>
      </c>
      <c r="E240" s="14">
        <v>3</v>
      </c>
      <c r="F240" s="14">
        <v>362</v>
      </c>
      <c r="G240" s="14">
        <v>83</v>
      </c>
      <c r="H240" s="14">
        <v>4984</v>
      </c>
      <c r="I240" s="14">
        <v>0.947078251640078</v>
      </c>
      <c r="J240" s="14">
        <v>0.999997675348157</v>
      </c>
      <c r="K240" s="14">
        <v>0.497636956666445</v>
      </c>
      <c r="L240" s="14" t="s">
        <v>22186</v>
      </c>
      <c r="M240" s="14" t="str">
        <f>HYPERLINK("../../3.KEGG_map/Tetraploid-vs-Diploid/ko05131.html","ko05131")</f>
        <v>ko05131</v>
      </c>
    </row>
    <row r="241" spans="1:13">
      <c r="A241" s="14" t="s">
        <v>21860</v>
      </c>
      <c r="B241" s="14" t="s">
        <v>21861</v>
      </c>
      <c r="C241" s="14" t="s">
        <v>21523</v>
      </c>
      <c r="D241" s="14" t="s">
        <v>21852</v>
      </c>
      <c r="E241" s="14">
        <v>11</v>
      </c>
      <c r="F241" s="14">
        <v>362</v>
      </c>
      <c r="G241" s="14">
        <v>109</v>
      </c>
      <c r="H241" s="14">
        <v>4984</v>
      </c>
      <c r="I241" s="14">
        <v>0.165851294658849</v>
      </c>
      <c r="J241" s="14">
        <v>0.968945075948278</v>
      </c>
      <c r="K241" s="14">
        <v>1.3894267322216</v>
      </c>
      <c r="L241" s="14" t="s">
        <v>22187</v>
      </c>
      <c r="M241" s="14" t="str">
        <f>HYPERLINK("../../3.KEGG_map/Tetraploid-vs-Diploid/ko05132.html","ko05132")</f>
        <v>ko05132</v>
      </c>
    </row>
    <row r="242" spans="1:13">
      <c r="A242" s="14" t="s">
        <v>21863</v>
      </c>
      <c r="B242" s="14" t="s">
        <v>21864</v>
      </c>
      <c r="C242" s="14" t="s">
        <v>21523</v>
      </c>
      <c r="D242" s="14" t="s">
        <v>21852</v>
      </c>
      <c r="E242" s="14">
        <v>1</v>
      </c>
      <c r="F242" s="14">
        <v>362</v>
      </c>
      <c r="G242" s="14">
        <v>13</v>
      </c>
      <c r="H242" s="14">
        <v>4984</v>
      </c>
      <c r="I242" s="14">
        <v>0.625250085509274</v>
      </c>
      <c r="J242" s="14">
        <v>0.999997675348157</v>
      </c>
      <c r="K242" s="14">
        <v>1.05907352316192</v>
      </c>
      <c r="L242" s="14" t="s">
        <v>8484</v>
      </c>
      <c r="M242" s="14" t="str">
        <f>HYPERLINK("../../3.KEGG_map/Tetraploid-vs-Diploid/ko05133.html","ko05133")</f>
        <v>ko05133</v>
      </c>
    </row>
    <row r="243" spans="1:13">
      <c r="A243" s="14" t="s">
        <v>21866</v>
      </c>
      <c r="B243" s="14" t="s">
        <v>21867</v>
      </c>
      <c r="C243" s="14" t="s">
        <v>21523</v>
      </c>
      <c r="D243" s="14" t="s">
        <v>21852</v>
      </c>
      <c r="E243" s="14">
        <v>4</v>
      </c>
      <c r="F243" s="14">
        <v>362</v>
      </c>
      <c r="G243" s="14">
        <v>33</v>
      </c>
      <c r="H243" s="14">
        <v>4984</v>
      </c>
      <c r="I243" s="14">
        <v>0.215184643329637</v>
      </c>
      <c r="J243" s="14">
        <v>0.999997675348157</v>
      </c>
      <c r="K243" s="14">
        <v>1.66884312740666</v>
      </c>
      <c r="L243" s="14" t="s">
        <v>22188</v>
      </c>
      <c r="M243" s="14" t="str">
        <f>HYPERLINK("../../3.KEGG_map/Tetraploid-vs-Diploid/ko05134.html","ko05134")</f>
        <v>ko05134</v>
      </c>
    </row>
    <row r="244" spans="1:13">
      <c r="A244" s="14" t="s">
        <v>21868</v>
      </c>
      <c r="B244" s="14" t="s">
        <v>21869</v>
      </c>
      <c r="C244" s="14" t="s">
        <v>21523</v>
      </c>
      <c r="D244" s="14" t="s">
        <v>21852</v>
      </c>
      <c r="E244" s="14">
        <v>1</v>
      </c>
      <c r="F244" s="14">
        <v>362</v>
      </c>
      <c r="G244" s="14">
        <v>27</v>
      </c>
      <c r="H244" s="14">
        <v>4984</v>
      </c>
      <c r="I244" s="14">
        <v>0.870163390869769</v>
      </c>
      <c r="J244" s="14">
        <v>0.999997675348157</v>
      </c>
      <c r="K244" s="14">
        <v>0.509924288929814</v>
      </c>
      <c r="L244" s="14" t="s">
        <v>4297</v>
      </c>
      <c r="M244" s="14" t="str">
        <f>HYPERLINK("../../3.KEGG_map/Tetraploid-vs-Diploid/ko05135.html","ko05135")</f>
        <v>ko05135</v>
      </c>
    </row>
    <row r="245" spans="1:13">
      <c r="A245" s="14" t="s">
        <v>22189</v>
      </c>
      <c r="B245" s="14" t="s">
        <v>22190</v>
      </c>
      <c r="C245" s="14" t="s">
        <v>21523</v>
      </c>
      <c r="D245" s="14" t="s">
        <v>21872</v>
      </c>
      <c r="E245" s="14">
        <v>1</v>
      </c>
      <c r="F245" s="14">
        <v>362</v>
      </c>
      <c r="G245" s="14">
        <v>5</v>
      </c>
      <c r="H245" s="14">
        <v>4984</v>
      </c>
      <c r="I245" s="14">
        <v>0.314209842931513</v>
      </c>
      <c r="J245" s="14">
        <v>0.999997675348157</v>
      </c>
      <c r="K245" s="14">
        <v>2.75359116022099</v>
      </c>
      <c r="L245" s="14" t="s">
        <v>10876</v>
      </c>
      <c r="M245" s="14" t="str">
        <f>HYPERLINK("../../3.KEGG_map/Tetraploid-vs-Diploid/ko05143.html","ko05143")</f>
        <v>ko05143</v>
      </c>
    </row>
    <row r="246" spans="1:13">
      <c r="A246" s="14" t="s">
        <v>21873</v>
      </c>
      <c r="B246" s="14" t="s">
        <v>21874</v>
      </c>
      <c r="C246" s="14" t="s">
        <v>21523</v>
      </c>
      <c r="D246" s="14" t="s">
        <v>21872</v>
      </c>
      <c r="E246" s="14">
        <v>3</v>
      </c>
      <c r="F246" s="14">
        <v>362</v>
      </c>
      <c r="G246" s="14">
        <v>29</v>
      </c>
      <c r="H246" s="14">
        <v>4984</v>
      </c>
      <c r="I246" s="14">
        <v>0.353088605562571</v>
      </c>
      <c r="J246" s="14">
        <v>0.999997675348157</v>
      </c>
      <c r="K246" s="14">
        <v>1.42427128976948</v>
      </c>
      <c r="L246" s="14" t="s">
        <v>22191</v>
      </c>
      <c r="M246" s="14" t="str">
        <f>HYPERLINK("../../3.KEGG_map/Tetraploid-vs-Diploid/ko05145.html","ko05145")</f>
        <v>ko05145</v>
      </c>
    </row>
    <row r="247" spans="1:13">
      <c r="A247" s="14" t="s">
        <v>22192</v>
      </c>
      <c r="B247" s="14" t="s">
        <v>22193</v>
      </c>
      <c r="C247" s="14" t="s">
        <v>21523</v>
      </c>
      <c r="D247" s="14" t="s">
        <v>21872</v>
      </c>
      <c r="E247" s="14">
        <v>2</v>
      </c>
      <c r="F247" s="14">
        <v>362</v>
      </c>
      <c r="G247" s="14">
        <v>9</v>
      </c>
      <c r="H247" s="14">
        <v>4984</v>
      </c>
      <c r="I247" s="14">
        <v>0.13497495440185</v>
      </c>
      <c r="J247" s="14">
        <v>0.961823531177483</v>
      </c>
      <c r="K247" s="14">
        <v>3.05954573357888</v>
      </c>
      <c r="L247" s="14" t="s">
        <v>22194</v>
      </c>
      <c r="M247" s="14" t="str">
        <f>HYPERLINK("../../3.KEGG_map/Tetraploid-vs-Diploid/ko05146.html","ko05146")</f>
        <v>ko05146</v>
      </c>
    </row>
    <row r="248" spans="1:13">
      <c r="A248" s="14" t="s">
        <v>21876</v>
      </c>
      <c r="B248" s="14" t="s">
        <v>21877</v>
      </c>
      <c r="C248" s="14" t="s">
        <v>21523</v>
      </c>
      <c r="D248" s="14" t="s">
        <v>21852</v>
      </c>
      <c r="E248" s="14">
        <v>4</v>
      </c>
      <c r="F248" s="14">
        <v>362</v>
      </c>
      <c r="G248" s="14">
        <v>58</v>
      </c>
      <c r="H248" s="14">
        <v>4984</v>
      </c>
      <c r="I248" s="14">
        <v>0.616677832647439</v>
      </c>
      <c r="J248" s="14">
        <v>0.999997675348157</v>
      </c>
      <c r="K248" s="14">
        <v>0.949514193179653</v>
      </c>
      <c r="L248" s="14" t="s">
        <v>22195</v>
      </c>
      <c r="M248" s="14" t="str">
        <f>HYPERLINK("../../3.KEGG_map/Tetraploid-vs-Diploid/ko05152.html","ko05152")</f>
        <v>ko05152</v>
      </c>
    </row>
    <row r="249" spans="1:13">
      <c r="A249" s="14" t="s">
        <v>21879</v>
      </c>
      <c r="B249" s="14" t="s">
        <v>21880</v>
      </c>
      <c r="C249" s="14" t="s">
        <v>21523</v>
      </c>
      <c r="D249" s="14" t="s">
        <v>21881</v>
      </c>
      <c r="E249" s="14">
        <v>1</v>
      </c>
      <c r="F249" s="14">
        <v>362</v>
      </c>
      <c r="G249" s="14">
        <v>34</v>
      </c>
      <c r="H249" s="14">
        <v>4984</v>
      </c>
      <c r="I249" s="14">
        <v>0.9236659571917</v>
      </c>
      <c r="J249" s="14">
        <v>0.999997675348157</v>
      </c>
      <c r="K249" s="14">
        <v>0.404939876503087</v>
      </c>
      <c r="L249" s="14" t="s">
        <v>4297</v>
      </c>
      <c r="M249" s="14" t="str">
        <f>HYPERLINK("../../3.KEGG_map/Tetraploid-vs-Diploid/ko05160.html","ko05160")</f>
        <v>ko05160</v>
      </c>
    </row>
    <row r="250" spans="1:13">
      <c r="A250" s="14" t="s">
        <v>21882</v>
      </c>
      <c r="B250" s="14" t="s">
        <v>21883</v>
      </c>
      <c r="C250" s="14" t="s">
        <v>21523</v>
      </c>
      <c r="D250" s="14" t="s">
        <v>21881</v>
      </c>
      <c r="E250" s="14">
        <v>2</v>
      </c>
      <c r="F250" s="14">
        <v>362</v>
      </c>
      <c r="G250" s="14">
        <v>25</v>
      </c>
      <c r="H250" s="14">
        <v>4984</v>
      </c>
      <c r="I250" s="14">
        <v>0.551519754048799</v>
      </c>
      <c r="J250" s="14">
        <v>0.999997675348157</v>
      </c>
      <c r="K250" s="14">
        <v>1.1014364640884</v>
      </c>
      <c r="L250" s="14" t="s">
        <v>22196</v>
      </c>
      <c r="M250" s="14" t="str">
        <f>HYPERLINK("../../3.KEGG_map/Tetraploid-vs-Diploid/ko05161.html","ko05161")</f>
        <v>ko05161</v>
      </c>
    </row>
    <row r="251" spans="1:13">
      <c r="A251" s="14" t="s">
        <v>21884</v>
      </c>
      <c r="B251" s="14" t="s">
        <v>21885</v>
      </c>
      <c r="C251" s="14" t="s">
        <v>21523</v>
      </c>
      <c r="D251" s="14" t="s">
        <v>21881</v>
      </c>
      <c r="E251" s="14">
        <v>2</v>
      </c>
      <c r="F251" s="14">
        <v>362</v>
      </c>
      <c r="G251" s="14">
        <v>28</v>
      </c>
      <c r="H251" s="14">
        <v>4984</v>
      </c>
      <c r="I251" s="14">
        <v>0.614157133528863</v>
      </c>
      <c r="J251" s="14">
        <v>0.999997675348157</v>
      </c>
      <c r="K251" s="14">
        <v>0.983425414364641</v>
      </c>
      <c r="L251" s="14" t="s">
        <v>22069</v>
      </c>
      <c r="M251" s="14" t="str">
        <f>HYPERLINK("../../3.KEGG_map/Tetraploid-vs-Diploid/ko05162.html","ko05162")</f>
        <v>ko05162</v>
      </c>
    </row>
    <row r="252" spans="1:13">
      <c r="A252" s="14" t="s">
        <v>21887</v>
      </c>
      <c r="B252" s="14" t="s">
        <v>21888</v>
      </c>
      <c r="C252" s="14" t="s">
        <v>21523</v>
      </c>
      <c r="D252" s="14" t="s">
        <v>21881</v>
      </c>
      <c r="E252" s="14">
        <v>2</v>
      </c>
      <c r="F252" s="14">
        <v>362</v>
      </c>
      <c r="G252" s="14">
        <v>32</v>
      </c>
      <c r="H252" s="14">
        <v>4984</v>
      </c>
      <c r="I252" s="14">
        <v>0.686961265064406</v>
      </c>
      <c r="J252" s="14">
        <v>0.999997675348157</v>
      </c>
      <c r="K252" s="14">
        <v>0.860497237569061</v>
      </c>
      <c r="L252" s="14" t="s">
        <v>22082</v>
      </c>
      <c r="M252" s="14" t="str">
        <f>HYPERLINK("../../3.KEGG_map/Tetraploid-vs-Diploid/ko05163.html","ko05163")</f>
        <v>ko05163</v>
      </c>
    </row>
    <row r="253" spans="1:13">
      <c r="A253" s="14" t="s">
        <v>21890</v>
      </c>
      <c r="B253" s="14" t="s">
        <v>21891</v>
      </c>
      <c r="C253" s="14" t="s">
        <v>21523</v>
      </c>
      <c r="D253" s="14" t="s">
        <v>21881</v>
      </c>
      <c r="E253" s="14">
        <v>5</v>
      </c>
      <c r="F253" s="14">
        <v>362</v>
      </c>
      <c r="G253" s="14">
        <v>47</v>
      </c>
      <c r="H253" s="14">
        <v>4984</v>
      </c>
      <c r="I253" s="14">
        <v>0.253475507640236</v>
      </c>
      <c r="J253" s="14">
        <v>0.999997675348157</v>
      </c>
      <c r="K253" s="14">
        <v>1.46467614905372</v>
      </c>
      <c r="L253" s="14" t="s">
        <v>22197</v>
      </c>
      <c r="M253" s="14" t="str">
        <f>HYPERLINK("../../3.KEGG_map/Tetraploid-vs-Diploid/ko05164.html","ko05164")</f>
        <v>ko05164</v>
      </c>
    </row>
    <row r="254" spans="1:13">
      <c r="A254" s="14" t="s">
        <v>21892</v>
      </c>
      <c r="B254" s="14" t="s">
        <v>21893</v>
      </c>
      <c r="C254" s="14" t="s">
        <v>21523</v>
      </c>
      <c r="D254" s="14" t="s">
        <v>21881</v>
      </c>
      <c r="E254" s="14">
        <v>4</v>
      </c>
      <c r="F254" s="14">
        <v>362</v>
      </c>
      <c r="G254" s="14">
        <v>93</v>
      </c>
      <c r="H254" s="14">
        <v>4984</v>
      </c>
      <c r="I254" s="14">
        <v>0.914797478389783</v>
      </c>
      <c r="J254" s="14">
        <v>0.999997675348157</v>
      </c>
      <c r="K254" s="14">
        <v>0.59217014198301</v>
      </c>
      <c r="L254" s="14" t="s">
        <v>22198</v>
      </c>
      <c r="M254" s="14" t="str">
        <f>HYPERLINK("../../3.KEGG_map/Tetraploid-vs-Diploid/ko05165.html","ko05165")</f>
        <v>ko05165</v>
      </c>
    </row>
    <row r="255" spans="1:13">
      <c r="A255" s="14" t="s">
        <v>8922</v>
      </c>
      <c r="B255" s="14" t="s">
        <v>8923</v>
      </c>
      <c r="C255" s="14" t="s">
        <v>21523</v>
      </c>
      <c r="D255" s="14" t="s">
        <v>21881</v>
      </c>
      <c r="E255" s="14">
        <v>4</v>
      </c>
      <c r="F255" s="14">
        <v>362</v>
      </c>
      <c r="G255" s="14">
        <v>95</v>
      </c>
      <c r="H255" s="14">
        <v>4984</v>
      </c>
      <c r="I255" s="14">
        <v>0.9227281698072</v>
      </c>
      <c r="J255" s="14">
        <v>0.999997675348157</v>
      </c>
      <c r="K255" s="14">
        <v>0.579703402151788</v>
      </c>
      <c r="L255" s="14" t="s">
        <v>22199</v>
      </c>
      <c r="M255" s="14" t="str">
        <f>HYPERLINK("../../3.KEGG_map/Tetraploid-vs-Diploid/ko05166.html","ko05166")</f>
        <v>ko05166</v>
      </c>
    </row>
    <row r="256" spans="1:13">
      <c r="A256" s="14" t="s">
        <v>21896</v>
      </c>
      <c r="B256" s="14" t="s">
        <v>21897</v>
      </c>
      <c r="C256" s="14" t="s">
        <v>21523</v>
      </c>
      <c r="D256" s="14" t="s">
        <v>21881</v>
      </c>
      <c r="E256" s="14">
        <v>2</v>
      </c>
      <c r="F256" s="14">
        <v>362</v>
      </c>
      <c r="G256" s="14">
        <v>38</v>
      </c>
      <c r="H256" s="14">
        <v>4984</v>
      </c>
      <c r="I256" s="14">
        <v>0.774662630265934</v>
      </c>
      <c r="J256" s="14">
        <v>0.999997675348157</v>
      </c>
      <c r="K256" s="14">
        <v>0.724629252689735</v>
      </c>
      <c r="L256" s="14" t="s">
        <v>22082</v>
      </c>
      <c r="M256" s="14" t="str">
        <f>HYPERLINK("../../3.KEGG_map/Tetraploid-vs-Diploid/ko05167.html","ko05167")</f>
        <v>ko05167</v>
      </c>
    </row>
    <row r="257" spans="1:13">
      <c r="A257" s="14" t="s">
        <v>9608</v>
      </c>
      <c r="B257" s="14" t="s">
        <v>9609</v>
      </c>
      <c r="C257" s="14" t="s">
        <v>21523</v>
      </c>
      <c r="D257" s="14" t="s">
        <v>21881</v>
      </c>
      <c r="E257" s="14">
        <v>1</v>
      </c>
      <c r="F257" s="14">
        <v>362</v>
      </c>
      <c r="G257" s="14">
        <v>33</v>
      </c>
      <c r="H257" s="14">
        <v>4984</v>
      </c>
      <c r="I257" s="14">
        <v>0.917644400535216</v>
      </c>
      <c r="J257" s="14">
        <v>0.999997675348157</v>
      </c>
      <c r="K257" s="14">
        <v>0.417210781851666</v>
      </c>
      <c r="L257" s="14" t="s">
        <v>9603</v>
      </c>
      <c r="M257" s="14" t="str">
        <f>HYPERLINK("../../3.KEGG_map/Tetraploid-vs-Diploid/ko05168.html","ko05168")</f>
        <v>ko05168</v>
      </c>
    </row>
    <row r="258" spans="1:13">
      <c r="A258" s="14" t="s">
        <v>21901</v>
      </c>
      <c r="B258" s="14" t="s">
        <v>21902</v>
      </c>
      <c r="C258" s="14" t="s">
        <v>21523</v>
      </c>
      <c r="D258" s="14" t="s">
        <v>21881</v>
      </c>
      <c r="E258" s="14">
        <v>3</v>
      </c>
      <c r="F258" s="14">
        <v>362</v>
      </c>
      <c r="G258" s="14">
        <v>58</v>
      </c>
      <c r="H258" s="14">
        <v>4984</v>
      </c>
      <c r="I258" s="14">
        <v>0.803956618406737</v>
      </c>
      <c r="J258" s="14">
        <v>0.999997675348157</v>
      </c>
      <c r="K258" s="14">
        <v>0.71213564488474</v>
      </c>
      <c r="L258" s="14" t="s">
        <v>22200</v>
      </c>
      <c r="M258" s="14" t="str">
        <f>HYPERLINK("../../3.KEGG_map/Tetraploid-vs-Diploid/ko05170.html","ko05170")</f>
        <v>ko05170</v>
      </c>
    </row>
    <row r="259" spans="1:13">
      <c r="A259" s="14" t="s">
        <v>21904</v>
      </c>
      <c r="B259" s="14" t="s">
        <v>21905</v>
      </c>
      <c r="C259" s="14" t="s">
        <v>21523</v>
      </c>
      <c r="D259" s="14" t="s">
        <v>21881</v>
      </c>
      <c r="E259" s="14">
        <v>1</v>
      </c>
      <c r="F259" s="14">
        <v>362</v>
      </c>
      <c r="G259" s="14">
        <v>169</v>
      </c>
      <c r="H259" s="14">
        <v>4984</v>
      </c>
      <c r="I259" s="14">
        <v>0.999997675348157</v>
      </c>
      <c r="J259" s="14">
        <v>0.999997675348157</v>
      </c>
      <c r="K259" s="14">
        <v>0.0814671940893785</v>
      </c>
      <c r="L259" s="14" t="s">
        <v>4417</v>
      </c>
      <c r="M259" s="14" t="str">
        <f>HYPERLINK("../../3.KEGG_map/Tetraploid-vs-Diploid/ko05171.html","ko05171")</f>
        <v>ko05171</v>
      </c>
    </row>
    <row r="260" spans="1:13">
      <c r="A260" s="14" t="s">
        <v>21907</v>
      </c>
      <c r="B260" s="14" t="s">
        <v>21908</v>
      </c>
      <c r="C260" s="14" t="s">
        <v>21523</v>
      </c>
      <c r="D260" s="14" t="s">
        <v>21909</v>
      </c>
      <c r="E260" s="14">
        <v>6</v>
      </c>
      <c r="F260" s="14">
        <v>362</v>
      </c>
      <c r="G260" s="14">
        <v>121</v>
      </c>
      <c r="H260" s="14">
        <v>4984</v>
      </c>
      <c r="I260" s="14">
        <v>0.883203118501101</v>
      </c>
      <c r="J260" s="14">
        <v>0.999997675348157</v>
      </c>
      <c r="K260" s="14">
        <v>0.682708552120908</v>
      </c>
      <c r="L260" s="14" t="s">
        <v>22201</v>
      </c>
      <c r="M260" s="14" t="str">
        <f>HYPERLINK("../../3.KEGG_map/Tetraploid-vs-Diploid/ko05200.html","ko05200")</f>
        <v>ko05200</v>
      </c>
    </row>
    <row r="261" spans="1:13">
      <c r="A261" s="14" t="s">
        <v>21914</v>
      </c>
      <c r="B261" s="14" t="s">
        <v>21915</v>
      </c>
      <c r="C261" s="14" t="s">
        <v>21523</v>
      </c>
      <c r="D261" s="14" t="s">
        <v>21909</v>
      </c>
      <c r="E261" s="14">
        <v>3</v>
      </c>
      <c r="F261" s="14">
        <v>362</v>
      </c>
      <c r="G261" s="14">
        <v>98</v>
      </c>
      <c r="H261" s="14">
        <v>4984</v>
      </c>
      <c r="I261" s="14">
        <v>0.977574652821339</v>
      </c>
      <c r="J261" s="14">
        <v>0.999997675348157</v>
      </c>
      <c r="K261" s="14">
        <v>0.421468034727703</v>
      </c>
      <c r="L261" s="14" t="s">
        <v>22202</v>
      </c>
      <c r="M261" s="14" t="str">
        <f>HYPERLINK("../../3.KEGG_map/Tetraploid-vs-Diploid/ko05203.html","ko05203")</f>
        <v>ko05203</v>
      </c>
    </row>
    <row r="262" spans="1:13">
      <c r="A262" s="14" t="s">
        <v>21919</v>
      </c>
      <c r="B262" s="14" t="s">
        <v>21920</v>
      </c>
      <c r="C262" s="14" t="s">
        <v>21523</v>
      </c>
      <c r="D262" s="14" t="s">
        <v>21909</v>
      </c>
      <c r="E262" s="14">
        <v>1</v>
      </c>
      <c r="F262" s="14">
        <v>362</v>
      </c>
      <c r="G262" s="14">
        <v>33</v>
      </c>
      <c r="H262" s="14">
        <v>4984</v>
      </c>
      <c r="I262" s="14">
        <v>0.917644400535216</v>
      </c>
      <c r="J262" s="14">
        <v>0.999997675348157</v>
      </c>
      <c r="K262" s="14">
        <v>0.417210781851666</v>
      </c>
      <c r="L262" s="14" t="s">
        <v>4297</v>
      </c>
      <c r="M262" s="14" t="str">
        <f>HYPERLINK("../../3.KEGG_map/Tetraploid-vs-Diploid/ko05205.html","ko05205")</f>
        <v>ko05205</v>
      </c>
    </row>
    <row r="263" spans="1:13">
      <c r="A263" s="14" t="s">
        <v>21921</v>
      </c>
      <c r="B263" s="14" t="s">
        <v>21922</v>
      </c>
      <c r="C263" s="14" t="s">
        <v>21523</v>
      </c>
      <c r="D263" s="14" t="s">
        <v>21909</v>
      </c>
      <c r="E263" s="14">
        <v>4</v>
      </c>
      <c r="F263" s="14">
        <v>362</v>
      </c>
      <c r="G263" s="14">
        <v>54</v>
      </c>
      <c r="H263" s="14">
        <v>4984</v>
      </c>
      <c r="I263" s="14">
        <v>0.559075178875504</v>
      </c>
      <c r="J263" s="14">
        <v>0.999997675348157</v>
      </c>
      <c r="K263" s="14">
        <v>1.01984857785963</v>
      </c>
      <c r="L263" s="14" t="s">
        <v>22203</v>
      </c>
      <c r="M263" s="14" t="str">
        <f>HYPERLINK("../../3.KEGG_map/Tetraploid-vs-Diploid/ko05206.html","ko05206")</f>
        <v>ko05206</v>
      </c>
    </row>
    <row r="264" spans="1:13">
      <c r="A264" s="14" t="s">
        <v>21923</v>
      </c>
      <c r="B264" s="14" t="s">
        <v>21924</v>
      </c>
      <c r="C264" s="14" t="s">
        <v>21523</v>
      </c>
      <c r="D264" s="14" t="s">
        <v>21909</v>
      </c>
      <c r="E264" s="14">
        <v>4</v>
      </c>
      <c r="F264" s="14">
        <v>362</v>
      </c>
      <c r="G264" s="14">
        <v>58</v>
      </c>
      <c r="H264" s="14">
        <v>4984</v>
      </c>
      <c r="I264" s="14">
        <v>0.616677832647439</v>
      </c>
      <c r="J264" s="14">
        <v>0.999997675348157</v>
      </c>
      <c r="K264" s="14">
        <v>0.949514193179653</v>
      </c>
      <c r="L264" s="14" t="s">
        <v>22204</v>
      </c>
      <c r="M264" s="14" t="str">
        <f>HYPERLINK("../../3.KEGG_map/Tetraploid-vs-Diploid/ko05207.html","ko05207")</f>
        <v>ko05207</v>
      </c>
    </row>
    <row r="265" spans="1:13">
      <c r="A265" s="14" t="s">
        <v>21926</v>
      </c>
      <c r="B265" s="14" t="s">
        <v>21927</v>
      </c>
      <c r="C265" s="14" t="s">
        <v>21523</v>
      </c>
      <c r="D265" s="14" t="s">
        <v>21909</v>
      </c>
      <c r="E265" s="14">
        <v>6</v>
      </c>
      <c r="F265" s="14">
        <v>362</v>
      </c>
      <c r="G265" s="14">
        <v>159</v>
      </c>
      <c r="H265" s="14">
        <v>4984</v>
      </c>
      <c r="I265" s="14">
        <v>0.978497539976635</v>
      </c>
      <c r="J265" s="14">
        <v>0.999997675348157</v>
      </c>
      <c r="K265" s="14">
        <v>0.519545501928489</v>
      </c>
      <c r="L265" s="14" t="s">
        <v>22205</v>
      </c>
      <c r="M265" s="14" t="str">
        <f>HYPERLINK("../../3.KEGG_map/Tetraploid-vs-Diploid/ko05208.html","ko05208")</f>
        <v>ko05208</v>
      </c>
    </row>
    <row r="266" spans="1:13">
      <c r="A266" s="14" t="s">
        <v>21929</v>
      </c>
      <c r="B266" s="14" t="s">
        <v>21930</v>
      </c>
      <c r="C266" s="14" t="s">
        <v>21523</v>
      </c>
      <c r="D266" s="14" t="s">
        <v>21931</v>
      </c>
      <c r="E266" s="14">
        <v>1</v>
      </c>
      <c r="F266" s="14">
        <v>362</v>
      </c>
      <c r="G266" s="14">
        <v>23</v>
      </c>
      <c r="H266" s="14">
        <v>4984</v>
      </c>
      <c r="I266" s="14">
        <v>0.824182622133103</v>
      </c>
      <c r="J266" s="14">
        <v>0.999997675348157</v>
      </c>
      <c r="K266" s="14">
        <v>0.598606773961086</v>
      </c>
      <c r="L266" s="14" t="s">
        <v>4297</v>
      </c>
      <c r="M266" s="14" t="str">
        <f>HYPERLINK("../../3.KEGG_map/Tetraploid-vs-Diploid/ko05210.html","ko05210")</f>
        <v>ko05210</v>
      </c>
    </row>
    <row r="267" spans="1:13">
      <c r="A267" s="14" t="s">
        <v>21933</v>
      </c>
      <c r="B267" s="14" t="s">
        <v>21934</v>
      </c>
      <c r="C267" s="14" t="s">
        <v>21523</v>
      </c>
      <c r="D267" s="14" t="s">
        <v>21931</v>
      </c>
      <c r="E267" s="14">
        <v>1</v>
      </c>
      <c r="F267" s="14">
        <v>362</v>
      </c>
      <c r="G267" s="14">
        <v>19</v>
      </c>
      <c r="H267" s="14">
        <v>4984</v>
      </c>
      <c r="I267" s="14">
        <v>0.761978490372629</v>
      </c>
      <c r="J267" s="14">
        <v>0.999997675348157</v>
      </c>
      <c r="K267" s="14">
        <v>0.724629252689735</v>
      </c>
      <c r="L267" s="14" t="s">
        <v>4297</v>
      </c>
      <c r="M267" s="14" t="str">
        <f>HYPERLINK("../../3.KEGG_map/Tetraploid-vs-Diploid/ko05211.html","ko05211")</f>
        <v>ko05211</v>
      </c>
    </row>
    <row r="268" spans="1:13">
      <c r="A268" s="14" t="s">
        <v>21935</v>
      </c>
      <c r="B268" s="14" t="s">
        <v>21936</v>
      </c>
      <c r="C268" s="14" t="s">
        <v>21523</v>
      </c>
      <c r="D268" s="14" t="s">
        <v>21931</v>
      </c>
      <c r="E268" s="14">
        <v>3</v>
      </c>
      <c r="F268" s="14">
        <v>362</v>
      </c>
      <c r="G268" s="14">
        <v>32</v>
      </c>
      <c r="H268" s="14">
        <v>4984</v>
      </c>
      <c r="I268" s="14">
        <v>0.413780976145957</v>
      </c>
      <c r="J268" s="14">
        <v>0.999997675348157</v>
      </c>
      <c r="K268" s="14">
        <v>1.29074585635359</v>
      </c>
      <c r="L268" s="14" t="s">
        <v>22089</v>
      </c>
      <c r="M268" s="14" t="str">
        <f>HYPERLINK("../../3.KEGG_map/Tetraploid-vs-Diploid/ko05212.html","ko05212")</f>
        <v>ko05212</v>
      </c>
    </row>
    <row r="269" spans="1:13">
      <c r="A269" s="14" t="s">
        <v>21938</v>
      </c>
      <c r="B269" s="14" t="s">
        <v>21939</v>
      </c>
      <c r="C269" s="14" t="s">
        <v>21523</v>
      </c>
      <c r="D269" s="14" t="s">
        <v>21931</v>
      </c>
      <c r="E269" s="14">
        <v>1</v>
      </c>
      <c r="F269" s="14">
        <v>362</v>
      </c>
      <c r="G269" s="14">
        <v>13</v>
      </c>
      <c r="H269" s="14">
        <v>4984</v>
      </c>
      <c r="I269" s="14">
        <v>0.625250085509274</v>
      </c>
      <c r="J269" s="14">
        <v>0.999997675348157</v>
      </c>
      <c r="K269" s="14">
        <v>1.05907352316192</v>
      </c>
      <c r="L269" s="14" t="s">
        <v>4297</v>
      </c>
      <c r="M269" s="14" t="str">
        <f>HYPERLINK("../../3.KEGG_map/Tetraploid-vs-Diploid/ko05213.html","ko05213")</f>
        <v>ko05213</v>
      </c>
    </row>
    <row r="270" spans="1:13">
      <c r="A270" s="14" t="s">
        <v>21940</v>
      </c>
      <c r="B270" s="14" t="s">
        <v>21941</v>
      </c>
      <c r="C270" s="14" t="s">
        <v>21523</v>
      </c>
      <c r="D270" s="14" t="s">
        <v>21931</v>
      </c>
      <c r="E270" s="14">
        <v>2</v>
      </c>
      <c r="F270" s="14">
        <v>362</v>
      </c>
      <c r="G270" s="14">
        <v>18</v>
      </c>
      <c r="H270" s="14">
        <v>4984</v>
      </c>
      <c r="I270" s="14">
        <v>0.379985549187803</v>
      </c>
      <c r="J270" s="14">
        <v>0.999997675348157</v>
      </c>
      <c r="K270" s="14">
        <v>1.52977286678944</v>
      </c>
      <c r="L270" s="14" t="s">
        <v>22082</v>
      </c>
      <c r="M270" s="14" t="str">
        <f>HYPERLINK("../../3.KEGG_map/Tetraploid-vs-Diploid/ko05214.html","ko05214")</f>
        <v>ko05214</v>
      </c>
    </row>
    <row r="271" spans="1:13">
      <c r="A271" s="14" t="s">
        <v>21942</v>
      </c>
      <c r="B271" s="14" t="s">
        <v>21943</v>
      </c>
      <c r="C271" s="14" t="s">
        <v>21523</v>
      </c>
      <c r="D271" s="14" t="s">
        <v>21931</v>
      </c>
      <c r="E271" s="14">
        <v>3</v>
      </c>
      <c r="F271" s="14">
        <v>362</v>
      </c>
      <c r="G271" s="14">
        <v>25</v>
      </c>
      <c r="H271" s="14">
        <v>4984</v>
      </c>
      <c r="I271" s="14">
        <v>0.271397300023508</v>
      </c>
      <c r="J271" s="14">
        <v>0.999997675348157</v>
      </c>
      <c r="K271" s="14">
        <v>1.6521546961326</v>
      </c>
      <c r="L271" s="14" t="s">
        <v>22114</v>
      </c>
      <c r="M271" s="14" t="str">
        <f>HYPERLINK("../../3.KEGG_map/Tetraploid-vs-Diploid/ko05215.html","ko05215")</f>
        <v>ko05215</v>
      </c>
    </row>
    <row r="272" spans="1:13">
      <c r="A272" s="14" t="s">
        <v>21945</v>
      </c>
      <c r="B272" s="14" t="s">
        <v>21946</v>
      </c>
      <c r="C272" s="14" t="s">
        <v>21523</v>
      </c>
      <c r="D272" s="14" t="s">
        <v>21931</v>
      </c>
      <c r="E272" s="14">
        <v>1</v>
      </c>
      <c r="F272" s="14">
        <v>362</v>
      </c>
      <c r="G272" s="14">
        <v>8</v>
      </c>
      <c r="H272" s="14">
        <v>4984</v>
      </c>
      <c r="I272" s="14">
        <v>0.453205713046698</v>
      </c>
      <c r="J272" s="14">
        <v>0.999997675348157</v>
      </c>
      <c r="K272" s="14">
        <v>1.72099447513812</v>
      </c>
      <c r="L272" s="14" t="s">
        <v>4297</v>
      </c>
      <c r="M272" s="14" t="str">
        <f>HYPERLINK("../../3.KEGG_map/Tetraploid-vs-Diploid/ko05216.html","ko05216")</f>
        <v>ko05216</v>
      </c>
    </row>
    <row r="273" spans="1:13">
      <c r="A273" s="14" t="s">
        <v>21947</v>
      </c>
      <c r="B273" s="14" t="s">
        <v>21948</v>
      </c>
      <c r="C273" s="14" t="s">
        <v>21523</v>
      </c>
      <c r="D273" s="14" t="s">
        <v>21931</v>
      </c>
      <c r="E273" s="14">
        <v>1</v>
      </c>
      <c r="F273" s="14">
        <v>362</v>
      </c>
      <c r="G273" s="14">
        <v>12</v>
      </c>
      <c r="H273" s="14">
        <v>4984</v>
      </c>
      <c r="I273" s="14">
        <v>0.595822868796554</v>
      </c>
      <c r="J273" s="14">
        <v>0.999997675348157</v>
      </c>
      <c r="K273" s="14">
        <v>1.14732965009208</v>
      </c>
      <c r="L273" s="14" t="s">
        <v>4297</v>
      </c>
      <c r="M273" s="14" t="str">
        <f>HYPERLINK("../../3.KEGG_map/Tetraploid-vs-Diploid/ko05218.html","ko05218")</f>
        <v>ko05218</v>
      </c>
    </row>
    <row r="274" spans="1:13">
      <c r="A274" s="14" t="s">
        <v>21949</v>
      </c>
      <c r="B274" s="14" t="s">
        <v>21950</v>
      </c>
      <c r="C274" s="14" t="s">
        <v>21523</v>
      </c>
      <c r="D274" s="14" t="s">
        <v>21931</v>
      </c>
      <c r="E274" s="14">
        <v>1</v>
      </c>
      <c r="F274" s="14">
        <v>362</v>
      </c>
      <c r="G274" s="14">
        <v>7</v>
      </c>
      <c r="H274" s="14">
        <v>4984</v>
      </c>
      <c r="I274" s="14">
        <v>0.410315240267262</v>
      </c>
      <c r="J274" s="14">
        <v>0.999997675348157</v>
      </c>
      <c r="K274" s="14">
        <v>1.96685082872928</v>
      </c>
      <c r="L274" s="14" t="s">
        <v>4297</v>
      </c>
      <c r="M274" s="14" t="str">
        <f>HYPERLINK("../../3.KEGG_map/Tetraploid-vs-Diploid/ko05219.html","ko05219")</f>
        <v>ko05219</v>
      </c>
    </row>
    <row r="275" spans="1:13">
      <c r="A275" s="14" t="s">
        <v>21951</v>
      </c>
      <c r="B275" s="14" t="s">
        <v>21952</v>
      </c>
      <c r="C275" s="14" t="s">
        <v>21523</v>
      </c>
      <c r="D275" s="14" t="s">
        <v>21931</v>
      </c>
      <c r="E275" s="14">
        <v>1</v>
      </c>
      <c r="F275" s="14">
        <v>362</v>
      </c>
      <c r="G275" s="14">
        <v>12</v>
      </c>
      <c r="H275" s="14">
        <v>4984</v>
      </c>
      <c r="I275" s="14">
        <v>0.595822868796554</v>
      </c>
      <c r="J275" s="14">
        <v>0.999997675348157</v>
      </c>
      <c r="K275" s="14">
        <v>1.14732965009208</v>
      </c>
      <c r="L275" s="14" t="s">
        <v>4297</v>
      </c>
      <c r="M275" s="14" t="str">
        <f>HYPERLINK("../../3.KEGG_map/Tetraploid-vs-Diploid/ko05220.html","ko05220")</f>
        <v>ko05220</v>
      </c>
    </row>
    <row r="276" spans="1:13">
      <c r="A276" s="14" t="s">
        <v>21953</v>
      </c>
      <c r="B276" s="14" t="s">
        <v>21954</v>
      </c>
      <c r="C276" s="14" t="s">
        <v>21523</v>
      </c>
      <c r="D276" s="14" t="s">
        <v>21931</v>
      </c>
      <c r="E276" s="14">
        <v>1</v>
      </c>
      <c r="F276" s="14">
        <v>362</v>
      </c>
      <c r="G276" s="14">
        <v>11</v>
      </c>
      <c r="H276" s="14">
        <v>4984</v>
      </c>
      <c r="I276" s="14">
        <v>0.564091764590167</v>
      </c>
      <c r="J276" s="14">
        <v>0.999997675348157</v>
      </c>
      <c r="K276" s="14">
        <v>1.251632345555</v>
      </c>
      <c r="L276" s="14" t="s">
        <v>4297</v>
      </c>
      <c r="M276" s="14" t="str">
        <f>HYPERLINK("../../3.KEGG_map/Tetraploid-vs-Diploid/ko05221.html","ko05221")</f>
        <v>ko05221</v>
      </c>
    </row>
    <row r="277" spans="1:13">
      <c r="A277" s="14" t="s">
        <v>21955</v>
      </c>
      <c r="B277" s="14" t="s">
        <v>21956</v>
      </c>
      <c r="C277" s="14" t="s">
        <v>21523</v>
      </c>
      <c r="D277" s="14" t="s">
        <v>21931</v>
      </c>
      <c r="E277" s="14">
        <v>1</v>
      </c>
      <c r="F277" s="14">
        <v>362</v>
      </c>
      <c r="G277" s="14">
        <v>11</v>
      </c>
      <c r="H277" s="14">
        <v>4984</v>
      </c>
      <c r="I277" s="14">
        <v>0.564091764590167</v>
      </c>
      <c r="J277" s="14">
        <v>0.999997675348157</v>
      </c>
      <c r="K277" s="14">
        <v>1.251632345555</v>
      </c>
      <c r="L277" s="14" t="s">
        <v>4297</v>
      </c>
      <c r="M277" s="14" t="str">
        <f>HYPERLINK("../../3.KEGG_map/Tetraploid-vs-Diploid/ko05223.html","ko05223")</f>
        <v>ko05223</v>
      </c>
    </row>
    <row r="278" spans="1:13">
      <c r="A278" s="14" t="s">
        <v>21957</v>
      </c>
      <c r="B278" s="14" t="s">
        <v>21958</v>
      </c>
      <c r="C278" s="14" t="s">
        <v>21523</v>
      </c>
      <c r="D278" s="14" t="s">
        <v>21931</v>
      </c>
      <c r="E278" s="14">
        <v>1</v>
      </c>
      <c r="F278" s="14">
        <v>362</v>
      </c>
      <c r="G278" s="14">
        <v>16</v>
      </c>
      <c r="H278" s="14">
        <v>4984</v>
      </c>
      <c r="I278" s="14">
        <v>0.701317495294019</v>
      </c>
      <c r="J278" s="14">
        <v>0.999997675348157</v>
      </c>
      <c r="K278" s="14">
        <v>0.860497237569061</v>
      </c>
      <c r="L278" s="14" t="s">
        <v>4297</v>
      </c>
      <c r="M278" s="14" t="str">
        <f>HYPERLINK("../../3.KEGG_map/Tetraploid-vs-Diploid/ko05224.html","ko05224")</f>
        <v>ko05224</v>
      </c>
    </row>
    <row r="279" spans="1:13">
      <c r="A279" s="14" t="s">
        <v>21959</v>
      </c>
      <c r="B279" s="14" t="s">
        <v>21960</v>
      </c>
      <c r="C279" s="14" t="s">
        <v>21523</v>
      </c>
      <c r="D279" s="14" t="s">
        <v>21931</v>
      </c>
      <c r="E279" s="14">
        <v>1</v>
      </c>
      <c r="F279" s="14">
        <v>362</v>
      </c>
      <c r="G279" s="14">
        <v>60</v>
      </c>
      <c r="H279" s="14">
        <v>4984</v>
      </c>
      <c r="I279" s="14">
        <v>0.989457736946404</v>
      </c>
      <c r="J279" s="14">
        <v>0.999997675348157</v>
      </c>
      <c r="K279" s="14">
        <v>0.229465930018416</v>
      </c>
      <c r="L279" s="14" t="s">
        <v>4297</v>
      </c>
      <c r="M279" s="14" t="str">
        <f>HYPERLINK("../../3.KEGG_map/Tetraploid-vs-Diploid/ko05225.html","ko05225")</f>
        <v>ko05225</v>
      </c>
    </row>
    <row r="280" spans="1:13">
      <c r="A280" s="14" t="s">
        <v>21962</v>
      </c>
      <c r="B280" s="14" t="s">
        <v>21963</v>
      </c>
      <c r="C280" s="14" t="s">
        <v>21523</v>
      </c>
      <c r="D280" s="14" t="s">
        <v>21931</v>
      </c>
      <c r="E280" s="14">
        <v>3</v>
      </c>
      <c r="F280" s="14">
        <v>362</v>
      </c>
      <c r="G280" s="14">
        <v>40</v>
      </c>
      <c r="H280" s="14">
        <v>4984</v>
      </c>
      <c r="I280" s="14">
        <v>0.563968176853247</v>
      </c>
      <c r="J280" s="14">
        <v>0.999997675348157</v>
      </c>
      <c r="K280" s="14">
        <v>1.03259668508287</v>
      </c>
      <c r="L280" s="14" t="s">
        <v>22206</v>
      </c>
      <c r="M280" s="14" t="str">
        <f>HYPERLINK("../../3.KEGG_map/Tetraploid-vs-Diploid/ko05226.html","ko05226")</f>
        <v>ko05226</v>
      </c>
    </row>
    <row r="281" spans="1:13">
      <c r="A281" s="14" t="s">
        <v>21964</v>
      </c>
      <c r="B281" s="14" t="s">
        <v>21965</v>
      </c>
      <c r="C281" s="14" t="s">
        <v>21523</v>
      </c>
      <c r="D281" s="14" t="s">
        <v>21909</v>
      </c>
      <c r="E281" s="14">
        <v>4</v>
      </c>
      <c r="F281" s="14">
        <v>362</v>
      </c>
      <c r="G281" s="14">
        <v>43</v>
      </c>
      <c r="H281" s="14">
        <v>4984</v>
      </c>
      <c r="I281" s="14">
        <v>0.381351737885575</v>
      </c>
      <c r="J281" s="14">
        <v>0.999997675348157</v>
      </c>
      <c r="K281" s="14">
        <v>1.28074007452139</v>
      </c>
      <c r="L281" s="14" t="s">
        <v>22207</v>
      </c>
      <c r="M281" s="14" t="str">
        <f>HYPERLINK("../../3.KEGG_map/Tetraploid-vs-Diploid/ko05230.html","ko05230")</f>
        <v>ko05230</v>
      </c>
    </row>
    <row r="282" spans="1:13">
      <c r="A282" s="14" t="s">
        <v>16038</v>
      </c>
      <c r="B282" s="14" t="s">
        <v>16039</v>
      </c>
      <c r="C282" s="14" t="s">
        <v>21523</v>
      </c>
      <c r="D282" s="14" t="s">
        <v>21909</v>
      </c>
      <c r="E282" s="14">
        <v>3</v>
      </c>
      <c r="F282" s="14">
        <v>362</v>
      </c>
      <c r="G282" s="14">
        <v>43</v>
      </c>
      <c r="H282" s="14">
        <v>4984</v>
      </c>
      <c r="I282" s="14">
        <v>0.613957473808301</v>
      </c>
      <c r="J282" s="14">
        <v>0.999997675348157</v>
      </c>
      <c r="K282" s="14">
        <v>0.960555055891045</v>
      </c>
      <c r="L282" s="14" t="s">
        <v>22089</v>
      </c>
      <c r="M282" s="14" t="str">
        <f>HYPERLINK("../../3.KEGG_map/Tetraploid-vs-Diploid/ko05231.html","ko05231")</f>
        <v>ko05231</v>
      </c>
    </row>
    <row r="283" spans="1:13">
      <c r="A283" s="14" t="s">
        <v>21968</v>
      </c>
      <c r="B283" s="14" t="s">
        <v>21969</v>
      </c>
      <c r="C283" s="14" t="s">
        <v>21523</v>
      </c>
      <c r="D283" s="14" t="s">
        <v>21909</v>
      </c>
      <c r="E283" s="14">
        <v>1</v>
      </c>
      <c r="F283" s="14">
        <v>362</v>
      </c>
      <c r="G283" s="14">
        <v>19</v>
      </c>
      <c r="H283" s="14">
        <v>4984</v>
      </c>
      <c r="I283" s="14">
        <v>0.761978490372629</v>
      </c>
      <c r="J283" s="14">
        <v>0.999997675348157</v>
      </c>
      <c r="K283" s="14">
        <v>0.724629252689735</v>
      </c>
      <c r="L283" s="14" t="s">
        <v>4297</v>
      </c>
      <c r="M283" s="14" t="str">
        <f>HYPERLINK("../../3.KEGG_map/Tetraploid-vs-Diploid/ko05235.html","ko05235")</f>
        <v>ko05235</v>
      </c>
    </row>
    <row r="284" spans="1:13">
      <c r="A284" s="14" t="s">
        <v>22208</v>
      </c>
      <c r="B284" s="14" t="s">
        <v>22209</v>
      </c>
      <c r="C284" s="14" t="s">
        <v>21523</v>
      </c>
      <c r="D284" s="14" t="s">
        <v>21972</v>
      </c>
      <c r="E284" s="14">
        <v>3</v>
      </c>
      <c r="F284" s="14">
        <v>362</v>
      </c>
      <c r="G284" s="14">
        <v>24</v>
      </c>
      <c r="H284" s="14">
        <v>4984</v>
      </c>
      <c r="I284" s="14">
        <v>0.251228483333687</v>
      </c>
      <c r="J284" s="14">
        <v>0.999997675348157</v>
      </c>
      <c r="K284" s="14">
        <v>1.72099447513812</v>
      </c>
      <c r="L284" s="14" t="s">
        <v>22210</v>
      </c>
      <c r="M284" s="14" t="str">
        <f>HYPERLINK("../../3.KEGG_map/Tetraploid-vs-Diploid/ko05323.html","ko05323")</f>
        <v>ko05323</v>
      </c>
    </row>
    <row r="285" spans="1:13">
      <c r="A285" s="14" t="s">
        <v>21973</v>
      </c>
      <c r="B285" s="14" t="s">
        <v>21974</v>
      </c>
      <c r="C285" s="14" t="s">
        <v>21523</v>
      </c>
      <c r="D285" s="14" t="s">
        <v>21975</v>
      </c>
      <c r="E285" s="14">
        <v>2</v>
      </c>
      <c r="F285" s="14">
        <v>362</v>
      </c>
      <c r="G285" s="14">
        <v>127</v>
      </c>
      <c r="H285" s="14">
        <v>4984</v>
      </c>
      <c r="I285" s="14">
        <v>0.999315119010115</v>
      </c>
      <c r="J285" s="14">
        <v>0.999997675348157</v>
      </c>
      <c r="K285" s="14">
        <v>0.216818201592204</v>
      </c>
      <c r="L285" s="14" t="s">
        <v>22211</v>
      </c>
      <c r="M285" s="14" t="str">
        <f>HYPERLINK("../../3.KEGG_map/Tetraploid-vs-Diploid/ko05415.html","ko05415")</f>
        <v>ko05415</v>
      </c>
    </row>
    <row r="286" spans="1:13">
      <c r="A286" s="14" t="s">
        <v>21978</v>
      </c>
      <c r="B286" s="14" t="s">
        <v>21979</v>
      </c>
      <c r="C286" s="14" t="s">
        <v>21523</v>
      </c>
      <c r="D286" s="14" t="s">
        <v>21975</v>
      </c>
      <c r="E286" s="14">
        <v>5</v>
      </c>
      <c r="F286" s="14">
        <v>362</v>
      </c>
      <c r="G286" s="14">
        <v>54</v>
      </c>
      <c r="H286" s="14">
        <v>4984</v>
      </c>
      <c r="I286" s="14">
        <v>0.355111227202591</v>
      </c>
      <c r="J286" s="14">
        <v>0.999997675348157</v>
      </c>
      <c r="K286" s="14">
        <v>1.27481072232453</v>
      </c>
      <c r="L286" s="14" t="s">
        <v>22212</v>
      </c>
      <c r="M286" s="14" t="str">
        <f>HYPERLINK("../../3.KEGG_map/Tetraploid-vs-Diploid/ko05417.html","ko05417")</f>
        <v>ko05417</v>
      </c>
    </row>
    <row r="287" spans="1:13">
      <c r="A287" s="14" t="s">
        <v>21981</v>
      </c>
      <c r="B287" s="14" t="s">
        <v>21982</v>
      </c>
      <c r="C287" s="14" t="s">
        <v>21523</v>
      </c>
      <c r="D287" s="14" t="s">
        <v>21975</v>
      </c>
      <c r="E287" s="14">
        <v>6</v>
      </c>
      <c r="F287" s="14">
        <v>362</v>
      </c>
      <c r="G287" s="14">
        <v>73</v>
      </c>
      <c r="H287" s="14">
        <v>4984</v>
      </c>
      <c r="I287" s="14">
        <v>0.439148704400562</v>
      </c>
      <c r="J287" s="14">
        <v>0.999997675348157</v>
      </c>
      <c r="K287" s="14">
        <v>1.13161280557027</v>
      </c>
      <c r="L287" s="14" t="s">
        <v>22213</v>
      </c>
      <c r="M287" s="14" t="str">
        <f>HYPERLINK("../../3.KEGG_map/Tetraploid-vs-Diploid/ko05418.html","ko05418")</f>
        <v>ko05418</v>
      </c>
    </row>
  </sheetData>
  <mergeCells count="1">
    <mergeCell ref="A1:K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C8" sqref="C8"/>
    </sheetView>
  </sheetViews>
  <sheetFormatPr defaultColWidth="8.88888888888889" defaultRowHeight="14.4"/>
  <cols>
    <col min="1" max="1" width="18.6666666666667" customWidth="1"/>
    <col min="8" max="8" width="58.5555555555556" customWidth="1"/>
  </cols>
  <sheetData>
    <row r="1" spans="1:11">
      <c r="A1" s="29" t="s">
        <v>22214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8">
      <c r="A2" s="30" t="s">
        <v>1</v>
      </c>
      <c r="B2" s="31" t="s">
        <v>22215</v>
      </c>
      <c r="C2" s="30" t="s">
        <v>22216</v>
      </c>
      <c r="D2" s="30" t="s">
        <v>22217</v>
      </c>
      <c r="E2" s="30" t="s">
        <v>131</v>
      </c>
      <c r="F2" s="30" t="s">
        <v>132</v>
      </c>
      <c r="G2" s="30" t="s">
        <v>22218</v>
      </c>
      <c r="H2" s="30" t="s">
        <v>22219</v>
      </c>
    </row>
    <row r="3" spans="1:8">
      <c r="A3" s="32" t="s">
        <v>7063</v>
      </c>
      <c r="B3" s="25">
        <v>0.189372695138373</v>
      </c>
      <c r="C3" s="25">
        <v>1.33609733307836</v>
      </c>
      <c r="D3" s="25">
        <v>2.55992057147726</v>
      </c>
      <c r="E3" s="25">
        <v>9.73303566900798e-6</v>
      </c>
      <c r="F3" s="32" t="s">
        <v>164</v>
      </c>
      <c r="G3" s="32" t="s">
        <v>7066</v>
      </c>
      <c r="H3" s="32" t="s">
        <v>7067</v>
      </c>
    </row>
    <row r="4" spans="1:8">
      <c r="A4" s="32" t="s">
        <v>10562</v>
      </c>
      <c r="B4" s="25">
        <v>1.93754034968091</v>
      </c>
      <c r="C4" s="25">
        <v>6.65918032253999</v>
      </c>
      <c r="D4" s="25">
        <v>1.51348240183165</v>
      </c>
      <c r="E4" s="25">
        <v>0.0364001467913452</v>
      </c>
      <c r="F4" s="32" t="s">
        <v>164</v>
      </c>
      <c r="G4" s="32" t="s">
        <v>10563</v>
      </c>
      <c r="H4" s="32" t="s">
        <v>10564</v>
      </c>
    </row>
    <row r="5" spans="1:8">
      <c r="A5" s="32" t="s">
        <v>1083</v>
      </c>
      <c r="B5" s="25">
        <v>0.591029984333333</v>
      </c>
      <c r="C5" s="25">
        <v>2.879973639</v>
      </c>
      <c r="D5" s="25">
        <v>2.087857729</v>
      </c>
      <c r="E5" s="25">
        <v>0.048385956</v>
      </c>
      <c r="F5" s="32" t="s">
        <v>164</v>
      </c>
      <c r="G5" s="32" t="s">
        <v>1084</v>
      </c>
      <c r="H5" s="32" t="s">
        <v>1085</v>
      </c>
    </row>
    <row r="6" spans="1:8">
      <c r="A6" s="32" t="s">
        <v>14600</v>
      </c>
      <c r="B6" s="25">
        <v>0.112336297666667</v>
      </c>
      <c r="C6" s="25">
        <v>1.12616</v>
      </c>
      <c r="D6" s="25">
        <v>3.000837868</v>
      </c>
      <c r="E6" s="25">
        <v>0.033663099</v>
      </c>
      <c r="F6" s="32" t="s">
        <v>164</v>
      </c>
      <c r="G6" s="32" t="s">
        <v>14601</v>
      </c>
      <c r="H6" s="32" t="s">
        <v>14602</v>
      </c>
    </row>
    <row r="7" spans="1:8">
      <c r="A7" s="32" t="s">
        <v>11948</v>
      </c>
      <c r="B7" s="25">
        <v>3.22557130436846</v>
      </c>
      <c r="C7" s="25">
        <v>9.42185410551896</v>
      </c>
      <c r="D7" s="25">
        <v>1.3039063525771</v>
      </c>
      <c r="E7" s="25">
        <v>0.00758172961563745</v>
      </c>
      <c r="F7" s="32" t="s">
        <v>164</v>
      </c>
      <c r="G7" s="32" t="s">
        <v>11949</v>
      </c>
      <c r="H7" s="32" t="s">
        <v>11950</v>
      </c>
    </row>
    <row r="8" spans="1:8">
      <c r="A8" s="32" t="s">
        <v>6163</v>
      </c>
      <c r="B8" s="25">
        <v>82.2572495986178</v>
      </c>
      <c r="C8" s="25">
        <v>224.244126096285</v>
      </c>
      <c r="D8" s="25">
        <v>1.20051018256046</v>
      </c>
      <c r="E8" s="25">
        <v>0.00160093365867853</v>
      </c>
      <c r="F8" s="32" t="s">
        <v>164</v>
      </c>
      <c r="G8" s="32" t="s">
        <v>6164</v>
      </c>
      <c r="H8" s="32" t="s">
        <v>6165</v>
      </c>
    </row>
    <row r="9" spans="1:8">
      <c r="A9" s="32" t="s">
        <v>13</v>
      </c>
      <c r="B9" s="25">
        <v>8.14508489456803</v>
      </c>
      <c r="C9" s="25">
        <v>43.4006758518082</v>
      </c>
      <c r="D9" s="25">
        <v>2.16937722220944</v>
      </c>
      <c r="E9" s="25">
        <v>2.97638039946088e-6</v>
      </c>
      <c r="F9" s="32" t="s">
        <v>164</v>
      </c>
      <c r="G9" s="32" t="s">
        <v>14</v>
      </c>
      <c r="H9" s="32" t="s">
        <v>10912</v>
      </c>
    </row>
    <row r="10" spans="1:8">
      <c r="A10" s="32" t="s">
        <v>14938</v>
      </c>
      <c r="B10" s="25">
        <v>1.95192796599173</v>
      </c>
      <c r="C10" s="25">
        <v>5.9944789421635</v>
      </c>
      <c r="D10" s="25">
        <v>1.32765609351506</v>
      </c>
      <c r="E10" s="25">
        <v>3.07259547803304e-5</v>
      </c>
      <c r="F10" s="32" t="s">
        <v>164</v>
      </c>
      <c r="G10" s="32" t="s">
        <v>14940</v>
      </c>
      <c r="H10" s="32" t="s">
        <v>14941</v>
      </c>
    </row>
    <row r="11" spans="1:8">
      <c r="A11" s="32" t="s">
        <v>15549</v>
      </c>
      <c r="B11" s="25">
        <v>4.87490618669538</v>
      </c>
      <c r="C11" s="25">
        <v>16.7054195805386</v>
      </c>
      <c r="D11" s="25">
        <v>1.46069740443345</v>
      </c>
      <c r="E11" s="25">
        <v>0.0359911869503716</v>
      </c>
      <c r="F11" s="32" t="s">
        <v>164</v>
      </c>
      <c r="G11" s="32" t="s">
        <v>15550</v>
      </c>
      <c r="H11" s="32" t="s">
        <v>15551</v>
      </c>
    </row>
    <row r="12" spans="1:8">
      <c r="A12" s="32" t="s">
        <v>14260</v>
      </c>
      <c r="B12" s="25">
        <v>4.415788646015</v>
      </c>
      <c r="C12" s="25">
        <v>12.0269393265836</v>
      </c>
      <c r="D12" s="25">
        <v>1.18552754385434</v>
      </c>
      <c r="E12" s="25">
        <v>0.00892318978900308</v>
      </c>
      <c r="F12" s="32" t="s">
        <v>164</v>
      </c>
      <c r="G12" s="32" t="s">
        <v>14261</v>
      </c>
      <c r="H12" s="32" t="s">
        <v>14262</v>
      </c>
    </row>
    <row r="13" spans="1:8">
      <c r="A13" s="32" t="s">
        <v>8032</v>
      </c>
      <c r="B13" s="25">
        <v>5.3734072150565</v>
      </c>
      <c r="C13" s="25">
        <v>18.8970296450752</v>
      </c>
      <c r="D13" s="25">
        <v>1.58198412190688</v>
      </c>
      <c r="E13" s="25">
        <v>0.00139508513575463</v>
      </c>
      <c r="F13" s="32" t="s">
        <v>164</v>
      </c>
      <c r="G13" s="32" t="s">
        <v>8033</v>
      </c>
      <c r="H13" s="32" t="s">
        <v>8034</v>
      </c>
    </row>
    <row r="14" spans="1:8">
      <c r="A14" s="32" t="s">
        <v>1047</v>
      </c>
      <c r="B14" s="25">
        <v>21.1711635924385</v>
      </c>
      <c r="C14" s="25">
        <v>89.7392418392841</v>
      </c>
      <c r="D14" s="25">
        <v>1.80061854355587</v>
      </c>
      <c r="E14" s="25">
        <v>1.75702073409824e-15</v>
      </c>
      <c r="F14" s="32" t="s">
        <v>164</v>
      </c>
      <c r="G14" s="32" t="s">
        <v>1048</v>
      </c>
      <c r="H14" s="32" t="s">
        <v>1049</v>
      </c>
    </row>
    <row r="15" spans="1:8">
      <c r="A15" s="32" t="s">
        <v>4084</v>
      </c>
      <c r="B15" s="25">
        <v>0.299262949746036</v>
      </c>
      <c r="C15" s="25">
        <v>8.4970136864455</v>
      </c>
      <c r="D15" s="25">
        <v>4.56594584098817</v>
      </c>
      <c r="E15" s="25">
        <v>5.63260370619586e-9</v>
      </c>
      <c r="F15" s="32" t="s">
        <v>164</v>
      </c>
      <c r="G15" s="32" t="s">
        <v>4087</v>
      </c>
      <c r="H15" s="32" t="s">
        <v>4088</v>
      </c>
    </row>
    <row r="16" spans="1:8">
      <c r="A16" s="32" t="s">
        <v>4834</v>
      </c>
      <c r="B16" s="25">
        <v>2.55473687714585</v>
      </c>
      <c r="C16" s="25">
        <v>0.913834230707759</v>
      </c>
      <c r="D16" s="25">
        <v>-1.80289248575764</v>
      </c>
      <c r="E16" s="25">
        <v>0.0203836930553395</v>
      </c>
      <c r="F16" s="32" t="s">
        <v>147</v>
      </c>
      <c r="G16" s="32" t="s">
        <v>4835</v>
      </c>
      <c r="H16" s="32" t="s">
        <v>4836</v>
      </c>
    </row>
    <row r="17" spans="1:8">
      <c r="A17" s="32" t="s">
        <v>4839</v>
      </c>
      <c r="B17" s="25">
        <v>3.76275646199382</v>
      </c>
      <c r="C17" s="25">
        <v>1.68875822432674</v>
      </c>
      <c r="D17" s="25">
        <v>-1.4097996135936</v>
      </c>
      <c r="E17" s="25">
        <v>0.00489802827754537</v>
      </c>
      <c r="F17" s="32" t="s">
        <v>147</v>
      </c>
      <c r="G17" s="32" t="s">
        <v>4840</v>
      </c>
      <c r="H17" s="32" t="s">
        <v>4841</v>
      </c>
    </row>
    <row r="18" spans="1:8">
      <c r="A18" s="32" t="s">
        <v>10822</v>
      </c>
      <c r="B18" s="25">
        <v>2.22096030350982</v>
      </c>
      <c r="C18" s="25">
        <v>0.322488150933111</v>
      </c>
      <c r="D18" s="25">
        <v>-3.11779937597941</v>
      </c>
      <c r="E18" s="25">
        <v>0.0128482430179843</v>
      </c>
      <c r="F18" s="32" t="s">
        <v>147</v>
      </c>
      <c r="G18" s="32" t="s">
        <v>10823</v>
      </c>
      <c r="H18" s="32" t="s">
        <v>10824</v>
      </c>
    </row>
    <row r="19" spans="1:8">
      <c r="A19" s="32" t="s">
        <v>13229</v>
      </c>
      <c r="B19" s="25">
        <v>3.57676269731014</v>
      </c>
      <c r="C19" s="25">
        <v>0.117577439284578</v>
      </c>
      <c r="D19" s="25">
        <v>-5.24801593647392</v>
      </c>
      <c r="E19" s="25">
        <v>8.2706025231785e-8</v>
      </c>
      <c r="F19" s="32" t="s">
        <v>147</v>
      </c>
      <c r="G19" s="32" t="s">
        <v>13231</v>
      </c>
      <c r="H19" s="32" t="s">
        <v>13232</v>
      </c>
    </row>
    <row r="20" spans="1:8">
      <c r="A20" s="32" t="s">
        <v>25</v>
      </c>
      <c r="B20" s="25">
        <v>152.311459129097</v>
      </c>
      <c r="C20" s="25">
        <v>86.5927347182376</v>
      </c>
      <c r="D20" s="25">
        <v>-1.08977781867011</v>
      </c>
      <c r="E20" s="25">
        <v>2.00276857500456e-25</v>
      </c>
      <c r="F20" s="32" t="s">
        <v>147</v>
      </c>
      <c r="G20" s="32" t="s">
        <v>26</v>
      </c>
      <c r="H20" s="32" t="s">
        <v>13635</v>
      </c>
    </row>
    <row r="21" spans="1:8">
      <c r="A21" s="32" t="s">
        <v>14039</v>
      </c>
      <c r="B21" s="25">
        <v>767.197655986674</v>
      </c>
      <c r="C21" s="25">
        <v>170.571924616501</v>
      </c>
      <c r="D21" s="25">
        <v>-2.47506776253952</v>
      </c>
      <c r="E21" s="25">
        <v>3.98306468938114e-7</v>
      </c>
      <c r="F21" s="32" t="s">
        <v>147</v>
      </c>
      <c r="G21" s="32" t="s">
        <v>26</v>
      </c>
      <c r="H21" s="32" t="s">
        <v>14040</v>
      </c>
    </row>
    <row r="22" spans="1:8">
      <c r="A22" s="32" t="s">
        <v>7167</v>
      </c>
      <c r="B22" s="25">
        <v>31.0018471066667</v>
      </c>
      <c r="C22" s="25">
        <v>5.05326569333333</v>
      </c>
      <c r="D22" s="25">
        <v>-2.924356575</v>
      </c>
      <c r="E22" s="25">
        <v>2.44e-16</v>
      </c>
      <c r="F22" s="32" t="s">
        <v>147</v>
      </c>
      <c r="G22" s="32" t="s">
        <v>7170</v>
      </c>
      <c r="H22" s="32" t="s">
        <v>7171</v>
      </c>
    </row>
    <row r="23" spans="1:8">
      <c r="A23" s="32" t="s">
        <v>13569</v>
      </c>
      <c r="B23" s="25">
        <v>15.9891726886667</v>
      </c>
      <c r="C23" s="25">
        <v>7.809332141</v>
      </c>
      <c r="D23" s="25">
        <v>-1.342126882</v>
      </c>
      <c r="E23" s="25">
        <v>0.022382005</v>
      </c>
      <c r="F23" s="32" t="s">
        <v>147</v>
      </c>
      <c r="G23" s="32" t="s">
        <v>13570</v>
      </c>
      <c r="H23" s="32" t="s">
        <v>13571</v>
      </c>
    </row>
    <row r="24" spans="1:8">
      <c r="A24" s="32" t="s">
        <v>1090</v>
      </c>
      <c r="B24" s="25">
        <v>28.0430158036041</v>
      </c>
      <c r="C24" s="25">
        <v>15.7986370034842</v>
      </c>
      <c r="D24" s="25">
        <v>-1.1077786307479</v>
      </c>
      <c r="E24" s="25">
        <v>1.1301786827736e-14</v>
      </c>
      <c r="F24" s="32" t="s">
        <v>147</v>
      </c>
      <c r="G24" s="32" t="s">
        <v>1093</v>
      </c>
      <c r="H24" s="32" t="s">
        <v>1094</v>
      </c>
    </row>
    <row r="25" spans="1:8">
      <c r="A25" s="32" t="s">
        <v>4322</v>
      </c>
      <c r="B25" s="25">
        <v>27.9730876738668</v>
      </c>
      <c r="C25" s="25">
        <v>9.7149075467187</v>
      </c>
      <c r="D25" s="25">
        <v>-1.83182272327222</v>
      </c>
      <c r="E25" s="25">
        <v>1.8752296669448e-6</v>
      </c>
      <c r="F25" s="32" t="s">
        <v>147</v>
      </c>
      <c r="G25" s="32" t="s">
        <v>4324</v>
      </c>
      <c r="H25" s="32" t="s">
        <v>4325</v>
      </c>
    </row>
    <row r="26" spans="1:8">
      <c r="A26" s="32" t="s">
        <v>3226</v>
      </c>
      <c r="B26" s="25">
        <v>58.0848813589026</v>
      </c>
      <c r="C26" s="25">
        <v>31.2844520853594</v>
      </c>
      <c r="D26" s="25">
        <v>-1.162043773023</v>
      </c>
      <c r="E26" s="25">
        <v>1.36729318191559e-5</v>
      </c>
      <c r="F26" s="32" t="s">
        <v>147</v>
      </c>
      <c r="G26" s="32" t="s">
        <v>3227</v>
      </c>
      <c r="H26" s="32" t="s">
        <v>3228</v>
      </c>
    </row>
  </sheetData>
  <mergeCells count="1">
    <mergeCell ref="A1:K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Table S1</vt:lpstr>
      <vt:lpstr>Table S2</vt:lpstr>
      <vt:lpstr>Table S3</vt:lpstr>
      <vt:lpstr>Table S4</vt:lpstr>
      <vt:lpstr>Table S5</vt:lpstr>
      <vt:lpstr>Table S6</vt:lpstr>
      <vt:lpstr>Table S7</vt:lpstr>
      <vt:lpstr>Table S8</vt:lpstr>
      <vt:lpstr>Table S9</vt:lpstr>
      <vt:lpstr>Table S10</vt:lpstr>
      <vt:lpstr>Table S11</vt:lpstr>
      <vt:lpstr>Table S12</vt:lpstr>
      <vt:lpstr>Table S13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吴剑</cp:lastModifiedBy>
  <dcterms:created xsi:type="dcterms:W3CDTF">2023-05-12T11:15:00Z</dcterms:created>
  <dcterms:modified xsi:type="dcterms:W3CDTF">2025-02-26T07:13:52Z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8212D55C2C484C69ADFA39FD55C25075_13</vt:lpwstr>
  </property>
</Properties>
</file>